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drawings/drawing12.xml" ContentType="application/vnd.openxmlformats-officedocument.drawingml.chartshap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3.xml" ContentType="application/vnd.openxmlformats-officedocument.drawing+xml"/>
  <Override PartName="/xl/drawings/drawing1.xml" ContentType="application/vnd.openxmlformats-officedocument.drawing+xml"/>
  <Override PartName="/xl/drawings/drawing13.xml" ContentType="application/vnd.openxmlformats-officedocument.drawing+xml"/>
  <Override PartName="/xl/drawings/drawing2.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onnections.xml" ContentType="application/vnd.openxmlformats-officedocument.spreadsheetml.connection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9.xml" ContentType="application/vnd.openxmlformats-officedocument.spreadsheetml.comments+xml"/>
  <Override PartName="/xl/tables/table22.xml" ContentType="application/vnd.openxmlformats-officedocument.spreadsheetml.table+xml"/>
  <Override PartName="/xl/queryTables/queryTable1.xml" ContentType="application/vnd.openxmlformats-officedocument.spreadsheetml.queryTable+xml"/>
  <Override PartName="/xl/tables/table23.xml" ContentType="application/vnd.openxmlformats-officedocument.spreadsheetml.table+xml"/>
  <Override PartName="/xl/queryTables/queryTable2.xml" ContentType="application/vnd.openxmlformats-officedocument.spreadsheetml.queryTable+xml"/>
  <Override PartName="/xl/tables/table24.xml" ContentType="application/vnd.openxmlformats-officedocument.spreadsheetml.table+xml"/>
  <Override PartName="/xl/comments10.xml" ContentType="application/vnd.openxmlformats-officedocument.spreadsheetml.comments+xml"/>
  <Override PartName="/xl/comments11.xml" ContentType="application/vnd.openxmlformats-officedocument.spreadsheetml.comments+xml"/>
  <Override PartName="/xl/tables/table25.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31.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calcChain.xml" ContentType="application/vnd.openxmlformats-officedocument.spreadsheetml.calcChain+xml"/>
  <Override PartName="/xl/tables/table28.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tables/table27.xml" ContentType="application/vnd.openxmlformats-officedocument.spreadsheetml.table+xml"/>
  <Override PartName="/xl/tables/table26.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30.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12.xml" ContentType="application/vnd.openxmlformats-officedocument.spreadsheetml.comments+xml"/>
  <Override PartName="/xl/tables/table29.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7f19f805bfb641b9" Type="http://schemas.microsoft.com/office/2007/relationships/ui/extensibility" Target="customUI/customUi14.xml"/><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ACT" hidePivotFieldList="1"/>
  <mc:AlternateContent xmlns:mc="http://schemas.openxmlformats.org/markup-compatibility/2006">
    <mc:Choice Requires="x15">
      <x15ac:absPath xmlns:x15ac="http://schemas.microsoft.com/office/spreadsheetml/2010/11/ac" url="M:\03 Projekte\BCG\2024\02 ELUX 2024\03 Analysis\07 Sputnik &amp; Apollo\AWS internal calculations\#006 - Electronics - UI PCBs\"/>
    </mc:Choice>
  </mc:AlternateContent>
  <xr:revisionPtr revIDLastSave="0" documentId="13_ncr:1_{26270EB5-D15A-4DEE-BCA6-A7450C46E5C0}" xr6:coauthVersionLast="47" xr6:coauthVersionMax="47" xr10:uidLastSave="{00000000-0000-0000-0000-000000000000}"/>
  <bookViews>
    <workbookView xWindow="-120" yWindow="-120" windowWidth="29040" windowHeight="15720" tabRatio="805" firstSheet="1" activeTab="2" xr2:uid="{00000000-000D-0000-FFFF-FFFF00000000}"/>
  </bookViews>
  <sheets>
    <sheet name="Log" sheetId="106" state="veryHidden" r:id="rId1"/>
    <sheet name="BOM" sheetId="50" r:id="rId2"/>
    <sheet name="Calculation" sheetId="38" r:id="rId3"/>
    <sheet name="Info" sheetId="101" state="hidden" r:id="rId4"/>
    <sheet name="Premises" sheetId="45" r:id="rId5"/>
    <sheet name="Analysis" sheetId="102" state="hidden" r:id="rId6"/>
    <sheet name="Cluster" sheetId="90" state="hidden" r:id="rId7"/>
    <sheet name="MHR" sheetId="44" r:id="rId8"/>
    <sheet name="MAT" sheetId="43" r:id="rId9"/>
    <sheet name="LOC" sheetId="48" state="hidden" r:id="rId10"/>
    <sheet name="Nutzenberechnung Big PCB" sheetId="195" state="hidden" r:id="rId11"/>
    <sheet name="E-BOM Big PCB" sheetId="198" r:id="rId12"/>
    <sheet name="Nutzenberechnung Small PCB" sheetId="196" state="hidden" r:id="rId13"/>
    <sheet name="E-BOM Small PCB" sheetId="204" r:id="rId14"/>
    <sheet name="Nutzenberechnung Flex PCB" sheetId="197" state="hidden" r:id="rId15"/>
    <sheet name="E-BOM Flex PCB" sheetId="200" r:id="rId16"/>
    <sheet name="IndirectCosts" sheetId="47" state="hidden" r:id="rId17"/>
    <sheet name="Handling" sheetId="82" state="hidden" r:id="rId18"/>
    <sheet name="Diagramm1" sheetId="86" state="veryHidden" r:id="rId19"/>
    <sheet name="Diagramm2" sheetId="99" state="veryHidden" r:id="rId20"/>
    <sheet name="TemplateColumn" sheetId="79" state="veryHidden" r:id="rId21"/>
    <sheet name="TemplateRow" sheetId="71" state="veryHidden" r:id="rId22"/>
    <sheet name="Temp" sheetId="85" state="veryHidden" r:id="rId23"/>
    <sheet name="Documentation" sheetId="89" state="veryHidden" r:id="rId24"/>
    <sheet name="Translation" sheetId="77" state="veryHidden" r:id="rId25"/>
    <sheet name="Tutorial" sheetId="104" state="veryHidden" r:id="rId26"/>
    <sheet name="XML" sheetId="100" state="veryHidden" r:id="rId27"/>
    <sheet name="AssemblyData" sheetId="192" state="veryHidden" r:id="rId28"/>
    <sheet name="AssemblyTemplate" sheetId="193" state="veryHidden" r:id="rId29"/>
    <sheet name="Settings" sheetId="76" state="veryHidden" r:id="rId30"/>
  </sheets>
  <functionGroups builtInGroupCount="19"/>
  <definedNames>
    <definedName name="_xlnm._FilterDatabase" localSheetId="1" hidden="1">BOM!$A$1:$Q$3</definedName>
    <definedName name="_xlnm._FilterDatabase" localSheetId="2" hidden="1">Calculation!$B$11:$FL$189</definedName>
    <definedName name="_xlnm._FilterDatabase" localSheetId="11" hidden="1">'E-BOM Big PCB'!$A$5:$Z$5</definedName>
    <definedName name="_xlnm._FilterDatabase" localSheetId="15" hidden="1">'E-BOM Flex PCB'!$A$5:$Z$5</definedName>
    <definedName name="_xlnm._FilterDatabase" localSheetId="13" hidden="1">'E-BOM Small PCB'!$A$5:$Z$5</definedName>
    <definedName name="_xlnm._FilterDatabase" localSheetId="7" hidden="1">MHR!$B$5:$AX$5</definedName>
    <definedName name="_xlchart.v1.0" hidden="1">Temp!$C$36:$C$41</definedName>
    <definedName name="_xlchart.v1.1" hidden="1">Temp!$D$35</definedName>
    <definedName name="_xlchart.v1.2" hidden="1">Temp!$D$36:$D$41</definedName>
    <definedName name="ASY_AdhesiveApplication_1" localSheetId="10" hidden="1">#REF!</definedName>
    <definedName name="ASY_AdhesiveApplication_1" hidden="1">Tab_ASY_AdhesiveApplication_1[DE]</definedName>
    <definedName name="ASY_AdhesiveApplication_2" localSheetId="10" hidden="1">#REF!</definedName>
    <definedName name="ASY_AdhesiveApplication_2" hidden="1">Tab_ASY_AdhesiveApplication_2[DE]</definedName>
    <definedName name="ASY_AdhesiveApplication_3" localSheetId="10" hidden="1">#REF!</definedName>
    <definedName name="ASY_AdhesiveApplication_3" hidden="1">Tab_ASY_AdhesiveApplication_3[DE]</definedName>
    <definedName name="ASY_AdhesiveApplication_4" localSheetId="10" hidden="1">#REF!</definedName>
    <definedName name="ASY_AdhesiveApplication_4" hidden="1">Tab_ASY_AdhesiveApplication_4[DE]</definedName>
    <definedName name="ASY_AssembleStandardParts" localSheetId="10" hidden="1">#REF!</definedName>
    <definedName name="ASY_AssembleStandardParts" hidden="1">Tab_ASY_AssembleStandardParts[DE]</definedName>
    <definedName name="ASY_BodyMotion" localSheetId="10" hidden="1">#REF!</definedName>
    <definedName name="ASY_BodyMotion" hidden="1">Tab_ASY_BodyMotion[DE]</definedName>
    <definedName name="ASY_CheckingMeasuring_1" localSheetId="10" hidden="1">#REF!</definedName>
    <definedName name="ASY_CheckingMeasuring_1" hidden="1">Tab_ASY_CheckingMeasuring_1[DE]</definedName>
    <definedName name="ASY_CheckingMeasuring_2" localSheetId="10" hidden="1">#REF!</definedName>
    <definedName name="ASY_CheckingMeasuring_2" hidden="1">Tab_ASY_CheckingMeasuring_2[DE]</definedName>
    <definedName name="ASY_CheckingMeasuring_3" localSheetId="10" hidden="1">#REF!</definedName>
    <definedName name="ASY_CheckingMeasuring_3" hidden="1">Tab_ASY_CheckingMeasuring_3[DE]</definedName>
    <definedName name="ASY_CheckingMeasuring_4" localSheetId="10" hidden="1">#REF!</definedName>
    <definedName name="ASY_CheckingMeasuring_4" hidden="1">Tab_ASY_CheckingMeasuring_4[DE]</definedName>
    <definedName name="ASY_CheckingMeasuring_5" localSheetId="10" hidden="1">#REF!</definedName>
    <definedName name="ASY_CheckingMeasuring_5" hidden="1">Tab_ASY_CheckingMeasuring_5[DE]</definedName>
    <definedName name="ASY_HandlingTools_1" localSheetId="10" hidden="1">#REF!</definedName>
    <definedName name="ASY_HandlingTools_1" hidden="1">Tab_ASY_HandlingTools_1[DE]</definedName>
    <definedName name="ASY_HandlingTools_2" localSheetId="10" hidden="1">#REF!</definedName>
    <definedName name="ASY_HandlingTools_2" hidden="1">Tab_ASY_HandlingTools_2[DE]</definedName>
    <definedName name="ASY_HandlingTools_3" localSheetId="10" hidden="1">#REF!</definedName>
    <definedName name="ASY_HandlingTools_3" hidden="1">Tab_ASY_HandlingTools_3[DE]</definedName>
    <definedName name="ASY_HandlingTools_4" localSheetId="10" hidden="1">#REF!</definedName>
    <definedName name="ASY_HandlingTools_4" hidden="1">Tab_ASY_HandlingTools_4[DE]</definedName>
    <definedName name="ASY_Marking" localSheetId="10" hidden="1">#REF!</definedName>
    <definedName name="ASY_Marking" hidden="1">Tab_ASY_Marking[DE]</definedName>
    <definedName name="ASY_MotionCycles_1" localSheetId="10" hidden="1">#REF!</definedName>
    <definedName name="ASY_MotionCycles_1" hidden="1">Tab_ASY_MotionCycles_1[DE]</definedName>
    <definedName name="ASY_MotionCycles_2" localSheetId="10" hidden="1">#REF!</definedName>
    <definedName name="ASY_MotionCycles_2" hidden="1">Tab_ASY_MotionCycles_2[DE]</definedName>
    <definedName name="ASY_MotionCycles_3" localSheetId="10" hidden="1">#REF!</definedName>
    <definedName name="ASY_MotionCycles_3" hidden="1">Tab_ASY_MotionCycles_3[DE]</definedName>
    <definedName name="ASY_MotionCycles_4" localSheetId="10" hidden="1">#REF!</definedName>
    <definedName name="ASY_MotionCycles_4" hidden="1">Tab_ASY_MotionCycles_4[DE]</definedName>
    <definedName name="ASY_Operate_1" localSheetId="10" hidden="1">#REF!</definedName>
    <definedName name="ASY_Operate_1" hidden="1">Tab_ASY_Operate_1[DE]</definedName>
    <definedName name="ASY_Operate_2" localSheetId="10" hidden="1">#REF!</definedName>
    <definedName name="ASY_Operate_2" hidden="1">Tab_ASY_Operate_2[DE]</definedName>
    <definedName name="ASY_Operate_3" localSheetId="10" hidden="1">#REF!</definedName>
    <definedName name="ASY_Operate_3" hidden="1">Tab_ASY_Operate_3[DE]</definedName>
    <definedName name="ASY_Operate_4" localSheetId="10" hidden="1">#REF!</definedName>
    <definedName name="ASY_Operate_4" hidden="1">Tab_ASY_Operate_4[DE]</definedName>
    <definedName name="ASY_Operations" localSheetId="10" hidden="1">#REF!</definedName>
    <definedName name="ASY_Operations" hidden="1">Tab_ASY_Operations[DE]</definedName>
    <definedName name="ASY_Operations_DE" localSheetId="10">#REF!</definedName>
    <definedName name="ASY_Operations_DE">Tab_ASY_Operations[DE]</definedName>
    <definedName name="ASY_Operations_EN" localSheetId="10">#REF!</definedName>
    <definedName name="ASY_Operations_EN">Tab_ASY_Operations[EN]</definedName>
    <definedName name="ASY_PickandPlace_1" localSheetId="10" hidden="1">#REF!</definedName>
    <definedName name="ASY_PickandPlace_1" hidden="1">Tab_ASY_PickandPlace_1[DE]</definedName>
    <definedName name="ASY_PickandPlace_2" localSheetId="10" hidden="1">#REF!</definedName>
    <definedName name="ASY_PickandPlace_2" hidden="1">Tab_ASY_PickandPlace_2[DE]</definedName>
    <definedName name="ASY_PickandPlace_3" localSheetId="10" hidden="1">#REF!</definedName>
    <definedName name="ASY_PickandPlace_3" hidden="1">Tab_ASY_PickandPlace_3[DE]</definedName>
    <definedName name="ASY_PickandPlace_4" localSheetId="10" hidden="1">#REF!</definedName>
    <definedName name="ASY_PickandPlace_4" hidden="1">Tab_ASY_PickandPlace_4[DE]</definedName>
    <definedName name="ASY_Place_1" localSheetId="10" hidden="1">#REF!</definedName>
    <definedName name="ASY_Place_1" hidden="1">Tab_ASY_Place_1[DE]</definedName>
    <definedName name="ASY_Place_2" localSheetId="10" hidden="1">#REF!</definedName>
    <definedName name="ASY_Place_2" hidden="1">Tab_ASY_Place_2[DE]</definedName>
    <definedName name="ASY_Place_3" localSheetId="10" hidden="1">#REF!</definedName>
    <definedName name="ASY_Place_3" hidden="1">Tab_ASY_Place_3[DE]</definedName>
    <definedName name="ASY_Place_4" localSheetId="10" hidden="1">#REF!</definedName>
    <definedName name="ASY_Place_4" hidden="1">Tab_ASY_Place_4[DE]</definedName>
    <definedName name="ASY_Screwing_1" localSheetId="10" hidden="1">#REF!</definedName>
    <definedName name="ASY_Screwing_1" hidden="1">Tab_ASY_Screwing_1[DE]</definedName>
    <definedName name="ASY_Screwing_2" localSheetId="10" hidden="1">#REF!</definedName>
    <definedName name="ASY_Screwing_2" hidden="1">Tab_ASY_Screwing_2[DE]</definedName>
    <definedName name="ASY_Screwing_3" localSheetId="10" hidden="1">#REF!</definedName>
    <definedName name="ASY_Screwing_3" hidden="1">Tab_ASY_Screwing_3[DE]</definedName>
    <definedName name="ASY_Screwing_4" localSheetId="10" hidden="1">#REF!</definedName>
    <definedName name="ASY_Screwing_4" hidden="1">Tab_ASY_Screwing_4[DE]</definedName>
    <definedName name="ASY_TighteningLoosening_1" localSheetId="10" hidden="1">#REF!</definedName>
    <definedName name="ASY_TighteningLoosening_1" hidden="1">Tab_ASY_TighteningLoosening_1[DE]</definedName>
    <definedName name="ASY_TighteningLoosening_2" localSheetId="10" hidden="1">#REF!</definedName>
    <definedName name="ASY_TighteningLoosening_2" hidden="1">Tab_ASY_TighteningLoosening_2[DE]</definedName>
    <definedName name="ASY_TighteningLoosening_3" localSheetId="10" hidden="1">#REF!</definedName>
    <definedName name="ASY_TighteningLoosening_3" hidden="1">Tab_ASY_TighteningLoosening_3[DE]</definedName>
    <definedName name="ASY_Treatment_1" localSheetId="10" hidden="1">#REF!</definedName>
    <definedName name="ASY_Treatment_1" hidden="1">Tab_ASY_Treatment_1[DE]</definedName>
    <definedName name="ASY_Treatment_2" localSheetId="10" hidden="1">#REF!</definedName>
    <definedName name="ASY_Treatment_2" hidden="1">Tab_ASY_Treatment_2[DE]</definedName>
    <definedName name="ASY_Treatment_3" localSheetId="10" hidden="1">#REF!</definedName>
    <definedName name="ASY_Treatment_3" hidden="1">Tab_ASY_Treatment_3[DE]</definedName>
    <definedName name="ASY_Treatment_4" localSheetId="10" hidden="1">#REF!</definedName>
    <definedName name="ASY_Treatment_4" hidden="1">Tab_ASY_Treatment_4[DE]</definedName>
    <definedName name="ASY_Treatment_5" localSheetId="10" hidden="1">#REF!</definedName>
    <definedName name="ASY_Treatment_5" hidden="1">Tab_ASY_Treatment_5[DE]</definedName>
    <definedName name="ASY_Unpacking_1" localSheetId="10" hidden="1">#REF!</definedName>
    <definedName name="ASY_Unpacking_1" hidden="1">Tab_ASY_Unpacking_1[DE]</definedName>
    <definedName name="ASY_Unpacking_2" localSheetId="10" hidden="1">#REF!</definedName>
    <definedName name="ASY_Unpacking_2" hidden="1">Tab_ASY_Unpacking_2[DE]</definedName>
    <definedName name="ASY_Unpacking_3" localSheetId="10" hidden="1">#REF!</definedName>
    <definedName name="ASY_Unpacking_3" hidden="1">Tab_ASY_Unpacking_3[DE]</definedName>
    <definedName name="ASY_VisualCheck" localSheetId="10" hidden="1">#REF!</definedName>
    <definedName name="ASY_VisualCheck" hidden="1">Tab_ASY_VisualCheck[DE]</definedName>
    <definedName name="Auto" comment="Translation" localSheetId="24">Translation!$E$32</definedName>
    <definedName name="AutoManual_Dropdown">Translation!$E$31:$E$32</definedName>
    <definedName name="BOM" comment="BOM" localSheetId="27">BOM!$A$3:INDEX(BOM!$R:$R,1+COUNTA(BOM!$C:$C))</definedName>
    <definedName name="BOM" comment="BOM" localSheetId="10">#REF!:INDEX(#REF!,1+COUNTA(#REF!))</definedName>
    <definedName name="BOM" comment="BOM">BOM!$A$3:INDEX(BOM!$R:$R,1+COUNTA(BOM!$C:$C))</definedName>
    <definedName name="BOM_Dropdown" comment="BOM" localSheetId="27">BOM!$A$3:INDEX(BOM!$A:$A,2+COUNTA(BOM!$A:$A))</definedName>
    <definedName name="BOM_Dropdown" comment="BOM" localSheetId="10">#REF!:INDEX(#REF!,2+COUNTA(#REF!))</definedName>
    <definedName name="BOM_Dropdown" comment="BOM">BOM!$A$3:INDEX(BOM!$A:$A,2+COUNTA(BOM!$A:$A))</definedName>
    <definedName name="CALC" comment="Calculation">Calculation!$B$11:$FN$189</definedName>
    <definedName name="Cluster1_Dropdown" comment="Cluster" localSheetId="10">#REF!</definedName>
    <definedName name="Cluster1_Dropdown" comment="Cluster">Cluster1[Production]</definedName>
    <definedName name="Cluster2_Dropdown" comment="Cluster" localSheetId="10">#REF!</definedName>
    <definedName name="Cluster2_Dropdown" comment="Cluster">Cluster2[Material]</definedName>
    <definedName name="Cluster3_Dropdown" comment="Cluster" localSheetId="10">#REF!</definedName>
    <definedName name="Cluster3_Dropdown" comment="Cluster">Cluster3[Cluster 3]</definedName>
    <definedName name="Currency" comment="Premises" localSheetId="10">#REF!</definedName>
    <definedName name="Currency" comment="Premises">Premises!$C$5</definedName>
    <definedName name="CycleTime" comment="Calculation">Calculation!$F1</definedName>
    <definedName name="EBOM_CPrice" localSheetId="11" hidden="1">IF('E-BOM Big PCB'!XFA1="0402",0.0018,IF('E-BOM Big PCB'!XFA1="0603",0.0025,IF('E-BOM Big PCB'!XFA1="0805",0.0057,IF('E-BOM Big PCB'!XFA1="1206",0.018,IF('E-BOM Big PCB'!XFA1="1210",0.1028,0.0262)))))</definedName>
    <definedName name="EBOM_CPrice" localSheetId="15" hidden="1">IF('E-BOM Flex PCB'!XFA1="0402",0.0018,IF('E-BOM Flex PCB'!XFA1="0603",0.0025,IF('E-BOM Flex PCB'!XFA1="0805",0.0057,IF('E-BOM Flex PCB'!XFA1="1206",0.018,IF('E-BOM Flex PCB'!XFA1="1210",0.1028,0.0262)))))</definedName>
    <definedName name="EBOM_CPrice" localSheetId="13" hidden="1">IF('E-BOM Small PCB'!XFA1="0402",0.0018,IF('E-BOM Small PCB'!XFA1="0603",0.0025,IF('E-BOM Small PCB'!XFA1="0805",0.0057,IF('E-BOM Small PCB'!XFA1="1206",0.018,IF('E-BOM Small PCB'!XFA1="1210",0.1028,0.0262)))))</definedName>
    <definedName name="EBOM_CPrice" localSheetId="10" hidden="1">IF(#REF!="0402",0.0018,IF(#REF!="0603",0.0025,IF(#REF!="0805",0.0057,IF(#REF!="1206",0.018,IF(#REF!="1210",0.1028,0.0262)))))</definedName>
    <definedName name="EBOM_CPrice" hidden="1">IF(#REF!="0402",0.0018,IF(#REF!="0603",0.0025,IF(#REF!="0805",0.0057,IF(#REF!="1206",0.018,IF(#REF!="1210",0.1028,0.0262)))))</definedName>
    <definedName name="EBOM_DTPrice" localSheetId="11" hidden="1">IF('E-BOM Big PCB'!XFA1="DO-214AA / SMB",0.0362,IF('E-BOM Big PCB'!XFA1="DO-214AB / SMC",0.0497,IF('E-BOM Big PCB'!XFA1="DO-214AC / SMA",0.0224,IF('E-BOM Big PCB'!XFA1="DO-219AB / SMF",0.0556,IF('E-BOM Big PCB'!XFA1="SOD-123",0.0281,IF('E-BOM Big PCB'!XFA1="SOD-323",0.0171,IF('E-BOM Big PCB'!XFA1="SOT-223",0.1072,IF('E-BOM Big PCB'!XFA1="SOT-23",0.0115,IF('E-BOM Big PCB'!XFA1="SOT-23-3",0.008,IF('E-BOM Big PCB'!XFA1="SOT-23-5",0.1399,IF('E-BOM Big PCB'!XFA1="SOT-23-6",0.0656,IF('E-BOM Big PCB'!XFA1="SOT-323",0.0396,IF('E-BOM Big PCB'!XFA1="SOT-363",0.0458,)))))))))))))</definedName>
    <definedName name="EBOM_DTPrice" localSheetId="15" hidden="1">IF('E-BOM Flex PCB'!XFA1="DO-214AA / SMB",0.0362,IF('E-BOM Flex PCB'!XFA1="DO-214AB / SMC",0.0497,IF('E-BOM Flex PCB'!XFA1="DO-214AC / SMA",0.0224,IF('E-BOM Flex PCB'!XFA1="DO-219AB / SMF",0.0556,IF('E-BOM Flex PCB'!XFA1="SOD-123",0.0281,IF('E-BOM Flex PCB'!XFA1="SOD-323",0.0171,IF('E-BOM Flex PCB'!XFA1="SOT-223",0.1072,IF('E-BOM Flex PCB'!XFA1="SOT-23",0.0115,IF('E-BOM Flex PCB'!XFA1="SOT-23-3",0.008,IF('E-BOM Flex PCB'!XFA1="SOT-23-5",0.1399,IF('E-BOM Flex PCB'!XFA1="SOT-23-6",0.0656,IF('E-BOM Flex PCB'!XFA1="SOT-323",0.0396,IF('E-BOM Flex PCB'!XFA1="SOT-363",0.0458,)))))))))))))</definedName>
    <definedName name="EBOM_DTPrice" localSheetId="13" hidden="1">IF('E-BOM Small PCB'!XFA1="DO-214AA / SMB",0.0362,IF('E-BOM Small PCB'!XFA1="DO-214AB / SMC",0.0497,IF('E-BOM Small PCB'!XFA1="DO-214AC / SMA",0.0224,IF('E-BOM Small PCB'!XFA1="DO-219AB / SMF",0.0556,IF('E-BOM Small PCB'!XFA1="SOD-123",0.0281,IF('E-BOM Small PCB'!XFA1="SOD-323",0.0171,IF('E-BOM Small PCB'!XFA1="SOT-223",0.1072,IF('E-BOM Small PCB'!XFA1="SOT-23",0.0115,IF('E-BOM Small PCB'!XFA1="SOT-23-3",0.008,IF('E-BOM Small PCB'!XFA1="SOT-23-5",0.1399,IF('E-BOM Small PCB'!XFA1="SOT-23-6",0.0656,IF('E-BOM Small PCB'!XFA1="SOT-323",0.0396,IF('E-BOM Small PCB'!XFA1="SOT-363",0.0458,)))))))))))))</definedName>
    <definedName name="EBOM_DTPrice" localSheetId="10" hidden="1">IF(#REF!="DO-214AA / SMB",0.0362,IF(#REF!="DO-214AB / SMC",0.0497,IF(#REF!="DO-214AC / SMA",0.0224,IF(#REF!="DO-219AB / SMF",0.0556,IF(#REF!="SOD-123",0.0281,IF(#REF!="SOD-323",0.0171,IF(#REF!="SOT-223",0.1072,IF(#REF!="SOT-23",0.0115,IF(#REF!="SOT-23-3",0.008,IF(#REF!="SOT-23-5",0.1399,IF(#REF!="SOT-23-6",0.0656,IF(#REF!="SOT-323",0.0396,IF(#REF!="SOT-363",0.0458,)))))))))))))</definedName>
    <definedName name="EBOM_DTPrice" hidden="1">IF(#REF!="DO-214AA / SMB",0.0362,IF(#REF!="DO-214AB / SMC",0.0497,IF(#REF!="DO-214AC / SMA",0.0224,IF(#REF!="DO-219AB / SMF",0.0556,IF(#REF!="SOD-123",0.0281,IF(#REF!="SOD-323",0.0171,IF(#REF!="SOT-223",0.1072,IF(#REF!="SOT-23",0.0115,IF(#REF!="SOT-23-3",0.008,IF(#REF!="SOT-23-5",0.1399,IF(#REF!="SOT-23-6",0.0656,IF(#REF!="SOT-323",0.0396,IF(#REF!="SOT-363",0.0458,)))))))))))))</definedName>
    <definedName name="EBOM_Factor" localSheetId="11" hidden="1">IFERROR(IF(OR('E-BOM Big PCB'!XEY1="Standard",'E-BOM Big PCB'!XEY1="Shortlist"),1,1/((3.021*'E-BOM Big PCB'!XEZ1^-0.175)/(3.021*(('E-BOM Big PCB'!$H$3*'E-BOM Big PCB'!XEQ1)^-0.175)))),0)</definedName>
    <definedName name="EBOM_Factor" localSheetId="15" hidden="1">IFERROR(IF(OR('E-BOM Flex PCB'!XEY1="Standard",'E-BOM Flex PCB'!XEY1="Shortlist"),1,1/((3.021*'E-BOM Flex PCB'!XEZ1^-0.175)/(3.021*(('E-BOM Flex PCB'!$H$3*'E-BOM Flex PCB'!XEQ1)^-0.175)))),0)</definedName>
    <definedName name="EBOM_Factor" localSheetId="13" hidden="1">IFERROR(IF(OR('E-BOM Small PCB'!XEY1="Standard",'E-BOM Small PCB'!XEY1="Shortlist"),1,1/((3.021*'E-BOM Small PCB'!XEZ1^-0.175)/(3.021*(('E-BOM Small PCB'!$H$3*'E-BOM Small PCB'!XEQ1)^-0.175)))),0)</definedName>
    <definedName name="EBOM_Factor" localSheetId="10" hidden="1">IFERROR(IF(OR(#REF!="Standard",#REF!="Shortlist"),1,1/((3.021*#REF!^-0.175)/(3.021*((#REF!*#REF!)^-0.175)))),0)</definedName>
    <definedName name="EBOM_Factor" hidden="1">IFERROR(IF(OR(#REF!="Standard",#REF!="Shortlist"),1,1/((3.021*#REF!^-0.175)/(3.021*((#REF!*#REF!)^-0.175)))),0)</definedName>
    <definedName name="EBOM_IFPrice" localSheetId="11" hidden="1">IF('E-BOM Big PCB'!XFA1="0402",0.0066,IF('E-BOM Big PCB'!XFA1="0603",0.0081,IF('E-BOM Big PCB'!XFA1="0805",0.0143,IF('E-BOM Big PCB'!XFA1="1206",0.0188,0.012))))</definedName>
    <definedName name="EBOM_IFPrice" localSheetId="15" hidden="1">IF('E-BOM Flex PCB'!XFA1="0402",0.0066,IF('E-BOM Flex PCB'!XFA1="0603",0.0081,IF('E-BOM Flex PCB'!XFA1="0805",0.0143,IF('E-BOM Flex PCB'!XFA1="1206",0.0188,0.012))))</definedName>
    <definedName name="EBOM_IFPrice" localSheetId="13" hidden="1">IF('E-BOM Small PCB'!XFA1="0402",0.0066,IF('E-BOM Small PCB'!XFA1="0603",0.0081,IF('E-BOM Small PCB'!XFA1="0805",0.0143,IF('E-BOM Small PCB'!XFA1="1206",0.0188,0.012))))</definedName>
    <definedName name="EBOM_IFPrice" localSheetId="10" hidden="1">IF(#REF!="0402",0.0066,IF(#REF!="0603",0.0081,IF(#REF!="0805",0.0143,IF(#REF!="1206",0.0188,0.012))))</definedName>
    <definedName name="EBOM_IFPrice" hidden="1">IF(#REF!="0402",0.0066,IF(#REF!="0603",0.0081,IF(#REF!="0805",0.0143,IF(#REF!="1206",0.0188,0.012))))</definedName>
    <definedName name="EBOM_Price" localSheetId="11" hidden="1">_xlfn.IFS('E-BOM Big PCB'!$C1='E-BOM Big PCB'!$C$70,'E-BOM Big PCB'!EBOM_CPrice,'E-BOM Big PCB'!$C1='E-BOM Big PCB'!$C$71,'E-BOM Big PCB'!EBOM_IFPrice,'E-BOM Big PCB'!$C1='E-BOM Big PCB'!$C$72,'E-BOM Big PCB'!EBOM_ResPrice,'E-BOM Big PCB'!$C1='E-BOM Big PCB'!$C$73,'E-BOM Big PCB'!EBOM_DTPrice,'E-BOM Big PCB'!$C1&lt;&gt;"",'E-BOM Big PCB'!$C$79,TRUE,0)</definedName>
    <definedName name="EBOM_Price" localSheetId="15" hidden="1">_xlfn.IFS('E-BOM Flex PCB'!$C1='E-BOM Flex PCB'!$C$60,'E-BOM Flex PCB'!EBOM_CPrice,'E-BOM Flex PCB'!$C1='E-BOM Flex PCB'!$C$61,'E-BOM Flex PCB'!EBOM_IFPrice,'E-BOM Flex PCB'!$C1='E-BOM Flex PCB'!$C$62,'E-BOM Flex PCB'!EBOM_ResPrice,'E-BOM Flex PCB'!$C1='E-BOM Flex PCB'!$C$63,'E-BOM Flex PCB'!EBOM_DTPrice,'E-BOM Flex PCB'!$C1&lt;&gt;"",'E-BOM Flex PCB'!$C$69,TRUE,0)</definedName>
    <definedName name="EBOM_Price" localSheetId="13" hidden="1">_xlfn.IFS('E-BOM Small PCB'!$C1='E-BOM Small PCB'!$C$84,'E-BOM Small PCB'!EBOM_CPrice,'E-BOM Small PCB'!$C1='E-BOM Small PCB'!$C$85,'E-BOM Small PCB'!EBOM_IFPrice,'E-BOM Small PCB'!$C1='E-BOM Small PCB'!$C$86,'E-BOM Small PCB'!EBOM_ResPrice,'E-BOM Small PCB'!$C1='E-BOM Small PCB'!$C$87,'E-BOM Small PCB'!EBOM_DTPrice,'E-BOM Small PCB'!$C1&lt;&gt;"",'E-BOM Small PCB'!$C$93,TRUE,0)</definedName>
    <definedName name="EBOM_Price" localSheetId="10" hidden="1">_xlfn.IFS(#REF!=#REF!,'Nutzenberechnung Big PCB'!EBOM_CPrice,#REF!=#REF!,'Nutzenberechnung Big PCB'!EBOM_IFPrice,#REF!=#REF!,'Nutzenberechnung Big PCB'!EBOM_ResPrice,#REF!=#REF!,'Nutzenberechnung Big PCB'!EBOM_DTPrice,#REF!&lt;&gt;"",#REF!,TRUE,0)</definedName>
    <definedName name="EBOM_Price" hidden="1">#N/A</definedName>
    <definedName name="EBOM_ResPrice" localSheetId="11" hidden="1">IF('E-BOM Big PCB'!XFD1="",IF('E-BOM Big PCB'!XFA1="0402",0.0008,IF('E-BOM Big PCB'!XFA1="0603",0.0046,IF('E-BOM Big PCB'!XFA1="0805",0.0042,IF('E-BOM Big PCB'!XFA1="1206",0.0065,IF('E-BOM Big PCB'!XFA1="1210",0.0064,IF('E-BOM Big PCB'!XFA1="2010",0.0124,IF('E-BOM Big PCB'!XFA1="2512",0.03,0.0045))))))), IF('E-BOM Big PCB'!XFA1="0402",0.001*EXP(1)^(-0.043*'E-BOM Big PCB'!XFD1),IF('E-BOM Big PCB'!XFA1="0603",0.0086*EXP(1)^(-0.32*'E-BOM Big PCB'!XFD1),IF('E-BOM Big PCB'!XFA1="0805",0.0099*EXP(1)^(-0.516*'E-BOM Big PCB'!XFD1),IF('E-BOM Big PCB'!XFA1="1206",0.0142*EXP(1)^(-0.459*'E-BOM Big PCB'!XFD1),IF('E-BOM Big PCB'!XFA1="1210",0.0102*EXP(1)^(-0.192*'E-BOM Big PCB'!XFD1),IF('E-BOM Big PCB'!XFA1="2010",0.0163*EXP(1)^(-0.056*'E-BOM Big PCB'!XFD1),IF('E-BOM Big PCB'!XFA1="2512",0.0494*EXP(1)^(-0.216*'E-BOM Big PCB'!XFD1),0.0045))))))))</definedName>
    <definedName name="EBOM_ResPrice" localSheetId="15" hidden="1">IF('E-BOM Flex PCB'!XFD1="",IF('E-BOM Flex PCB'!XFA1="0402",0.0008,IF('E-BOM Flex PCB'!XFA1="0603",0.0046,IF('E-BOM Flex PCB'!XFA1="0805",0.0042,IF('E-BOM Flex PCB'!XFA1="1206",0.0065,IF('E-BOM Flex PCB'!XFA1="1210",0.0064,IF('E-BOM Flex PCB'!XFA1="2010",0.0124,IF('E-BOM Flex PCB'!XFA1="2512",0.03,0.0045))))))), IF('E-BOM Flex PCB'!XFA1="0402",0.001*EXP(1)^(-0.043*'E-BOM Flex PCB'!XFD1),IF('E-BOM Flex PCB'!XFA1="0603",0.0086*EXP(1)^(-0.32*'E-BOM Flex PCB'!XFD1),IF('E-BOM Flex PCB'!XFA1="0805",0.0099*EXP(1)^(-0.516*'E-BOM Flex PCB'!XFD1),IF('E-BOM Flex PCB'!XFA1="1206",0.0142*EXP(1)^(-0.459*'E-BOM Flex PCB'!XFD1),IF('E-BOM Flex PCB'!XFA1="1210",0.0102*EXP(1)^(-0.192*'E-BOM Flex PCB'!XFD1),IF('E-BOM Flex PCB'!XFA1="2010",0.0163*EXP(1)^(-0.056*'E-BOM Flex PCB'!XFD1),IF('E-BOM Flex PCB'!XFA1="2512",0.0494*EXP(1)^(-0.216*'E-BOM Flex PCB'!XFD1),0.0045))))))))</definedName>
    <definedName name="EBOM_ResPrice" localSheetId="13" hidden="1">IF('E-BOM Small PCB'!XFD1="",IF('E-BOM Small PCB'!XFA1="0402",0.0008,IF('E-BOM Small PCB'!XFA1="0603",0.0046,IF('E-BOM Small PCB'!XFA1="0805",0.0042,IF('E-BOM Small PCB'!XFA1="1206",0.0065,IF('E-BOM Small PCB'!XFA1="1210",0.0064,IF('E-BOM Small PCB'!XFA1="2010",0.0124,IF('E-BOM Small PCB'!XFA1="2512",0.03,0.0045))))))), IF('E-BOM Small PCB'!XFA1="0402",0.001*EXP(1)^(-0.043*'E-BOM Small PCB'!XFD1),IF('E-BOM Small PCB'!XFA1="0603",0.0086*EXP(1)^(-0.32*'E-BOM Small PCB'!XFD1),IF('E-BOM Small PCB'!XFA1="0805",0.0099*EXP(1)^(-0.516*'E-BOM Small PCB'!XFD1),IF('E-BOM Small PCB'!XFA1="1206",0.0142*EXP(1)^(-0.459*'E-BOM Small PCB'!XFD1),IF('E-BOM Small PCB'!XFA1="1210",0.0102*EXP(1)^(-0.192*'E-BOM Small PCB'!XFD1),IF('E-BOM Small PCB'!XFA1="2010",0.0163*EXP(1)^(-0.056*'E-BOM Small PCB'!XFD1),IF('E-BOM Small PCB'!XFA1="2512",0.0494*EXP(1)^(-0.216*'E-BOM Small PCB'!XFD1),0.0045))))))))</definedName>
    <definedName name="EBOM_ResPrice" localSheetId="10" hidden="1">IF(#REF!="",IF(#REF!="0402",0.0008,IF(#REF!="0603",0.0046,IF(#REF!="0805",0.0042,IF(#REF!="1206",0.0065,IF(#REF!="1210",0.0064,IF(#REF!="2010",0.0124,IF(#REF!="2512",0.03,0.0045))))))), IF(#REF!="0402",0.001*EXP(1)^(-0.043*#REF!),IF(#REF!="0603",0.0086*EXP(1)^(-0.32*#REF!),IF(#REF!="0805",0.0099*EXP(1)^(-0.516*#REF!),IF(#REF!="1206",0.0142*EXP(1)^(-0.459*#REF!),IF(#REF!="1210",0.0102*EXP(1)^(-0.192*#REF!),IF(#REF!="2010",0.0163*EXP(1)^(-0.056*#REF!),IF(#REF!="2512",0.0494*EXP(1)^(-0.216*#REF!),0.0045))))))))</definedName>
    <definedName name="EBOM_ResPrice" hidden="1">IF(#REF!="",IF(#REF!="0402",0.0008,IF(#REF!="0603",0.0046,IF(#REF!="0805",0.0042,IF(#REF!="1206",0.0065,IF(#REF!="1210",0.0064,IF(#REF!="2010",0.0124,IF(#REF!="2512",0.03,0.0045))))))), IF(#REF!="0402",0.001*EXP(1)^(-0.043*#REF!),IF(#REF!="0603",0.0086*EXP(1)^(-0.32*#REF!),IF(#REF!="0805",0.0099*EXP(1)^(-0.516*#REF!),IF(#REF!="1206",0.0142*EXP(1)^(-0.459*#REF!),IF(#REF!="1210",0.0102*EXP(1)^(-0.192*#REF!),IF(#REF!="2010",0.0163*EXP(1)^(-0.056*#REF!),IF(#REF!="2512",0.0494*EXP(1)^(-0.216*#REF!),0.0045))))))))</definedName>
    <definedName name="EditMode">0</definedName>
    <definedName name="ExchangeRate" comment="Premises" localSheetId="10">#REF!</definedName>
    <definedName name="ExchangeRate" comment="Premises">Premises!$C$6</definedName>
    <definedName name="ExterneDaten_1" localSheetId="16" hidden="1">IndirectCosts!$C$6:$R$26</definedName>
    <definedName name="ExterneDaten_2" localSheetId="16" hidden="1">IndirectCosts!$AS$6:$BB$26</definedName>
    <definedName name="Factor" hidden="1">1</definedName>
    <definedName name="HandlingPrecise">Handling!$D$5:$F$9</definedName>
    <definedName name="HandlingUnprecise">Handling!$D$21:$F$25</definedName>
    <definedName name="InputCurrency" comment="Premises" localSheetId="10">#REF!</definedName>
    <definedName name="InputCurrency" comment="Premises">Premises!$C$4</definedName>
    <definedName name="Language" localSheetId="11">'E-BOM Big PCB'!$B$79</definedName>
    <definedName name="Language" localSheetId="15">'E-BOM Flex PCB'!$B$69</definedName>
    <definedName name="Language" localSheetId="13">'E-BOM Small PCB'!$B$93</definedName>
    <definedName name="Language" localSheetId="10">#REF!</definedName>
    <definedName name="Language">Settings!$C$3</definedName>
    <definedName name="LOC_Dropdown" comment="LOC" localSheetId="10">#REF!</definedName>
    <definedName name="LOC_Dropdown" comment="LOC">LOC[Standort]</definedName>
    <definedName name="Luft" comment="Translation" localSheetId="24">Translation!$E$20</definedName>
    <definedName name="M" comment="Translation" localSheetId="24">Translation!$E$8</definedName>
    <definedName name="Machine" comment="Calculation">Calculation!$E1</definedName>
    <definedName name="Manuell" comment="Translation" localSheetId="24">Translation!$E$31</definedName>
    <definedName name="MAT_Dropdown" comment="MAT" localSheetId="10">#REF!</definedName>
    <definedName name="MAT_Dropdown" comment="MAT">MAT[Bezeichnung]</definedName>
    <definedName name="MAT_Price" comment="MAT" localSheetId="10">#REF!</definedName>
    <definedName name="MAT_Price" comment="MAT">MAT[Preis (Input)]</definedName>
    <definedName name="MAT_Type" comment="MAT" localSheetId="10">#REF!</definedName>
    <definedName name="MAT_Type" comment="MAT">MAT[Materialklasse]</definedName>
    <definedName name="MAT_Unit" comment="MAT" localSheetId="10">#REF!</definedName>
    <definedName name="MAT_Unit" comment="MAT">MAT[Einheit]</definedName>
    <definedName name="MAT_Used" comment="MAT" localSheetId="10">#REF!</definedName>
    <definedName name="MAT_Used" comment="MAT">Calculation!$AQ$11:$AQ$191</definedName>
    <definedName name="MaxNumberOfRowsPerBlock" localSheetId="10">#REF!</definedName>
    <definedName name="MaxNumberOfRowsPerBlock">Settings!$C$14</definedName>
    <definedName name="MGK_Dropdown" comment="IndirectCosts" localSheetId="10">#REF!</definedName>
    <definedName name="MGK_Dropdown" comment="IndirectCosts">MGK[ID]</definedName>
    <definedName name="MHR_Dropdown" comment="MHR" localSheetId="10">#REF!</definedName>
    <definedName name="MHR_Dropdown" comment="MHR">MHR[Bezeichnung]</definedName>
    <definedName name="MHR_Used" comment="MHR" localSheetId="10">#REF!</definedName>
    <definedName name="MHR_Used" comment="MHR">Calculation!$E$11:$E$191</definedName>
    <definedName name="ModeOfTransportation_Dropdown">Translation!$E$20:$E$23</definedName>
    <definedName name="ModeOfTransportationAtDestination_Dropdown">Translation!$E$25:$E$26</definedName>
    <definedName name="ModeOfTransportationAtStart_Dropdown">Translation!$E$23:$E$24</definedName>
    <definedName name="No" comment="Translation" localSheetId="24">Translation!$E$29</definedName>
    <definedName name="None" comment="Translation" localSheetId="24">Translation!$E$30</definedName>
    <definedName name="OrdersPerYear" comment="IndirectCosts" localSheetId="16">IF(IndirectCosts!$J1="Wöchentlich",52,IF(IndirectCosts!$J1="Monatlich",12,IF(IndirectCosts!$J1="Vierteljährlich",4,IF(IndirectCosts!$J1="Halbjährlich",2,IF(IndirectCosts!$J1="Jährlich",1,0)))))</definedName>
    <definedName name="Palette" comment="Translation" localSheetId="24">Translation!$E$27</definedName>
    <definedName name="PartsPerCycle" comment="Calculation">Calculation!$H1</definedName>
    <definedName name="Pcs" comment="Translation" localSheetId="24">Translation!$E$12</definedName>
    <definedName name="PointInTime">TODAY()</definedName>
    <definedName name="PointInTimeSpan">1</definedName>
    <definedName name="Premises" localSheetId="27">Premises!$B:$E</definedName>
    <definedName name="Premises" localSheetId="10">#REF!</definedName>
    <definedName name="Premises">Premises!$B:$F</definedName>
    <definedName name="Premises_Dropdown" comment="Premises" localSheetId="27">TemplateColumn!$I$11:INDEX(TemplateColumn!$I$11:$I$30,COUNTIF(TemplateColumn!$I$11:$I$30,"&gt;0"))</definedName>
    <definedName name="Premises_Dropdown" comment="Premises" localSheetId="10">#REF!:INDEX(#REF!,COUNTIF(#REF!,"&gt;0"))</definedName>
    <definedName name="Premises_Dropdown" comment="Premises">TemplateColumn!$I$11:INDEX(TemplateColumn!$I$11:$I$30,COUNTIF(TemplateColumn!$I$11:$I$30,"&gt;0"))</definedName>
    <definedName name="PremisesToExport" comment="Premises">Premises!$12:$26</definedName>
    <definedName name="Project_Factor" localSheetId="11">'E-BOM Big PCB'!$T$3</definedName>
    <definedName name="Project_Factor" localSheetId="15">'E-BOM Flex PCB'!$T$3</definedName>
    <definedName name="Project_Factor" localSheetId="13">'E-BOM Small PCB'!$T$3</definedName>
    <definedName name="Project_Factor" localSheetId="10">#REF!</definedName>
    <definedName name="Project_Factor">#REF!</definedName>
    <definedName name="Prozesse" localSheetId="10">{"January";"February";"March"}</definedName>
    <definedName name="Prozesse">{"January";"February";"March"}</definedName>
    <definedName name="Revision">Settings!$C$102</definedName>
    <definedName name="Ribbon" localSheetId="27" hidden="1">1970514216752</definedName>
    <definedName name="Ribbon" localSheetId="28" hidden="1">1970514216752</definedName>
    <definedName name="Ribbon" hidden="1">1942970595920</definedName>
    <definedName name="Schiene" comment="Translation" localSheetId="24">Translation!$E$22</definedName>
    <definedName name="SchienePlusStraße" comment="Translation" localSheetId="24">Translation!$E$26</definedName>
    <definedName name="See" comment="Translation" localSheetId="24">Translation!$E$21</definedName>
    <definedName name="Straße" comment="Translation" localSheetId="24">Translation!$E$23</definedName>
    <definedName name="StraßePlusSchiene" comment="Translation" localSheetId="24">Translation!$E$24</definedName>
    <definedName name="ToleranceStandard" localSheetId="10">#REF!</definedName>
    <definedName name="ToleranceStandard">#REF!</definedName>
    <definedName name="Version" localSheetId="10">#REF!</definedName>
    <definedName name="Version">Settings!$C$101</definedName>
    <definedName name="Yes" comment="Translation" localSheetId="24">Translation!$E$28</definedName>
    <definedName name="YesNo_Dropdown">Translation!$E$28:$E$29</definedName>
  </definedNames>
  <calcPr calcId="191029"/>
  <customWorkbookViews>
    <customWorkbookView name="tobias.pritscher - Persönliche Ansicht" guid="{D0EE8710-3E3A-4E44-B06A-883D3DC087C7}" mergeInterval="0" personalView="1" maximized="1" windowWidth="1676" windowHeight="912" tabRatio="769" activeSheetId="7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4" i="43" l="1"/>
  <c r="J24" i="43"/>
  <c r="X24" i="43" s="1" a="1"/>
  <c r="X24" i="43" s="1"/>
  <c r="K24" i="43"/>
  <c r="Y24" i="43" s="1" a="1"/>
  <c r="Y24" i="43" s="1"/>
  <c r="L24" i="43"/>
  <c r="S24" i="43"/>
  <c r="U24" i="43"/>
  <c r="Z24" i="43" a="1"/>
  <c r="Z24" i="43" s="1"/>
  <c r="AA24" i="43" a="1"/>
  <c r="AA24" i="43" s="1"/>
  <c r="AB24" i="43"/>
  <c r="AC24" i="43" a="1"/>
  <c r="AC24" i="43" s="1"/>
  <c r="U16" i="44"/>
  <c r="V16" i="44"/>
  <c r="W16" i="44"/>
  <c r="AI16" i="44"/>
  <c r="AK16" i="44"/>
  <c r="AD24" i="43" l="1"/>
  <c r="W24" i="43"/>
  <c r="C20" i="38"/>
  <c r="F20" i="38" s="1"/>
  <c r="CJ21" i="38"/>
  <c r="AT21" i="38" s="1" a="1"/>
  <c r="AT21" i="38" s="1"/>
  <c r="CI21" i="38"/>
  <c r="I21" i="38" s="1" a="1"/>
  <c r="I21" i="38" s="1"/>
  <c r="AK21" i="38"/>
  <c r="AF21" i="38"/>
  <c r="AA21" i="38"/>
  <c r="U21" i="38" a="1"/>
  <c r="U21" i="38" s="1"/>
  <c r="V21" i="38" s="1"/>
  <c r="Q21" i="38" a="1"/>
  <c r="Q21" i="38" s="1"/>
  <c r="P21" i="38" a="1"/>
  <c r="P21" i="38" s="1"/>
  <c r="R21" i="38" s="1"/>
  <c r="J21" i="38"/>
  <c r="CJ22" i="38"/>
  <c r="AT22" i="38" s="1" a="1"/>
  <c r="AT22" i="38" s="1"/>
  <c r="CI22" i="38"/>
  <c r="I22" i="38" s="1" a="1"/>
  <c r="I22" i="38" s="1"/>
  <c r="AM22" i="38" a="1"/>
  <c r="AM22" i="38" s="1"/>
  <c r="AK22" i="38"/>
  <c r="AF22" i="38"/>
  <c r="AA22" i="38"/>
  <c r="U22" i="38" a="1"/>
  <c r="U22" i="38" s="1"/>
  <c r="V22" i="38" s="1"/>
  <c r="Q22" i="38" a="1"/>
  <c r="Q22" i="38" s="1"/>
  <c r="P22" i="38" a="1"/>
  <c r="P22" i="38" s="1"/>
  <c r="R22" i="38" s="1"/>
  <c r="J22" i="38"/>
  <c r="CJ23" i="38"/>
  <c r="AT23" i="38" s="1" a="1"/>
  <c r="AT23" i="38" s="1"/>
  <c r="CI23" i="38"/>
  <c r="I23" i="38" s="1" a="1"/>
  <c r="I23" i="38" s="1"/>
  <c r="AK23" i="38"/>
  <c r="AF23" i="38"/>
  <c r="AA23" i="38"/>
  <c r="U23" i="38" a="1"/>
  <c r="U23" i="38" s="1"/>
  <c r="V23" i="38" s="1"/>
  <c r="Q23" i="38" a="1"/>
  <c r="Q23" i="38" s="1"/>
  <c r="P23" i="38" a="1"/>
  <c r="P23" i="38" s="1"/>
  <c r="R23" i="38" s="1"/>
  <c r="J23" i="38"/>
  <c r="AS21" i="38" l="1" a="1"/>
  <c r="AS21" i="38" s="1"/>
  <c r="AM21" i="38" a="1"/>
  <c r="AM21" i="38" s="1"/>
  <c r="AM23" i="38" a="1"/>
  <c r="AM23" i="38" s="1"/>
  <c r="AS22" i="38" a="1"/>
  <c r="AS22" i="38" s="1"/>
  <c r="AS23" i="38" a="1"/>
  <c r="AS23" i="38" s="1"/>
  <c r="AG21" i="38" a="1"/>
  <c r="AG21" i="38" s="1"/>
  <c r="AL21" i="38" s="1"/>
  <c r="AO21" i="38"/>
  <c r="AN21" i="38" a="1"/>
  <c r="AN21" i="38" s="1"/>
  <c r="AU21" i="38"/>
  <c r="AY21" i="38" a="1"/>
  <c r="AY21" i="38" s="1"/>
  <c r="AZ21" i="38" s="1"/>
  <c r="AN22" i="38" a="1"/>
  <c r="AN22" i="38" s="1"/>
  <c r="AG22" i="38" a="1"/>
  <c r="AG22" i="38" s="1"/>
  <c r="AL22" i="38" s="1"/>
  <c r="AO22" i="38"/>
  <c r="AY22" i="38" a="1"/>
  <c r="AY22" i="38" s="1"/>
  <c r="AZ22" i="38" s="1"/>
  <c r="AU22" i="38"/>
  <c r="AG23" i="38" a="1"/>
  <c r="AG23" i="38" s="1"/>
  <c r="AL23" i="38" s="1"/>
  <c r="AO23" i="38"/>
  <c r="AN23" i="38" a="1"/>
  <c r="AN23" i="38" s="1"/>
  <c r="AU23" i="38"/>
  <c r="AY23" i="38" a="1"/>
  <c r="AY23" i="38" s="1"/>
  <c r="AZ23" i="38" s="1"/>
  <c r="AP22" i="38" l="1"/>
  <c r="BD22" i="38" s="1"/>
  <c r="AP21" i="38"/>
  <c r="BM21" i="38"/>
  <c r="AV21" i="38" a="1"/>
  <c r="AV21" i="38" s="1"/>
  <c r="AX21" i="38" s="1"/>
  <c r="BM22" i="38"/>
  <c r="AV22" i="38" a="1"/>
  <c r="AV22" i="38" s="1"/>
  <c r="AX22" i="38" s="1"/>
  <c r="AP23" i="38"/>
  <c r="BM23" i="38"/>
  <c r="AV23" i="38" a="1"/>
  <c r="AV23" i="38" s="1"/>
  <c r="AX23" i="38" s="1"/>
  <c r="BK22" i="38" l="1"/>
  <c r="BD21" i="38"/>
  <c r="BK21" i="38"/>
  <c r="BA21" i="38"/>
  <c r="BB21" i="38" s="1"/>
  <c r="BA22" i="38"/>
  <c r="BD23" i="38"/>
  <c r="BK23" i="38"/>
  <c r="BA23" i="38"/>
  <c r="BB23" i="38" s="1"/>
  <c r="BE21" i="38" l="1" a="1"/>
  <c r="BE21" i="38" s="1"/>
  <c r="BL21" i="38" a="1"/>
  <c r="BL21" i="38" s="1"/>
  <c r="BC21" i="38" a="1"/>
  <c r="BC21" i="38" s="1"/>
  <c r="BJ21" i="38" a="1"/>
  <c r="BJ21" i="38" s="1"/>
  <c r="BG21" i="38" a="1"/>
  <c r="BG21" i="38" s="1"/>
  <c r="BH21" i="38" s="1"/>
  <c r="BN21" i="38" a="1"/>
  <c r="BN21" i="38" s="1"/>
  <c r="BO21" i="38" s="1"/>
  <c r="BF21" i="38"/>
  <c r="BF22" i="38"/>
  <c r="BB22" i="38"/>
  <c r="BE23" i="38" a="1"/>
  <c r="BE23" i="38" s="1"/>
  <c r="BL23" i="38" a="1"/>
  <c r="BL23" i="38" s="1"/>
  <c r="BC23" i="38" a="1"/>
  <c r="BC23" i="38" s="1"/>
  <c r="BJ23" i="38" a="1"/>
  <c r="BJ23" i="38" s="1"/>
  <c r="BG23" i="38" a="1"/>
  <c r="BG23" i="38" s="1"/>
  <c r="BH23" i="38" s="1"/>
  <c r="BN23" i="38" a="1"/>
  <c r="BN23" i="38" s="1"/>
  <c r="BO23" i="38" s="1"/>
  <c r="BF23" i="38"/>
  <c r="BI21" i="38" l="1"/>
  <c r="BE22" i="38" a="1"/>
  <c r="BE22" i="38" s="1"/>
  <c r="BL22" i="38" a="1"/>
  <c r="BL22" i="38" s="1"/>
  <c r="BC22" i="38" a="1"/>
  <c r="BC22" i="38" s="1"/>
  <c r="BJ22" i="38" a="1"/>
  <c r="BJ22" i="38" s="1"/>
  <c r="BG22" i="38" a="1"/>
  <c r="BG22" i="38" s="1"/>
  <c r="BH22" i="38" s="1"/>
  <c r="BN22" i="38" a="1"/>
  <c r="BN22" i="38" s="1"/>
  <c r="BO22" i="38" s="1"/>
  <c r="BI23" i="38"/>
  <c r="BP21" i="38" l="1" a="1"/>
  <c r="BP21" i="38" s="1"/>
  <c r="BR21" i="38" s="1"/>
  <c r="BI22" i="38"/>
  <c r="BP23" i="38" a="1"/>
  <c r="BP23" i="38" s="1"/>
  <c r="BR23" i="38" s="1"/>
  <c r="BS21" i="38" l="1"/>
  <c r="BT21" i="38" s="1"/>
  <c r="BP22" i="38" a="1"/>
  <c r="BP22" i="38" s="1"/>
  <c r="BR22" i="38" s="1"/>
  <c r="BS23" i="38"/>
  <c r="BT23" i="38" s="1"/>
  <c r="CB21" i="38" l="1" a="1"/>
  <c r="CB21" i="38" s="1"/>
  <c r="BU21" i="38"/>
  <c r="CC21" i="38" a="1"/>
  <c r="CC21" i="38" s="1"/>
  <c r="BS22" i="38"/>
  <c r="BT22" i="38" s="1"/>
  <c r="CB23" i="38" a="1"/>
  <c r="CB23" i="38" s="1"/>
  <c r="BU23" i="38"/>
  <c r="CC23" i="38" a="1"/>
  <c r="CC23" i="38" s="1"/>
  <c r="DY21" i="38" l="1" a="1"/>
  <c r="DY21" i="38" s="1"/>
  <c r="DW21" i="38"/>
  <c r="EA21" i="38"/>
  <c r="CP21" i="38" a="1"/>
  <c r="CP21" i="38" s="1"/>
  <c r="DZ21" i="38" a="1"/>
  <c r="DZ21" i="38" s="1"/>
  <c r="CN21" i="38" a="1"/>
  <c r="CN21" i="38" s="1"/>
  <c r="DU21" i="38"/>
  <c r="DT21" i="38" a="1"/>
  <c r="DT21" i="38" s="1"/>
  <c r="DS21" i="38" a="1"/>
  <c r="DS21" i="38" s="1"/>
  <c r="DQ21" i="38"/>
  <c r="CC22" i="38" a="1"/>
  <c r="CC22" i="38" s="1"/>
  <c r="CB22" i="38" a="1"/>
  <c r="CB22" i="38" s="1"/>
  <c r="BU22" i="38"/>
  <c r="DY23" i="38" a="1"/>
  <c r="DY23" i="38" s="1"/>
  <c r="DW23" i="38"/>
  <c r="EA23" i="38"/>
  <c r="CP23" i="38" a="1"/>
  <c r="CP23" i="38" s="1"/>
  <c r="DZ23" i="38" a="1"/>
  <c r="DZ23" i="38" s="1"/>
  <c r="CN23" i="38" a="1"/>
  <c r="CN23" i="38" s="1"/>
  <c r="DU23" i="38"/>
  <c r="DT23" i="38" a="1"/>
  <c r="DT23" i="38" s="1"/>
  <c r="DS23" i="38" a="1"/>
  <c r="DS23" i="38" s="1"/>
  <c r="DQ23" i="38"/>
  <c r="CN22" i="38" l="1" a="1"/>
  <c r="CN22" i="38" s="1"/>
  <c r="DU22" i="38"/>
  <c r="DT22" i="38" a="1"/>
  <c r="DT22" i="38" s="1"/>
  <c r="DS22" i="38" a="1"/>
  <c r="DS22" i="38" s="1"/>
  <c r="DQ22" i="38"/>
  <c r="DY22" i="38" a="1"/>
  <c r="DY22" i="38" s="1"/>
  <c r="DW22" i="38"/>
  <c r="EA22" i="38"/>
  <c r="CP22" i="38" a="1"/>
  <c r="CP22" i="38" s="1"/>
  <c r="DZ22" i="38" a="1"/>
  <c r="DZ22" i="38" s="1"/>
  <c r="U15" i="44" l="1"/>
  <c r="V15" i="44"/>
  <c r="W15" i="44"/>
  <c r="AI15" i="44"/>
  <c r="AK15" i="44"/>
  <c r="F90" i="38"/>
  <c r="C66" i="38" l="1"/>
  <c r="F66" i="38" s="1"/>
  <c r="CJ69" i="38"/>
  <c r="AT69" i="38" s="1" a="1"/>
  <c r="AT69" i="38" s="1"/>
  <c r="CI69" i="38"/>
  <c r="AM69" i="38" s="1" a="1"/>
  <c r="AM69" i="38" s="1"/>
  <c r="AK69" i="38"/>
  <c r="AF69" i="38"/>
  <c r="AA69" i="38"/>
  <c r="U69" i="38" a="1"/>
  <c r="U69" i="38" s="1"/>
  <c r="V69" i="38" s="1"/>
  <c r="Q69" i="38" a="1"/>
  <c r="Q69" i="38" s="1"/>
  <c r="P69" i="38" a="1"/>
  <c r="P69" i="38" s="1"/>
  <c r="R69" i="38" s="1"/>
  <c r="J69" i="38"/>
  <c r="CJ70" i="38"/>
  <c r="AT70" i="38" s="1" a="1"/>
  <c r="AT70" i="38" s="1"/>
  <c r="CI70" i="38"/>
  <c r="AM70" i="38" s="1" a="1"/>
  <c r="AM70" i="38" s="1"/>
  <c r="AK70" i="38"/>
  <c r="AF70" i="38"/>
  <c r="AA70" i="38"/>
  <c r="U70" i="38" a="1"/>
  <c r="U70" i="38" s="1"/>
  <c r="V70" i="38" s="1"/>
  <c r="Q70" i="38" a="1"/>
  <c r="Q70" i="38" s="1"/>
  <c r="P70" i="38" a="1"/>
  <c r="P70" i="38" s="1"/>
  <c r="R70" i="38" s="1"/>
  <c r="J70" i="38"/>
  <c r="CJ68" i="38"/>
  <c r="AT68" i="38" s="1" a="1"/>
  <c r="AT68" i="38" s="1"/>
  <c r="CI68" i="38"/>
  <c r="I68" i="38" s="1" a="1"/>
  <c r="I68" i="38" s="1"/>
  <c r="AK68" i="38"/>
  <c r="AF68" i="38"/>
  <c r="AA68" i="38"/>
  <c r="U68" i="38" a="1"/>
  <c r="U68" i="38" s="1"/>
  <c r="V68" i="38" s="1"/>
  <c r="Q68" i="38" a="1"/>
  <c r="Q68" i="38" s="1"/>
  <c r="P68" i="38" a="1"/>
  <c r="P68" i="38" s="1"/>
  <c r="R68" i="38" s="1"/>
  <c r="J68" i="38"/>
  <c r="CJ71" i="38"/>
  <c r="AT71" i="38" s="1" a="1"/>
  <c r="AT71" i="38" s="1"/>
  <c r="CI71" i="38"/>
  <c r="AM71" i="38" s="1" a="1"/>
  <c r="AM71" i="38" s="1"/>
  <c r="AK71" i="38"/>
  <c r="AF71" i="38"/>
  <c r="AA71" i="38"/>
  <c r="U71" i="38" a="1"/>
  <c r="U71" i="38" s="1"/>
  <c r="V71" i="38" s="1"/>
  <c r="Q71" i="38" a="1"/>
  <c r="Q71" i="38" s="1"/>
  <c r="P71" i="38" a="1"/>
  <c r="P71" i="38" s="1"/>
  <c r="R71" i="38" s="1"/>
  <c r="J71" i="38"/>
  <c r="CJ72" i="38"/>
  <c r="AT72" i="38" s="1" a="1"/>
  <c r="AT72" i="38" s="1"/>
  <c r="CI72" i="38"/>
  <c r="I72" i="38" s="1" a="1"/>
  <c r="I72" i="38" s="1"/>
  <c r="AK72" i="38"/>
  <c r="AF72" i="38"/>
  <c r="AA72" i="38"/>
  <c r="U72" i="38" a="1"/>
  <c r="U72" i="38" s="1"/>
  <c r="V72" i="38" s="1"/>
  <c r="Q72" i="38" a="1"/>
  <c r="Q72" i="38" s="1"/>
  <c r="P72" i="38" a="1"/>
  <c r="P72" i="38" s="1"/>
  <c r="R72" i="38" s="1"/>
  <c r="J72" i="38"/>
  <c r="CJ73" i="38"/>
  <c r="AT73" i="38" s="1" a="1"/>
  <c r="AT73" i="38" s="1"/>
  <c r="CI73" i="38"/>
  <c r="I73" i="38" s="1" a="1"/>
  <c r="I73" i="38" s="1"/>
  <c r="AK73" i="38"/>
  <c r="AF73" i="38"/>
  <c r="AA73" i="38"/>
  <c r="U73" i="38" a="1"/>
  <c r="U73" i="38" s="1"/>
  <c r="V73" i="38" s="1"/>
  <c r="Q73" i="38" a="1"/>
  <c r="Q73" i="38" s="1"/>
  <c r="P73" i="38" a="1"/>
  <c r="P73" i="38" s="1"/>
  <c r="R73" i="38" s="1"/>
  <c r="J73" i="38"/>
  <c r="CJ74" i="38"/>
  <c r="AT74" i="38" s="1" a="1"/>
  <c r="AT74" i="38" s="1"/>
  <c r="CI74" i="38"/>
  <c r="I74" i="38" s="1" a="1"/>
  <c r="I74" i="38" s="1"/>
  <c r="AK74" i="38"/>
  <c r="AF74" i="38"/>
  <c r="AA74" i="38"/>
  <c r="U74" i="38" a="1"/>
  <c r="U74" i="38" s="1"/>
  <c r="V74" i="38" s="1"/>
  <c r="Q74" i="38" a="1"/>
  <c r="Q74" i="38" s="1"/>
  <c r="P74" i="38" a="1"/>
  <c r="P74" i="38" s="1"/>
  <c r="R74" i="38" s="1"/>
  <c r="J74" i="38"/>
  <c r="CJ75" i="38"/>
  <c r="AT75" i="38" s="1" a="1"/>
  <c r="AT75" i="38" s="1"/>
  <c r="CI75" i="38"/>
  <c r="I75" i="38" s="1" a="1"/>
  <c r="I75" i="38" s="1"/>
  <c r="AK75" i="38"/>
  <c r="AF75" i="38"/>
  <c r="AA75" i="38"/>
  <c r="U75" i="38" a="1"/>
  <c r="U75" i="38" s="1"/>
  <c r="V75" i="38" s="1"/>
  <c r="Q75" i="38" a="1"/>
  <c r="Q75" i="38" s="1"/>
  <c r="P75" i="38" a="1"/>
  <c r="P75" i="38" s="1"/>
  <c r="R75" i="38" s="1"/>
  <c r="J75" i="38"/>
  <c r="CJ76" i="38"/>
  <c r="AT76" i="38" s="1" a="1"/>
  <c r="AT76" i="38" s="1"/>
  <c r="CI76" i="38"/>
  <c r="I76" i="38" s="1" a="1"/>
  <c r="I76" i="38" s="1"/>
  <c r="AK76" i="38"/>
  <c r="AF76" i="38"/>
  <c r="AA76" i="38"/>
  <c r="U76" i="38" a="1"/>
  <c r="U76" i="38" s="1"/>
  <c r="V76" i="38" s="1"/>
  <c r="Q76" i="38" a="1"/>
  <c r="Q76" i="38" s="1"/>
  <c r="P76" i="38" a="1"/>
  <c r="P76" i="38" s="1"/>
  <c r="R76" i="38" s="1"/>
  <c r="J76" i="38"/>
  <c r="CJ77" i="38"/>
  <c r="AT77" i="38" s="1" a="1"/>
  <c r="AT77" i="38" s="1"/>
  <c r="CI77" i="38"/>
  <c r="AM77" i="38" s="1" a="1"/>
  <c r="AM77" i="38" s="1"/>
  <c r="AK77" i="38"/>
  <c r="AF77" i="38"/>
  <c r="AA77" i="38"/>
  <c r="U77" i="38" a="1"/>
  <c r="U77" i="38" s="1"/>
  <c r="V77" i="38" s="1"/>
  <c r="Q77" i="38" a="1"/>
  <c r="Q77" i="38" s="1"/>
  <c r="P77" i="38" a="1"/>
  <c r="P77" i="38" s="1"/>
  <c r="R77" i="38" s="1"/>
  <c r="J77" i="38"/>
  <c r="CJ78" i="38"/>
  <c r="AT78" i="38" s="1" a="1"/>
  <c r="AT78" i="38" s="1"/>
  <c r="CI78" i="38"/>
  <c r="AM78" i="38" s="1" a="1"/>
  <c r="AM78" i="38" s="1"/>
  <c r="AK78" i="38"/>
  <c r="AF78" i="38"/>
  <c r="AA78" i="38"/>
  <c r="U78" i="38" a="1"/>
  <c r="U78" i="38" s="1"/>
  <c r="V78" i="38" s="1"/>
  <c r="Q78" i="38" a="1"/>
  <c r="Q78" i="38" s="1"/>
  <c r="P78" i="38" a="1"/>
  <c r="P78" i="38" s="1"/>
  <c r="R78" i="38" s="1"/>
  <c r="J78" i="38"/>
  <c r="AS69" i="38" l="1" a="1"/>
  <c r="AS69" i="38" s="1"/>
  <c r="AG69" i="38" a="1"/>
  <c r="AG69" i="38" s="1"/>
  <c r="AL69" i="38" s="1"/>
  <c r="AN69" i="38" a="1"/>
  <c r="AN69" i="38" s="1"/>
  <c r="AO69" i="38"/>
  <c r="AY69" i="38" a="1"/>
  <c r="AY69" i="38" s="1"/>
  <c r="AZ69" i="38" s="1"/>
  <c r="AU69" i="38"/>
  <c r="I69" i="38" a="1"/>
  <c r="I69" i="38" s="1"/>
  <c r="AM73" i="38" a="1"/>
  <c r="AM73" i="38" s="1"/>
  <c r="AS68" i="38" a="1"/>
  <c r="AS68" i="38" s="1"/>
  <c r="AS72" i="38" a="1"/>
  <c r="AS72" i="38" s="1"/>
  <c r="AS70" i="38" a="1"/>
  <c r="AS70" i="38" s="1"/>
  <c r="AY70" i="38" a="1"/>
  <c r="AY70" i="38" s="1"/>
  <c r="AZ70" i="38" s="1"/>
  <c r="AU70" i="38"/>
  <c r="AG70" i="38" a="1"/>
  <c r="AG70" i="38" s="1"/>
  <c r="AL70" i="38" s="1"/>
  <c r="AO70" i="38"/>
  <c r="I70" i="38" a="1"/>
  <c r="I70" i="38" s="1"/>
  <c r="AN70" i="38" a="1"/>
  <c r="AN70" i="38" s="1"/>
  <c r="AS73" i="38" a="1"/>
  <c r="AS73" i="38" s="1"/>
  <c r="AM74" i="38" a="1"/>
  <c r="AM74" i="38" s="1"/>
  <c r="AM68" i="38" a="1"/>
  <c r="AM68" i="38" s="1"/>
  <c r="AM75" i="38" a="1"/>
  <c r="AM75" i="38" s="1"/>
  <c r="AS74" i="38" a="1"/>
  <c r="AS74" i="38" s="1"/>
  <c r="AS75" i="38" a="1"/>
  <c r="AS75" i="38" s="1"/>
  <c r="AM76" i="38" a="1"/>
  <c r="AM76" i="38" s="1"/>
  <c r="AS71" i="38" a="1"/>
  <c r="AS71" i="38" s="1"/>
  <c r="AM72" i="38" a="1"/>
  <c r="AM72" i="38" s="1"/>
  <c r="AU68" i="38"/>
  <c r="AY68" i="38" a="1"/>
  <c r="AY68" i="38" s="1"/>
  <c r="AZ68" i="38" s="1"/>
  <c r="AO68" i="38"/>
  <c r="AG68" i="38" a="1"/>
  <c r="AG68" i="38" s="1"/>
  <c r="AL68" i="38" s="1"/>
  <c r="AN68" i="38" a="1"/>
  <c r="AN68" i="38" s="1"/>
  <c r="AS76" i="38" a="1"/>
  <c r="AS76" i="38" s="1"/>
  <c r="AS77" i="38" a="1"/>
  <c r="AS77" i="38" s="1"/>
  <c r="AY71" i="38" a="1"/>
  <c r="AY71" i="38" s="1"/>
  <c r="AZ71" i="38" s="1"/>
  <c r="AU71" i="38"/>
  <c r="AG71" i="38" a="1"/>
  <c r="AG71" i="38" s="1"/>
  <c r="AL71" i="38" s="1"/>
  <c r="AO71" i="38"/>
  <c r="I71" i="38" a="1"/>
  <c r="I71" i="38" s="1"/>
  <c r="AN71" i="38" a="1"/>
  <c r="AN71" i="38" s="1"/>
  <c r="AU72" i="38"/>
  <c r="AY72" i="38" a="1"/>
  <c r="AY72" i="38" s="1"/>
  <c r="AZ72" i="38" s="1"/>
  <c r="AG72" i="38" a="1"/>
  <c r="AG72" i="38" s="1"/>
  <c r="AL72" i="38" s="1"/>
  <c r="AO72" i="38"/>
  <c r="AN72" i="38" a="1"/>
  <c r="AN72" i="38" s="1"/>
  <c r="AS78" i="38" a="1"/>
  <c r="AS78" i="38" s="1"/>
  <c r="AG73" i="38" a="1"/>
  <c r="AG73" i="38" s="1"/>
  <c r="AL73" i="38" s="1"/>
  <c r="AO73" i="38"/>
  <c r="AN73" i="38" a="1"/>
  <c r="AN73" i="38" s="1"/>
  <c r="AU73" i="38"/>
  <c r="AY73" i="38" a="1"/>
  <c r="AY73" i="38" s="1"/>
  <c r="AZ73" i="38" s="1"/>
  <c r="AY74" i="38" a="1"/>
  <c r="AY74" i="38" s="1"/>
  <c r="AZ74" i="38" s="1"/>
  <c r="AU74" i="38"/>
  <c r="AG74" i="38" a="1"/>
  <c r="AG74" i="38" s="1"/>
  <c r="AL74" i="38" s="1"/>
  <c r="AO74" i="38"/>
  <c r="AN74" i="38" a="1"/>
  <c r="AN74" i="38" s="1"/>
  <c r="AY75" i="38" a="1"/>
  <c r="AY75" i="38" s="1"/>
  <c r="AZ75" i="38" s="1"/>
  <c r="AU75" i="38"/>
  <c r="AN75" i="38" a="1"/>
  <c r="AN75" i="38" s="1"/>
  <c r="AG75" i="38" a="1"/>
  <c r="AG75" i="38" s="1"/>
  <c r="AL75" i="38" s="1"/>
  <c r="AO75" i="38"/>
  <c r="AY76" i="38" a="1"/>
  <c r="AY76" i="38" s="1"/>
  <c r="AZ76" i="38" s="1"/>
  <c r="AU76" i="38"/>
  <c r="AN76" i="38" a="1"/>
  <c r="AN76" i="38" s="1"/>
  <c r="AO76" i="38"/>
  <c r="AG76" i="38" a="1"/>
  <c r="AG76" i="38" s="1"/>
  <c r="AL76" i="38" s="1"/>
  <c r="AO77" i="38"/>
  <c r="AG77" i="38" a="1"/>
  <c r="AG77" i="38" s="1"/>
  <c r="AL77" i="38" s="1"/>
  <c r="AY77" i="38" a="1"/>
  <c r="AY77" i="38" s="1"/>
  <c r="AZ77" i="38" s="1"/>
  <c r="AU77" i="38"/>
  <c r="I77" i="38" a="1"/>
  <c r="I77" i="38" s="1"/>
  <c r="AN77" i="38" a="1"/>
  <c r="AN77" i="38" s="1"/>
  <c r="AG78" i="38" a="1"/>
  <c r="AG78" i="38" s="1"/>
  <c r="AL78" i="38" s="1"/>
  <c r="AO78" i="38"/>
  <c r="AY78" i="38" a="1"/>
  <c r="AY78" i="38" s="1"/>
  <c r="AZ78" i="38" s="1"/>
  <c r="AU78" i="38"/>
  <c r="I78" i="38" a="1"/>
  <c r="I78" i="38" s="1"/>
  <c r="AN78" i="38" a="1"/>
  <c r="AN78" i="38" s="1"/>
  <c r="AV69" i="38" l="1" a="1"/>
  <c r="AV69" i="38" s="1"/>
  <c r="AX69" i="38" s="1"/>
  <c r="BA69" i="38" s="1"/>
  <c r="BM69" i="38"/>
  <c r="AP69" i="38"/>
  <c r="AP70" i="38"/>
  <c r="BD70" i="38" s="1"/>
  <c r="BM70" i="38"/>
  <c r="AV70" i="38" a="1"/>
  <c r="AV70" i="38" s="1"/>
  <c r="AX70" i="38" s="1"/>
  <c r="AP72" i="38"/>
  <c r="BK72" i="38" s="1"/>
  <c r="AP68" i="38"/>
  <c r="AV68" i="38" a="1"/>
  <c r="AV68" i="38" s="1"/>
  <c r="AX68" i="38" s="1"/>
  <c r="BA68" i="38" s="1"/>
  <c r="BM68" i="38"/>
  <c r="AV71" i="38" a="1"/>
  <c r="AV71" i="38" s="1"/>
  <c r="AX71" i="38" s="1"/>
  <c r="BM71" i="38"/>
  <c r="AP71" i="38"/>
  <c r="AV72" i="38" a="1"/>
  <c r="AV72" i="38" s="1"/>
  <c r="AX72" i="38" s="1"/>
  <c r="BM72" i="38"/>
  <c r="AV73" i="38" a="1"/>
  <c r="AV73" i="38" s="1"/>
  <c r="AX73" i="38" s="1"/>
  <c r="BM73" i="38"/>
  <c r="AP73" i="38"/>
  <c r="AP74" i="38"/>
  <c r="AP77" i="38"/>
  <c r="BD77" i="38" s="1"/>
  <c r="AV74" i="38" a="1"/>
  <c r="AV74" i="38" s="1"/>
  <c r="AX74" i="38" s="1"/>
  <c r="BA74" i="38" s="1"/>
  <c r="BM74" i="38"/>
  <c r="AV75" i="38" a="1"/>
  <c r="AV75" i="38" s="1"/>
  <c r="AX75" i="38" s="1"/>
  <c r="BM75" i="38"/>
  <c r="AP75" i="38"/>
  <c r="AP76" i="38"/>
  <c r="AV76" i="38" a="1"/>
  <c r="AV76" i="38" s="1"/>
  <c r="AX76" i="38" s="1"/>
  <c r="BA76" i="38" s="1"/>
  <c r="BM76" i="38"/>
  <c r="AV77" i="38" a="1"/>
  <c r="AV77" i="38" s="1"/>
  <c r="AX77" i="38" s="1"/>
  <c r="BA77" i="38" s="1"/>
  <c r="BM77" i="38"/>
  <c r="AP78" i="38"/>
  <c r="AV78" i="38" a="1"/>
  <c r="AV78" i="38" s="1"/>
  <c r="AX78" i="38" s="1"/>
  <c r="BM78" i="38"/>
  <c r="CJ79" i="38"/>
  <c r="AT79" i="38" s="1" a="1"/>
  <c r="AT79" i="38" s="1"/>
  <c r="AU79" i="38" s="1"/>
  <c r="CI79" i="38"/>
  <c r="I79" i="38" s="1" a="1"/>
  <c r="I79" i="38" s="1"/>
  <c r="AK79" i="38"/>
  <c r="AF79" i="38"/>
  <c r="AA79" i="38"/>
  <c r="U79" i="38" a="1"/>
  <c r="U79" i="38" s="1"/>
  <c r="V79" i="38" s="1"/>
  <c r="Q79" i="38" a="1"/>
  <c r="Q79" i="38" s="1"/>
  <c r="P79" i="38" a="1"/>
  <c r="P79" i="38" s="1"/>
  <c r="R79" i="38" s="1"/>
  <c r="J79" i="38"/>
  <c r="CJ95" i="38"/>
  <c r="AT95" i="38" s="1" a="1"/>
  <c r="AT95" i="38" s="1"/>
  <c r="CI95" i="38"/>
  <c r="I95" i="38" s="1" a="1"/>
  <c r="I95" i="38" s="1"/>
  <c r="AK95" i="38"/>
  <c r="AF95" i="38"/>
  <c r="AA95" i="38"/>
  <c r="U95" i="38" a="1"/>
  <c r="U95" i="38" s="1"/>
  <c r="V95" i="38" s="1"/>
  <c r="Q95" i="38" a="1"/>
  <c r="Q95" i="38" s="1"/>
  <c r="P95" i="38" a="1"/>
  <c r="P95" i="38" s="1"/>
  <c r="R95" i="38" s="1"/>
  <c r="J95" i="38"/>
  <c r="F84" i="38"/>
  <c r="F125" i="38"/>
  <c r="G12" i="50"/>
  <c r="I23" i="43"/>
  <c r="J23" i="43" s="1"/>
  <c r="U23" i="43"/>
  <c r="CJ115" i="38"/>
  <c r="AT115" i="38" s="1" a="1"/>
  <c r="AT115" i="38" s="1"/>
  <c r="CI115" i="38"/>
  <c r="I115" i="38" s="1" a="1"/>
  <c r="I115" i="38" s="1"/>
  <c r="AK115" i="38"/>
  <c r="AF115" i="38"/>
  <c r="AA115" i="38"/>
  <c r="U115" i="38" a="1"/>
  <c r="U115" i="38" s="1"/>
  <c r="V115" i="38" s="1"/>
  <c r="Q115" i="38" a="1"/>
  <c r="Q115" i="38" s="1"/>
  <c r="P115" i="38" a="1"/>
  <c r="P115" i="38" s="1"/>
  <c r="R115" i="38" s="1"/>
  <c r="J115" i="38"/>
  <c r="F116" i="38"/>
  <c r="AC23" i="43" l="1" a="1"/>
  <c r="AC23" i="43" s="1"/>
  <c r="BK70" i="38"/>
  <c r="BB69" i="38"/>
  <c r="BD69" i="38"/>
  <c r="BK69" i="38"/>
  <c r="BF69" i="38"/>
  <c r="BA70" i="38"/>
  <c r="BD72" i="38"/>
  <c r="BF68" i="38"/>
  <c r="BD68" i="38"/>
  <c r="BK68" i="38"/>
  <c r="BB68" i="38"/>
  <c r="BD71" i="38"/>
  <c r="BK71" i="38"/>
  <c r="BA71" i="38"/>
  <c r="BA72" i="38"/>
  <c r="BK73" i="38"/>
  <c r="BD73" i="38"/>
  <c r="BA73" i="38"/>
  <c r="BF74" i="38"/>
  <c r="BK77" i="38"/>
  <c r="BD74" i="38"/>
  <c r="BK74" i="38"/>
  <c r="BB74" i="38"/>
  <c r="BD75" i="38"/>
  <c r="BK75" i="38"/>
  <c r="BA75" i="38"/>
  <c r="BF76" i="38"/>
  <c r="BD76" i="38"/>
  <c r="BK76" i="38"/>
  <c r="BB76" i="38"/>
  <c r="BF77" i="38"/>
  <c r="BB77" i="38"/>
  <c r="AN79" i="38" a="1"/>
  <c r="AN79" i="38" s="1"/>
  <c r="BA78" i="38"/>
  <c r="BK78" i="38"/>
  <c r="BD78" i="38"/>
  <c r="AS79" i="38" a="1"/>
  <c r="AS79" i="38" s="1"/>
  <c r="AO95" i="38"/>
  <c r="K23" i="43"/>
  <c r="AM79" i="38" a="1"/>
  <c r="AM79" i="38" s="1"/>
  <c r="AM95" i="38" a="1"/>
  <c r="AM95" i="38" s="1"/>
  <c r="AS95" i="38" a="1"/>
  <c r="AS95" i="38" s="1"/>
  <c r="AV79" i="38" a="1"/>
  <c r="AV79" i="38" s="1"/>
  <c r="AX79" i="38" s="1"/>
  <c r="BM79" i="38"/>
  <c r="AY79" i="38" a="1"/>
  <c r="AY79" i="38" s="1"/>
  <c r="AZ79" i="38" s="1"/>
  <c r="AG79" i="38" a="1"/>
  <c r="AG79" i="38" s="1"/>
  <c r="AL79" i="38" s="1"/>
  <c r="AO79" i="38"/>
  <c r="AU95" i="38"/>
  <c r="AY95" i="38" a="1"/>
  <c r="AY95" i="38" s="1"/>
  <c r="AZ95" i="38" s="1"/>
  <c r="AG95" i="38" a="1"/>
  <c r="AG95" i="38" s="1"/>
  <c r="AL95" i="38" s="1"/>
  <c r="AN95" i="38" a="1"/>
  <c r="AN95" i="38" s="1"/>
  <c r="AM115" i="38" a="1"/>
  <c r="AM115" i="38" s="1"/>
  <c r="AS115" i="38" a="1"/>
  <c r="AS115" i="38" s="1"/>
  <c r="AG115" i="38" a="1"/>
  <c r="AG115" i="38" s="1"/>
  <c r="AL115" i="38" s="1"/>
  <c r="AO115" i="38"/>
  <c r="AN115" i="38" a="1"/>
  <c r="AN115" i="38" s="1"/>
  <c r="AU115" i="38"/>
  <c r="AY115" i="38" a="1"/>
  <c r="AY115" i="38" s="1"/>
  <c r="AZ115" i="38" s="1"/>
  <c r="BN69" i="38" l="1" a="1"/>
  <c r="BN69" i="38" s="1"/>
  <c r="BO69" i="38" s="1"/>
  <c r="BL69" i="38" a="1"/>
  <c r="BL69" i="38" s="1"/>
  <c r="BE69" i="38" a="1"/>
  <c r="BE69" i="38" s="1"/>
  <c r="BC69" i="38" a="1"/>
  <c r="BC69" i="38" s="1"/>
  <c r="BJ69" i="38" a="1"/>
  <c r="BJ69" i="38" s="1"/>
  <c r="BG69" i="38" a="1"/>
  <c r="BG69" i="38" s="1"/>
  <c r="BH69" i="38" s="1"/>
  <c r="BI69" i="38" s="1"/>
  <c r="BF70" i="38"/>
  <c r="BB70" i="38"/>
  <c r="BN68" i="38" a="1"/>
  <c r="BN68" i="38" s="1"/>
  <c r="BO68" i="38" s="1"/>
  <c r="BC68" i="38" a="1"/>
  <c r="BC68" i="38" s="1"/>
  <c r="BJ68" i="38" a="1"/>
  <c r="BJ68" i="38" s="1"/>
  <c r="BG68" i="38" a="1"/>
  <c r="BG68" i="38" s="1"/>
  <c r="BH68" i="38" s="1"/>
  <c r="BI68" i="38" s="1"/>
  <c r="BE68" i="38" a="1"/>
  <c r="BE68" i="38" s="1"/>
  <c r="BL68" i="38" a="1"/>
  <c r="BL68" i="38" s="1"/>
  <c r="BF71" i="38"/>
  <c r="BB71" i="38"/>
  <c r="BF72" i="38"/>
  <c r="BB72" i="38"/>
  <c r="BF73" i="38"/>
  <c r="BB73" i="38"/>
  <c r="BN74" i="38" a="1"/>
  <c r="BN74" i="38" s="1"/>
  <c r="BO74" i="38" s="1"/>
  <c r="BL74" i="38" a="1"/>
  <c r="BL74" i="38" s="1"/>
  <c r="BE74" i="38" a="1"/>
  <c r="BE74" i="38" s="1"/>
  <c r="BC74" i="38" a="1"/>
  <c r="BC74" i="38" s="1"/>
  <c r="BJ74" i="38" a="1"/>
  <c r="BJ74" i="38" s="1"/>
  <c r="BG74" i="38" a="1"/>
  <c r="BG74" i="38" s="1"/>
  <c r="BH74" i="38" s="1"/>
  <c r="BF75" i="38"/>
  <c r="BB75" i="38"/>
  <c r="BG76" i="38" a="1"/>
  <c r="BG76" i="38" s="1"/>
  <c r="BH76" i="38" s="1"/>
  <c r="BI76" i="38" s="1"/>
  <c r="BN76" i="38" a="1"/>
  <c r="BN76" i="38" s="1"/>
  <c r="BO76" i="38" s="1"/>
  <c r="BJ76" i="38" a="1"/>
  <c r="BJ76" i="38" s="1"/>
  <c r="BE76" i="38" a="1"/>
  <c r="BE76" i="38" s="1"/>
  <c r="BL76" i="38" a="1"/>
  <c r="BL76" i="38" s="1"/>
  <c r="BC76" i="38" a="1"/>
  <c r="BC76" i="38" s="1"/>
  <c r="BG77" i="38" a="1"/>
  <c r="BG77" i="38" s="1"/>
  <c r="BH77" i="38" s="1"/>
  <c r="BI77" i="38" s="1"/>
  <c r="BN77" i="38" a="1"/>
  <c r="BN77" i="38" s="1"/>
  <c r="BO77" i="38" s="1"/>
  <c r="BE77" i="38" a="1"/>
  <c r="BE77" i="38" s="1"/>
  <c r="BL77" i="38" a="1"/>
  <c r="BL77" i="38" s="1"/>
  <c r="BC77" i="38" a="1"/>
  <c r="BC77" i="38" s="1"/>
  <c r="BJ77" i="38" a="1"/>
  <c r="BJ77" i="38" s="1"/>
  <c r="BF78" i="38"/>
  <c r="BB78" i="38"/>
  <c r="AP95" i="38"/>
  <c r="BD95" i="38" s="1"/>
  <c r="AP79" i="38"/>
  <c r="BA79" i="38"/>
  <c r="AV95" i="38" a="1"/>
  <c r="AV95" i="38" s="1"/>
  <c r="AX95" i="38" s="1"/>
  <c r="BA95" i="38" s="1"/>
  <c r="BM95" i="38"/>
  <c r="BM115" i="38"/>
  <c r="AV115" i="38" a="1"/>
  <c r="AV115" i="38" s="1"/>
  <c r="AX115" i="38" s="1"/>
  <c r="AP115" i="38"/>
  <c r="U14" i="44"/>
  <c r="V14" i="44"/>
  <c r="W14" i="44"/>
  <c r="AI14" i="44"/>
  <c r="AK14" i="44"/>
  <c r="BP69" i="38" l="1" a="1"/>
  <c r="BP69" i="38" s="1"/>
  <c r="BR69" i="38" s="1"/>
  <c r="BG70" i="38" a="1"/>
  <c r="BG70" i="38" s="1"/>
  <c r="BH70" i="38" s="1"/>
  <c r="BI70" i="38" s="1"/>
  <c r="BN70" i="38" a="1"/>
  <c r="BN70" i="38" s="1"/>
  <c r="BO70" i="38" s="1"/>
  <c r="BE70" i="38" a="1"/>
  <c r="BE70" i="38" s="1"/>
  <c r="BL70" i="38" a="1"/>
  <c r="BL70" i="38" s="1"/>
  <c r="BC70" i="38" a="1"/>
  <c r="BC70" i="38" s="1"/>
  <c r="BJ70" i="38" a="1"/>
  <c r="BJ70" i="38" s="1"/>
  <c r="BP68" i="38" a="1"/>
  <c r="BP68" i="38" s="1"/>
  <c r="BR68" i="38" s="1"/>
  <c r="BG71" i="38" a="1"/>
  <c r="BG71" i="38" s="1"/>
  <c r="BH71" i="38" s="1"/>
  <c r="BI71" i="38" s="1"/>
  <c r="BJ71" i="38" a="1"/>
  <c r="BJ71" i="38" s="1"/>
  <c r="BN71" i="38" a="1"/>
  <c r="BN71" i="38" s="1"/>
  <c r="BO71" i="38" s="1"/>
  <c r="BE71" i="38" a="1"/>
  <c r="BE71" i="38" s="1"/>
  <c r="BL71" i="38" a="1"/>
  <c r="BL71" i="38" s="1"/>
  <c r="BC71" i="38" a="1"/>
  <c r="BC71" i="38" s="1"/>
  <c r="BN72" i="38" a="1"/>
  <c r="BN72" i="38" s="1"/>
  <c r="BO72" i="38" s="1"/>
  <c r="BL72" i="38" a="1"/>
  <c r="BL72" i="38" s="1"/>
  <c r="BJ72" i="38" a="1"/>
  <c r="BJ72" i="38" s="1"/>
  <c r="BG72" i="38" a="1"/>
  <c r="BG72" i="38" s="1"/>
  <c r="BH72" i="38" s="1"/>
  <c r="BI72" i="38" s="1"/>
  <c r="BE72" i="38" a="1"/>
  <c r="BE72" i="38" s="1"/>
  <c r="BC72" i="38" a="1"/>
  <c r="BC72" i="38" s="1"/>
  <c r="BN73" i="38" a="1"/>
  <c r="BN73" i="38" s="1"/>
  <c r="BO73" i="38" s="1"/>
  <c r="BL73" i="38" a="1"/>
  <c r="BL73" i="38" s="1"/>
  <c r="BC73" i="38" a="1"/>
  <c r="BC73" i="38" s="1"/>
  <c r="BJ73" i="38" a="1"/>
  <c r="BJ73" i="38" s="1"/>
  <c r="BG73" i="38" a="1"/>
  <c r="BG73" i="38" s="1"/>
  <c r="BH73" i="38" s="1"/>
  <c r="BI73" i="38" s="1"/>
  <c r="BE73" i="38" a="1"/>
  <c r="BE73" i="38" s="1"/>
  <c r="BI74" i="38"/>
  <c r="BG75" i="38" a="1"/>
  <c r="BG75" i="38" s="1"/>
  <c r="BH75" i="38" s="1"/>
  <c r="BI75" i="38" s="1"/>
  <c r="BN75" i="38" a="1"/>
  <c r="BN75" i="38" s="1"/>
  <c r="BO75" i="38" s="1"/>
  <c r="BE75" i="38" a="1"/>
  <c r="BE75" i="38" s="1"/>
  <c r="BL75" i="38" a="1"/>
  <c r="BL75" i="38" s="1"/>
  <c r="BC75" i="38" a="1"/>
  <c r="BC75" i="38" s="1"/>
  <c r="BJ75" i="38" a="1"/>
  <c r="BJ75" i="38" s="1"/>
  <c r="BP76" i="38" a="1"/>
  <c r="BP76" i="38" s="1"/>
  <c r="BR76" i="38" s="1"/>
  <c r="BP77" i="38" a="1"/>
  <c r="BP77" i="38" s="1"/>
  <c r="BR77" i="38" s="1"/>
  <c r="BS77" i="38" s="1"/>
  <c r="BT77" i="38" s="1"/>
  <c r="BL78" i="38" a="1"/>
  <c r="BL78" i="38" s="1"/>
  <c r="BG78" i="38" a="1"/>
  <c r="BG78" i="38" s="1"/>
  <c r="BH78" i="38" s="1"/>
  <c r="BI78" i="38" s="1"/>
  <c r="BC78" i="38" a="1"/>
  <c r="BC78" i="38" s="1"/>
  <c r="BN78" i="38" a="1"/>
  <c r="BN78" i="38" s="1"/>
  <c r="BO78" i="38" s="1"/>
  <c r="BE78" i="38" a="1"/>
  <c r="BE78" i="38" s="1"/>
  <c r="BJ78" i="38" a="1"/>
  <c r="BJ78" i="38" s="1"/>
  <c r="BK95" i="38"/>
  <c r="BB95" i="38"/>
  <c r="BG95" i="38" s="1" a="1"/>
  <c r="BG95" i="38" s="1"/>
  <c r="BH95" i="38" s="1"/>
  <c r="BF79" i="38"/>
  <c r="BD79" i="38"/>
  <c r="BK79" i="38"/>
  <c r="BB79" i="38"/>
  <c r="BF95" i="38"/>
  <c r="BA115" i="38"/>
  <c r="BB115" i="38" s="1"/>
  <c r="BD115" i="38"/>
  <c r="BK115" i="38"/>
  <c r="BS69" i="38" l="1"/>
  <c r="BT69" i="38" s="1"/>
  <c r="BP70" i="38" a="1"/>
  <c r="BP70" i="38" s="1"/>
  <c r="BR70" i="38" s="1"/>
  <c r="BS68" i="38"/>
  <c r="BT68" i="38" s="1"/>
  <c r="BP71" i="38" a="1"/>
  <c r="BP71" i="38" s="1"/>
  <c r="BR71" i="38" s="1"/>
  <c r="BS71" i="38" s="1"/>
  <c r="BT71" i="38" s="1"/>
  <c r="BP72" i="38" a="1"/>
  <c r="BP72" i="38" s="1"/>
  <c r="BR72" i="38" s="1"/>
  <c r="BP73" i="38" a="1"/>
  <c r="BP73" i="38" s="1"/>
  <c r="BR73" i="38" s="1"/>
  <c r="BP74" i="38" a="1"/>
  <c r="BP74" i="38" s="1"/>
  <c r="BR74" i="38" s="1"/>
  <c r="BP75" i="38" a="1"/>
  <c r="BP75" i="38" s="1"/>
  <c r="BR75" i="38" s="1"/>
  <c r="BS76" i="38"/>
  <c r="BT76" i="38" s="1"/>
  <c r="CC77" i="38" a="1"/>
  <c r="CC77" i="38" s="1"/>
  <c r="CB77" i="38" a="1"/>
  <c r="CB77" i="38" s="1"/>
  <c r="BU77" i="38"/>
  <c r="BP78" i="38" a="1"/>
  <c r="BP78" i="38" s="1"/>
  <c r="BR78" i="38" s="1"/>
  <c r="BJ95" i="38" a="1"/>
  <c r="BJ95" i="38" s="1"/>
  <c r="BC95" i="38" a="1"/>
  <c r="BC95" i="38" s="1"/>
  <c r="BL95" i="38" a="1"/>
  <c r="BL95" i="38" s="1"/>
  <c r="BE95" i="38" a="1"/>
  <c r="BE95" i="38" s="1"/>
  <c r="BN95" i="38" a="1"/>
  <c r="BN95" i="38" s="1"/>
  <c r="BO95" i="38" s="1"/>
  <c r="BN79" i="38" a="1"/>
  <c r="BN79" i="38" s="1"/>
  <c r="BO79" i="38" s="1"/>
  <c r="BE79" i="38" a="1"/>
  <c r="BE79" i="38" s="1"/>
  <c r="BL79" i="38" a="1"/>
  <c r="BL79" i="38" s="1"/>
  <c r="BC79" i="38" a="1"/>
  <c r="BC79" i="38" s="1"/>
  <c r="BJ79" i="38" a="1"/>
  <c r="BJ79" i="38" s="1"/>
  <c r="BG79" i="38" a="1"/>
  <c r="BG79" i="38" s="1"/>
  <c r="BH79" i="38" s="1"/>
  <c r="BI95" i="38"/>
  <c r="BE115" i="38" a="1"/>
  <c r="BE115" i="38" s="1"/>
  <c r="BL115" i="38" a="1"/>
  <c r="BL115" i="38" s="1"/>
  <c r="BC115" i="38" a="1"/>
  <c r="BC115" i="38" s="1"/>
  <c r="BJ115" i="38" a="1"/>
  <c r="BJ115" i="38" s="1"/>
  <c r="BG115" i="38" a="1"/>
  <c r="BG115" i="38" s="1"/>
  <c r="BH115" i="38" s="1"/>
  <c r="BN115" i="38" a="1"/>
  <c r="BN115" i="38" s="1"/>
  <c r="BO115" i="38" s="1"/>
  <c r="BF115" i="38"/>
  <c r="CC69" i="38" l="1" a="1"/>
  <c r="CC69" i="38" s="1"/>
  <c r="CB69" i="38" a="1"/>
  <c r="CB69" i="38" s="1"/>
  <c r="BU69" i="38"/>
  <c r="BS70" i="38"/>
  <c r="BT70" i="38" s="1"/>
  <c r="BU68" i="38"/>
  <c r="CC68" i="38" a="1"/>
  <c r="CC68" i="38" s="1"/>
  <c r="CB68" i="38" a="1"/>
  <c r="CB68" i="38" s="1"/>
  <c r="CC71" i="38" a="1"/>
  <c r="CC71" i="38" s="1"/>
  <c r="CB71" i="38" a="1"/>
  <c r="CB71" i="38" s="1"/>
  <c r="BU71" i="38"/>
  <c r="BS72" i="38"/>
  <c r="BT72" i="38" s="1"/>
  <c r="BS73" i="38"/>
  <c r="BT73" i="38" s="1"/>
  <c r="BS74" i="38"/>
  <c r="BT74" i="38" s="1"/>
  <c r="BS75" i="38"/>
  <c r="BT75" i="38" s="1"/>
  <c r="CC76" i="38" a="1"/>
  <c r="CC76" i="38" s="1"/>
  <c r="BU76" i="38"/>
  <c r="CB76" i="38" a="1"/>
  <c r="CB76" i="38" s="1"/>
  <c r="DS77" i="38" a="1"/>
  <c r="DS77" i="38" s="1"/>
  <c r="DQ77" i="38"/>
  <c r="CN77" i="38" a="1"/>
  <c r="CN77" i="38" s="1"/>
  <c r="DU77" i="38"/>
  <c r="DT77" i="38" a="1"/>
  <c r="DT77" i="38" s="1"/>
  <c r="DZ77" i="38" a="1"/>
  <c r="DZ77" i="38" s="1"/>
  <c r="EA77" i="38"/>
  <c r="CP77" i="38" a="1"/>
  <c r="CP77" i="38" s="1"/>
  <c r="DY77" i="38" a="1"/>
  <c r="DY77" i="38" s="1"/>
  <c r="DW77" i="38"/>
  <c r="BS78" i="38"/>
  <c r="BT78" i="38" s="1"/>
  <c r="BI79" i="38"/>
  <c r="BP95" i="38" a="1"/>
  <c r="BP95" i="38" s="1"/>
  <c r="BR95" i="38" s="1"/>
  <c r="BI115" i="38"/>
  <c r="DS69" i="38" l="1" a="1"/>
  <c r="DS69" i="38" s="1"/>
  <c r="DQ69" i="38"/>
  <c r="DU69" i="38"/>
  <c r="CN69" i="38" a="1"/>
  <c r="CN69" i="38" s="1"/>
  <c r="DT69" i="38" a="1"/>
  <c r="DT69" i="38" s="1"/>
  <c r="CP69" i="38" a="1"/>
  <c r="CP69" i="38" s="1"/>
  <c r="DZ69" i="38" a="1"/>
  <c r="DZ69" i="38" s="1"/>
  <c r="DY69" i="38" a="1"/>
  <c r="DY69" i="38" s="1"/>
  <c r="DW69" i="38"/>
  <c r="EA69" i="38"/>
  <c r="CC70" i="38" a="1"/>
  <c r="CC70" i="38" s="1"/>
  <c r="CB70" i="38" a="1"/>
  <c r="CB70" i="38" s="1"/>
  <c r="BU70" i="38"/>
  <c r="DZ68" i="38" a="1"/>
  <c r="DZ68" i="38" s="1"/>
  <c r="DY68" i="38" a="1"/>
  <c r="DY68" i="38" s="1"/>
  <c r="DW68" i="38"/>
  <c r="EA68" i="38"/>
  <c r="CP68" i="38" a="1"/>
  <c r="CP68" i="38" s="1"/>
  <c r="DQ68" i="38"/>
  <c r="DU68" i="38"/>
  <c r="DT68" i="38" a="1"/>
  <c r="DT68" i="38" s="1"/>
  <c r="DS68" i="38" a="1"/>
  <c r="DS68" i="38" s="1"/>
  <c r="CN68" i="38" a="1"/>
  <c r="CN68" i="38" s="1"/>
  <c r="DS71" i="38" a="1"/>
  <c r="DS71" i="38" s="1"/>
  <c r="DT71" i="38" a="1"/>
  <c r="DT71" i="38" s="1"/>
  <c r="DQ71" i="38"/>
  <c r="CN71" i="38" a="1"/>
  <c r="CN71" i="38" s="1"/>
  <c r="DU71" i="38"/>
  <c r="EA71" i="38"/>
  <c r="CP71" i="38" a="1"/>
  <c r="CP71" i="38" s="1"/>
  <c r="DZ71" i="38" a="1"/>
  <c r="DZ71" i="38" s="1"/>
  <c r="DY71" i="38" a="1"/>
  <c r="DY71" i="38" s="1"/>
  <c r="DW71" i="38"/>
  <c r="CB72" i="38" a="1"/>
  <c r="CB72" i="38" s="1"/>
  <c r="BU72" i="38"/>
  <c r="CC72" i="38" a="1"/>
  <c r="CC72" i="38" s="1"/>
  <c r="BU73" i="38"/>
  <c r="CC73" i="38" a="1"/>
  <c r="CC73" i="38" s="1"/>
  <c r="CB73" i="38" a="1"/>
  <c r="CB73" i="38" s="1"/>
  <c r="CC74" i="38" a="1"/>
  <c r="CC74" i="38" s="1"/>
  <c r="CB74" i="38" a="1"/>
  <c r="CB74" i="38" s="1"/>
  <c r="BU74" i="38"/>
  <c r="CB75" i="38" a="1"/>
  <c r="CB75" i="38" s="1"/>
  <c r="BU75" i="38"/>
  <c r="CC75" i="38" a="1"/>
  <c r="CC75" i="38" s="1"/>
  <c r="EA76" i="38"/>
  <c r="CP76" i="38" a="1"/>
  <c r="CP76" i="38" s="1"/>
  <c r="DZ76" i="38" a="1"/>
  <c r="DZ76" i="38" s="1"/>
  <c r="DY76" i="38" a="1"/>
  <c r="DY76" i="38" s="1"/>
  <c r="DW76" i="38"/>
  <c r="DS76" i="38" a="1"/>
  <c r="DS76" i="38" s="1"/>
  <c r="DQ76" i="38"/>
  <c r="DU76" i="38"/>
  <c r="DT76" i="38" a="1"/>
  <c r="DT76" i="38" s="1"/>
  <c r="CN76" i="38" a="1"/>
  <c r="CN76" i="38" s="1"/>
  <c r="CC78" i="38" a="1"/>
  <c r="CC78" i="38" s="1"/>
  <c r="BU78" i="38"/>
  <c r="CB78" i="38" a="1"/>
  <c r="CB78" i="38" s="1"/>
  <c r="BP79" i="38" a="1"/>
  <c r="BP79" i="38" s="1"/>
  <c r="BR79" i="38" s="1"/>
  <c r="BS95" i="38"/>
  <c r="BT95" i="38" s="1"/>
  <c r="BP115" i="38" a="1"/>
  <c r="BP115" i="38" s="1"/>
  <c r="BR115" i="38" s="1"/>
  <c r="EA70" i="38" l="1"/>
  <c r="DY70" i="38" a="1"/>
  <c r="DY70" i="38" s="1"/>
  <c r="DW70" i="38"/>
  <c r="CP70" i="38" a="1"/>
  <c r="CP70" i="38" s="1"/>
  <c r="DZ70" i="38" a="1"/>
  <c r="DZ70" i="38" s="1"/>
  <c r="DS70" i="38" a="1"/>
  <c r="DS70" i="38" s="1"/>
  <c r="DQ70" i="38"/>
  <c r="CN70" i="38" a="1"/>
  <c r="CN70" i="38" s="1"/>
  <c r="DU70" i="38"/>
  <c r="DT70" i="38" a="1"/>
  <c r="DT70" i="38" s="1"/>
  <c r="DZ72" i="38" a="1"/>
  <c r="DZ72" i="38" s="1"/>
  <c r="DY72" i="38" a="1"/>
  <c r="DY72" i="38" s="1"/>
  <c r="DW72" i="38"/>
  <c r="EA72" i="38"/>
  <c r="CP72" i="38" a="1"/>
  <c r="CP72" i="38" s="1"/>
  <c r="DQ72" i="38"/>
  <c r="CN72" i="38" a="1"/>
  <c r="CN72" i="38" s="1"/>
  <c r="DU72" i="38"/>
  <c r="DT72" i="38" a="1"/>
  <c r="DT72" i="38" s="1"/>
  <c r="DS72" i="38" a="1"/>
  <c r="DS72" i="38" s="1"/>
  <c r="DQ73" i="38"/>
  <c r="DU73" i="38"/>
  <c r="DT73" i="38" a="1"/>
  <c r="DT73" i="38" s="1"/>
  <c r="DS73" i="38" a="1"/>
  <c r="DS73" i="38" s="1"/>
  <c r="CN73" i="38" a="1"/>
  <c r="CN73" i="38" s="1"/>
  <c r="DZ73" i="38" a="1"/>
  <c r="DZ73" i="38" s="1"/>
  <c r="DW73" i="38"/>
  <c r="EA73" i="38"/>
  <c r="CP73" i="38" a="1"/>
  <c r="CP73" i="38" s="1"/>
  <c r="DY73" i="38" a="1"/>
  <c r="DY73" i="38" s="1"/>
  <c r="DQ74" i="38"/>
  <c r="CN74" i="38" a="1"/>
  <c r="CN74" i="38" s="1"/>
  <c r="DU74" i="38"/>
  <c r="DT74" i="38" a="1"/>
  <c r="DT74" i="38" s="1"/>
  <c r="DS74" i="38" a="1"/>
  <c r="DS74" i="38" s="1"/>
  <c r="DZ74" i="38" a="1"/>
  <c r="DZ74" i="38" s="1"/>
  <c r="EA74" i="38"/>
  <c r="CP74" i="38" a="1"/>
  <c r="CP74" i="38" s="1"/>
  <c r="DY74" i="38" a="1"/>
  <c r="DY74" i="38" s="1"/>
  <c r="DW74" i="38"/>
  <c r="EA75" i="38"/>
  <c r="DZ75" i="38" a="1"/>
  <c r="DZ75" i="38" s="1"/>
  <c r="DY75" i="38" a="1"/>
  <c r="DY75" i="38" s="1"/>
  <c r="DW75" i="38"/>
  <c r="CP75" i="38" a="1"/>
  <c r="CP75" i="38" s="1"/>
  <c r="DS75" i="38" a="1"/>
  <c r="DS75" i="38" s="1"/>
  <c r="DQ75" i="38"/>
  <c r="CN75" i="38" a="1"/>
  <c r="CN75" i="38" s="1"/>
  <c r="DU75" i="38"/>
  <c r="DT75" i="38" a="1"/>
  <c r="DT75" i="38" s="1"/>
  <c r="DU78" i="38"/>
  <c r="DS78" i="38" a="1"/>
  <c r="DS78" i="38" s="1"/>
  <c r="DQ78" i="38"/>
  <c r="CN78" i="38" a="1"/>
  <c r="CN78" i="38" s="1"/>
  <c r="DT78" i="38" a="1"/>
  <c r="DT78" i="38" s="1"/>
  <c r="EA78" i="38"/>
  <c r="CP78" i="38" a="1"/>
  <c r="CP78" i="38" s="1"/>
  <c r="DZ78" i="38" a="1"/>
  <c r="DZ78" i="38" s="1"/>
  <c r="DY78" i="38" a="1"/>
  <c r="DY78" i="38" s="1"/>
  <c r="DW78" i="38"/>
  <c r="BS79" i="38"/>
  <c r="BT79" i="38" s="1"/>
  <c r="CB95" i="38" a="1"/>
  <c r="CB95" i="38" s="1"/>
  <c r="BU95" i="38"/>
  <c r="CC95" i="38" a="1"/>
  <c r="CC95" i="38" s="1"/>
  <c r="BS115" i="38"/>
  <c r="BT115" i="38" s="1"/>
  <c r="CB79" i="38" l="1" a="1"/>
  <c r="CB79" i="38" s="1"/>
  <c r="BU79" i="38"/>
  <c r="CC79" i="38" a="1"/>
  <c r="CC79" i="38" s="1"/>
  <c r="DZ95" i="38" a="1"/>
  <c r="DZ95" i="38" s="1"/>
  <c r="DY95" i="38" a="1"/>
  <c r="DY95" i="38" s="1"/>
  <c r="DW95" i="38"/>
  <c r="EA95" i="38"/>
  <c r="CP95" i="38" a="1"/>
  <c r="CP95" i="38" s="1"/>
  <c r="DQ95" i="38"/>
  <c r="CN95" i="38" a="1"/>
  <c r="CN95" i="38" s="1"/>
  <c r="DU95" i="38"/>
  <c r="DT95" i="38" a="1"/>
  <c r="DT95" i="38" s="1"/>
  <c r="DS95" i="38" a="1"/>
  <c r="DS95" i="38" s="1"/>
  <c r="CB115" i="38" a="1"/>
  <c r="CB115" i="38" s="1"/>
  <c r="BU115" i="38"/>
  <c r="CC115" i="38" a="1"/>
  <c r="CC115" i="38" s="1"/>
  <c r="DZ79" i="38" l="1" a="1"/>
  <c r="DZ79" i="38" s="1"/>
  <c r="DY79" i="38" a="1"/>
  <c r="DY79" i="38" s="1"/>
  <c r="DW79" i="38"/>
  <c r="CP79" i="38" a="1"/>
  <c r="CP79" i="38" s="1"/>
  <c r="EA79" i="38"/>
  <c r="DQ79" i="38"/>
  <c r="CN79" i="38" a="1"/>
  <c r="CN79" i="38" s="1"/>
  <c r="DU79" i="38"/>
  <c r="DT79" i="38" a="1"/>
  <c r="DT79" i="38" s="1"/>
  <c r="DS79" i="38" a="1"/>
  <c r="DS79" i="38" s="1"/>
  <c r="CN115" i="38" a="1"/>
  <c r="CN115" i="38" s="1"/>
  <c r="DU115" i="38"/>
  <c r="DT115" i="38" a="1"/>
  <c r="DT115" i="38" s="1"/>
  <c r="DS115" i="38" a="1"/>
  <c r="DS115" i="38" s="1"/>
  <c r="DQ115" i="38"/>
  <c r="EA115" i="38"/>
  <c r="DZ115" i="38" a="1"/>
  <c r="DZ115" i="38" s="1"/>
  <c r="DY115" i="38" a="1"/>
  <c r="DY115" i="38" s="1"/>
  <c r="DW115" i="38"/>
  <c r="CP115" i="38" a="1"/>
  <c r="CP115" i="38" s="1"/>
  <c r="CJ83" i="38" l="1"/>
  <c r="AT83" i="38" s="1" a="1"/>
  <c r="AT83" i="38" s="1"/>
  <c r="CI83" i="38"/>
  <c r="AM83" i="38" s="1" a="1"/>
  <c r="AM83" i="38" s="1"/>
  <c r="AK83" i="38"/>
  <c r="AF83" i="38"/>
  <c r="AA83" i="38"/>
  <c r="U83" i="38" a="1"/>
  <c r="U83" i="38" s="1"/>
  <c r="V83" i="38" s="1"/>
  <c r="Q83" i="38" a="1"/>
  <c r="Q83" i="38" s="1"/>
  <c r="P83" i="38" a="1"/>
  <c r="P83" i="38" s="1"/>
  <c r="R83" i="38" s="1"/>
  <c r="J83" i="38"/>
  <c r="CJ84" i="38"/>
  <c r="AT84" i="38" s="1" a="1"/>
  <c r="AT84" i="38" s="1"/>
  <c r="CI84" i="38"/>
  <c r="AK84" i="38"/>
  <c r="AF84" i="38"/>
  <c r="AA84" i="38"/>
  <c r="CJ124" i="38"/>
  <c r="AT124" i="38" s="1" a="1"/>
  <c r="AT124" i="38" s="1"/>
  <c r="CI124" i="38"/>
  <c r="I124" i="38" s="1" a="1"/>
  <c r="I124" i="38" s="1"/>
  <c r="AK124" i="38"/>
  <c r="AF124" i="38"/>
  <c r="AA124" i="38"/>
  <c r="U124" i="38" a="1"/>
  <c r="U124" i="38" s="1"/>
  <c r="V124" i="38" s="1"/>
  <c r="Q124" i="38" a="1"/>
  <c r="Q124" i="38" s="1"/>
  <c r="P124" i="38" a="1"/>
  <c r="P124" i="38" s="1"/>
  <c r="R124" i="38" s="1"/>
  <c r="J124" i="38"/>
  <c r="CJ125" i="38"/>
  <c r="AT125" i="38" s="1" a="1"/>
  <c r="AT125" i="38" s="1"/>
  <c r="CI125" i="38"/>
  <c r="AK125" i="38"/>
  <c r="AF125" i="38"/>
  <c r="AA125" i="38"/>
  <c r="CJ116" i="38"/>
  <c r="AT116" i="38" s="1" a="1"/>
  <c r="AT116" i="38" s="1"/>
  <c r="CI116" i="38"/>
  <c r="AK116" i="38"/>
  <c r="AF116" i="38"/>
  <c r="AA116" i="38"/>
  <c r="U13" i="44"/>
  <c r="V13" i="44"/>
  <c r="W13" i="44"/>
  <c r="AI13" i="44"/>
  <c r="AK13" i="44"/>
  <c r="AS125" i="38" l="1" a="1"/>
  <c r="AS125" i="38" s="1"/>
  <c r="AS116" i="38" a="1"/>
  <c r="AS116" i="38" s="1"/>
  <c r="AS84" i="38" a="1"/>
  <c r="AS84" i="38" s="1"/>
  <c r="AS83" i="38" a="1"/>
  <c r="AS83" i="38" s="1"/>
  <c r="AS124" i="38" a="1"/>
  <c r="AS124" i="38" s="1"/>
  <c r="AM124" i="38" a="1"/>
  <c r="AM124" i="38" s="1"/>
  <c r="AY83" i="38" a="1"/>
  <c r="AY83" i="38" s="1"/>
  <c r="AZ83" i="38" s="1"/>
  <c r="AU83" i="38"/>
  <c r="AO83" i="38"/>
  <c r="AN83" i="38" a="1"/>
  <c r="AN83" i="38" s="1"/>
  <c r="AG83" i="38" a="1"/>
  <c r="AG83" i="38" s="1"/>
  <c r="AL83" i="38" s="1"/>
  <c r="I83" i="38" a="1"/>
  <c r="I83" i="38" s="1"/>
  <c r="AU84" i="38"/>
  <c r="AY84" i="38" a="1"/>
  <c r="AY84" i="38" s="1"/>
  <c r="AZ84" i="38" s="1"/>
  <c r="AU124" i="38"/>
  <c r="AY124" i="38" a="1"/>
  <c r="AY124" i="38" s="1"/>
  <c r="AZ124" i="38" s="1"/>
  <c r="AG124" i="38" a="1"/>
  <c r="AG124" i="38" s="1"/>
  <c r="AL124" i="38" s="1"/>
  <c r="AO124" i="38"/>
  <c r="AN124" i="38" a="1"/>
  <c r="AN124" i="38" s="1"/>
  <c r="AU125" i="38"/>
  <c r="AY125" i="38" a="1"/>
  <c r="AY125" i="38" s="1"/>
  <c r="AZ125" i="38" s="1"/>
  <c r="AY116" i="38" a="1"/>
  <c r="AY116" i="38" s="1"/>
  <c r="AZ116" i="38" s="1"/>
  <c r="AU116" i="38"/>
  <c r="CJ110" i="38"/>
  <c r="AT110" i="38" s="1" a="1"/>
  <c r="AT110" i="38" s="1"/>
  <c r="CI110" i="38"/>
  <c r="AK110" i="38"/>
  <c r="AF110" i="38"/>
  <c r="AA110" i="38"/>
  <c r="CJ111" i="38"/>
  <c r="AT111" i="38" s="1" a="1"/>
  <c r="AT111" i="38" s="1"/>
  <c r="CI111" i="38"/>
  <c r="I111" i="38" s="1" a="1"/>
  <c r="I111" i="38" s="1"/>
  <c r="AK111" i="38"/>
  <c r="AF111" i="38"/>
  <c r="AA111" i="38"/>
  <c r="U111" i="38" a="1"/>
  <c r="U111" i="38" s="1"/>
  <c r="V111" i="38" s="1"/>
  <c r="Q111" i="38" a="1"/>
  <c r="Q111" i="38" s="1"/>
  <c r="P111" i="38" a="1"/>
  <c r="P111" i="38" s="1"/>
  <c r="R111" i="38" s="1"/>
  <c r="J111" i="38"/>
  <c r="AP83" i="38" l="1"/>
  <c r="AV83" i="38" a="1"/>
  <c r="AV83" i="38" s="1"/>
  <c r="AX83" i="38" s="1"/>
  <c r="BA83" i="38" s="1"/>
  <c r="BM83" i="38"/>
  <c r="BM84" i="38"/>
  <c r="AV84" i="38" a="1"/>
  <c r="AV84" i="38" s="1"/>
  <c r="AX84" i="38" s="1"/>
  <c r="AP124" i="38"/>
  <c r="BM124" i="38"/>
  <c r="AV124" i="38" a="1"/>
  <c r="AV124" i="38" s="1"/>
  <c r="AX124" i="38" s="1"/>
  <c r="BM125" i="38"/>
  <c r="AV125" i="38" a="1"/>
  <c r="AV125" i="38" s="1"/>
  <c r="AX125" i="38" s="1"/>
  <c r="AS110" i="38" a="1"/>
  <c r="AS110" i="38" s="1"/>
  <c r="AV116" i="38" a="1"/>
  <c r="AV116" i="38" s="1"/>
  <c r="AX116" i="38" s="1"/>
  <c r="BA116" i="38" s="1"/>
  <c r="BM116" i="38"/>
  <c r="AM111" i="38" a="1"/>
  <c r="AM111" i="38" s="1"/>
  <c r="AS111" i="38" a="1"/>
  <c r="AS111" i="38" s="1"/>
  <c r="AU110" i="38"/>
  <c r="AY110" i="38" a="1"/>
  <c r="AY110" i="38" s="1"/>
  <c r="AZ110" i="38" s="1"/>
  <c r="AG111" i="38" a="1"/>
  <c r="AG111" i="38" s="1"/>
  <c r="AL111" i="38" s="1"/>
  <c r="AO111" i="38"/>
  <c r="AN111" i="38" a="1"/>
  <c r="AN111" i="38" s="1"/>
  <c r="AU111" i="38"/>
  <c r="AY111" i="38" a="1"/>
  <c r="AY111" i="38" s="1"/>
  <c r="AZ111" i="38" s="1"/>
  <c r="BF83" i="38" l="1"/>
  <c r="BD83" i="38"/>
  <c r="BK83" i="38"/>
  <c r="BB83" i="38"/>
  <c r="BA84" i="38"/>
  <c r="BA124" i="38"/>
  <c r="BB124" i="38" s="1"/>
  <c r="BD124" i="38"/>
  <c r="BK124" i="38"/>
  <c r="BA125" i="38"/>
  <c r="BF116" i="38"/>
  <c r="BM110" i="38"/>
  <c r="AV110" i="38" a="1"/>
  <c r="AV110" i="38" s="1"/>
  <c r="AX110" i="38" s="1"/>
  <c r="BM111" i="38"/>
  <c r="AV111" i="38" a="1"/>
  <c r="AV111" i="38" s="1"/>
  <c r="AX111" i="38" s="1"/>
  <c r="AP111" i="38"/>
  <c r="BN83" i="38" l="1" a="1"/>
  <c r="BN83" i="38" s="1"/>
  <c r="BO83" i="38" s="1"/>
  <c r="BC83" i="38" a="1"/>
  <c r="BC83" i="38" s="1"/>
  <c r="BJ83" i="38" a="1"/>
  <c r="BJ83" i="38" s="1"/>
  <c r="BG83" i="38" a="1"/>
  <c r="BG83" i="38" s="1"/>
  <c r="BH83" i="38" s="1"/>
  <c r="BE83" i="38" a="1"/>
  <c r="BE83" i="38" s="1"/>
  <c r="BL83" i="38" a="1"/>
  <c r="BL83" i="38" s="1"/>
  <c r="BF84" i="38"/>
  <c r="BE124" i="38" a="1"/>
  <c r="BE124" i="38" s="1"/>
  <c r="BL124" i="38" a="1"/>
  <c r="BL124" i="38" s="1"/>
  <c r="BC124" i="38" a="1"/>
  <c r="BC124" i="38" s="1"/>
  <c r="BJ124" i="38" a="1"/>
  <c r="BJ124" i="38" s="1"/>
  <c r="BN124" i="38" a="1"/>
  <c r="BN124" i="38" s="1"/>
  <c r="BO124" i="38" s="1"/>
  <c r="BG124" i="38" a="1"/>
  <c r="BG124" i="38" s="1"/>
  <c r="BH124" i="38" s="1"/>
  <c r="BF124" i="38"/>
  <c r="BF125" i="38"/>
  <c r="BA110" i="38"/>
  <c r="BD111" i="38"/>
  <c r="BK111" i="38"/>
  <c r="BA111" i="38"/>
  <c r="BI83" i="38" l="1"/>
  <c r="BI124" i="38"/>
  <c r="BF110" i="38"/>
  <c r="BF111" i="38"/>
  <c r="BB111" i="38"/>
  <c r="BP83" i="38" l="1" a="1"/>
  <c r="BP83" i="38" s="1"/>
  <c r="BR83" i="38" s="1"/>
  <c r="BP124" i="38" a="1"/>
  <c r="BP124" i="38" s="1"/>
  <c r="BR124" i="38" s="1"/>
  <c r="BE111" i="38" a="1"/>
  <c r="BE111" i="38" s="1"/>
  <c r="BL111" i="38" a="1"/>
  <c r="BL111" i="38" s="1"/>
  <c r="BC111" i="38" a="1"/>
  <c r="BC111" i="38" s="1"/>
  <c r="BJ111" i="38" a="1"/>
  <c r="BJ111" i="38" s="1"/>
  <c r="BG111" i="38" a="1"/>
  <c r="BG111" i="38" s="1"/>
  <c r="BH111" i="38" s="1"/>
  <c r="BN111" i="38" a="1"/>
  <c r="BN111" i="38" s="1"/>
  <c r="BO111" i="38" s="1"/>
  <c r="BS83" i="38" l="1"/>
  <c r="BT83" i="38" s="1"/>
  <c r="BS124" i="38"/>
  <c r="BT124" i="38" s="1"/>
  <c r="BI111" i="38"/>
  <c r="CC83" i="38" l="1" a="1"/>
  <c r="CC83" i="38" s="1"/>
  <c r="BU83" i="38"/>
  <c r="CB83" i="38" a="1"/>
  <c r="CB83" i="38" s="1"/>
  <c r="CB124" i="38" a="1"/>
  <c r="CB124" i="38" s="1"/>
  <c r="BU124" i="38"/>
  <c r="CC124" i="38" a="1"/>
  <c r="CC124" i="38" s="1"/>
  <c r="BP111" i="38" a="1"/>
  <c r="BP111" i="38" s="1"/>
  <c r="BR111" i="38" s="1"/>
  <c r="DQ83" i="38" l="1"/>
  <c r="DU83" i="38"/>
  <c r="CN83" i="38" a="1"/>
  <c r="CN83" i="38" s="1"/>
  <c r="DT83" i="38" a="1"/>
  <c r="DT83" i="38" s="1"/>
  <c r="DS83" i="38" a="1"/>
  <c r="DS83" i="38" s="1"/>
  <c r="CP83" i="38" a="1"/>
  <c r="CP83" i="38" s="1"/>
  <c r="DZ83" i="38" a="1"/>
  <c r="DZ83" i="38" s="1"/>
  <c r="DY83" i="38" a="1"/>
  <c r="DY83" i="38" s="1"/>
  <c r="DW83" i="38"/>
  <c r="EA83" i="38"/>
  <c r="DY124" i="38" a="1"/>
  <c r="DY124" i="38" s="1"/>
  <c r="DW124" i="38"/>
  <c r="EA124" i="38"/>
  <c r="CP124" i="38" a="1"/>
  <c r="CP124" i="38" s="1"/>
  <c r="DZ124" i="38" a="1"/>
  <c r="DZ124" i="38" s="1"/>
  <c r="CN124" i="38" a="1"/>
  <c r="CN124" i="38" s="1"/>
  <c r="DU124" i="38"/>
  <c r="DT124" i="38" a="1"/>
  <c r="DT124" i="38" s="1"/>
  <c r="DS124" i="38" a="1"/>
  <c r="DS124" i="38" s="1"/>
  <c r="DQ124" i="38"/>
  <c r="BS111" i="38"/>
  <c r="BT111" i="38" s="1"/>
  <c r="CB111" i="38" l="1" a="1"/>
  <c r="CB111" i="38" s="1"/>
  <c r="BU111" i="38"/>
  <c r="CC111" i="38" a="1"/>
  <c r="CC111" i="38" s="1"/>
  <c r="DY111" i="38" l="1" a="1"/>
  <c r="DY111" i="38" s="1"/>
  <c r="DW111" i="38"/>
  <c r="EA111" i="38"/>
  <c r="CP111" i="38" a="1"/>
  <c r="CP111" i="38" s="1"/>
  <c r="DZ111" i="38" a="1"/>
  <c r="DZ111" i="38" s="1"/>
  <c r="CN111" i="38" a="1"/>
  <c r="CN111" i="38" s="1"/>
  <c r="DU111" i="38"/>
  <c r="DT111" i="38" a="1"/>
  <c r="DT111" i="38" s="1"/>
  <c r="DS111" i="38" a="1"/>
  <c r="DS111" i="38" s="1"/>
  <c r="DQ111" i="38"/>
  <c r="CJ146" i="38" l="1"/>
  <c r="AT146" i="38" s="1" a="1"/>
  <c r="AT146" i="38" s="1"/>
  <c r="CI146" i="38"/>
  <c r="AM146" i="38" s="1" a="1"/>
  <c r="AM146" i="38" s="1"/>
  <c r="AK146" i="38"/>
  <c r="AF146" i="38"/>
  <c r="AA146" i="38"/>
  <c r="U146" i="38" a="1"/>
  <c r="U146" i="38" s="1"/>
  <c r="V146" i="38" s="1"/>
  <c r="Q146" i="38" a="1"/>
  <c r="Q146" i="38" s="1"/>
  <c r="P146" i="38" a="1"/>
  <c r="P146" i="38" s="1"/>
  <c r="R146" i="38" s="1"/>
  <c r="J146" i="38"/>
  <c r="CJ143" i="38"/>
  <c r="AT143" i="38" s="1" a="1"/>
  <c r="AT143" i="38" s="1"/>
  <c r="CI143" i="38"/>
  <c r="AK143" i="38"/>
  <c r="AF143" i="38"/>
  <c r="AA143" i="38"/>
  <c r="CJ142" i="38"/>
  <c r="AT142" i="38" s="1" a="1"/>
  <c r="AT142" i="38" s="1"/>
  <c r="CI142" i="38"/>
  <c r="I142" i="38" s="1" a="1"/>
  <c r="I142" i="38" s="1"/>
  <c r="AK142" i="38"/>
  <c r="AF142" i="38"/>
  <c r="AA142" i="38"/>
  <c r="U142" i="38" a="1"/>
  <c r="U142" i="38" s="1"/>
  <c r="V142" i="38" s="1"/>
  <c r="Q142" i="38" a="1"/>
  <c r="Q142" i="38" s="1"/>
  <c r="P142" i="38" a="1"/>
  <c r="P142" i="38" s="1"/>
  <c r="R142" i="38" s="1"/>
  <c r="J142" i="38"/>
  <c r="CJ144" i="38"/>
  <c r="AT144" i="38" s="1" a="1"/>
  <c r="AT144" i="38" s="1"/>
  <c r="CI144" i="38"/>
  <c r="I144" i="38" s="1" a="1"/>
  <c r="I144" i="38" s="1"/>
  <c r="AK144" i="38"/>
  <c r="AF144" i="38"/>
  <c r="AA144" i="38"/>
  <c r="U144" i="38" a="1"/>
  <c r="U144" i="38" s="1"/>
  <c r="V144" i="38" s="1"/>
  <c r="Q144" i="38" a="1"/>
  <c r="Q144" i="38" s="1"/>
  <c r="P144" i="38" a="1"/>
  <c r="P144" i="38" s="1"/>
  <c r="R144" i="38" s="1"/>
  <c r="J144" i="38"/>
  <c r="CJ154" i="38"/>
  <c r="CI154" i="38"/>
  <c r="AK154" i="38"/>
  <c r="AF154" i="38"/>
  <c r="AA154" i="38"/>
  <c r="CJ153" i="38"/>
  <c r="AT153" i="38" s="1" a="1"/>
  <c r="AT153" i="38" s="1"/>
  <c r="AY153" i="38" s="1" a="1"/>
  <c r="AY153" i="38" s="1"/>
  <c r="AZ153" i="38" s="1"/>
  <c r="CI153" i="38"/>
  <c r="I153" i="38" s="1" a="1"/>
  <c r="I153" i="38" s="1"/>
  <c r="AK153" i="38"/>
  <c r="AF153" i="38"/>
  <c r="AA153" i="38"/>
  <c r="U153" i="38" a="1"/>
  <c r="U153" i="38" s="1"/>
  <c r="V153" i="38" s="1"/>
  <c r="Q153" i="38" a="1"/>
  <c r="Q153" i="38" s="1"/>
  <c r="P153" i="38" a="1"/>
  <c r="P153" i="38" s="1"/>
  <c r="R153" i="38" s="1"/>
  <c r="J153" i="38"/>
  <c r="CJ155" i="38"/>
  <c r="AT155" i="38" s="1" a="1"/>
  <c r="AT155" i="38" s="1"/>
  <c r="CI155" i="38"/>
  <c r="AM155" i="38" s="1" a="1"/>
  <c r="AM155" i="38" s="1"/>
  <c r="AK155" i="38"/>
  <c r="AF155" i="38"/>
  <c r="AA155" i="38"/>
  <c r="U155" i="38" a="1"/>
  <c r="U155" i="38" s="1"/>
  <c r="V155" i="38" s="1"/>
  <c r="Q155" i="38" a="1"/>
  <c r="Q155" i="38" s="1"/>
  <c r="P155" i="38" a="1"/>
  <c r="P155" i="38" s="1"/>
  <c r="R155" i="38" s="1"/>
  <c r="J155" i="38"/>
  <c r="CJ150" i="38"/>
  <c r="AT150" i="38" s="1" a="1"/>
  <c r="AT150" i="38" s="1"/>
  <c r="CI150" i="38"/>
  <c r="AK150" i="38"/>
  <c r="AF150" i="38"/>
  <c r="AA150" i="38"/>
  <c r="CJ151" i="38"/>
  <c r="AT151" i="38" s="1" a="1"/>
  <c r="AT151" i="38" s="1"/>
  <c r="AU151" i="38" s="1"/>
  <c r="CI151" i="38"/>
  <c r="AM151" i="38" s="1" a="1"/>
  <c r="AM151" i="38" s="1"/>
  <c r="AK151" i="38"/>
  <c r="AF151" i="38"/>
  <c r="AA151" i="38"/>
  <c r="U151" i="38" a="1"/>
  <c r="U151" i="38" s="1"/>
  <c r="V151" i="38" s="1"/>
  <c r="Q151" i="38" a="1"/>
  <c r="Q151" i="38" s="1"/>
  <c r="P151" i="38" a="1"/>
  <c r="P151" i="38" s="1"/>
  <c r="R151" i="38" s="1"/>
  <c r="J151" i="38"/>
  <c r="CJ152" i="38"/>
  <c r="CI152" i="38"/>
  <c r="AK152" i="38"/>
  <c r="AF152" i="38"/>
  <c r="AA152" i="38"/>
  <c r="CJ139" i="38"/>
  <c r="AT139" i="38" s="1" a="1"/>
  <c r="AT139" i="38" s="1"/>
  <c r="CI139" i="38"/>
  <c r="AK139" i="38"/>
  <c r="AF139" i="38"/>
  <c r="AA139" i="38"/>
  <c r="CJ140" i="38"/>
  <c r="AT140" i="38" s="1" a="1"/>
  <c r="AT140" i="38" s="1"/>
  <c r="CI140" i="38"/>
  <c r="AM140" i="38" s="1" a="1"/>
  <c r="AM140" i="38" s="1"/>
  <c r="AK140" i="38"/>
  <c r="AF140" i="38"/>
  <c r="AA140" i="38"/>
  <c r="U140" i="38" a="1"/>
  <c r="U140" i="38" s="1"/>
  <c r="V140" i="38" s="1"/>
  <c r="Q140" i="38" a="1"/>
  <c r="Q140" i="38" s="1"/>
  <c r="P140" i="38" a="1"/>
  <c r="P140" i="38" s="1"/>
  <c r="R140" i="38" s="1"/>
  <c r="J140" i="38"/>
  <c r="CJ141" i="38"/>
  <c r="AT141" i="38" s="1" a="1"/>
  <c r="AT141" i="38" s="1"/>
  <c r="CI141" i="38"/>
  <c r="AK141" i="38"/>
  <c r="AF141" i="38"/>
  <c r="AA141" i="38"/>
  <c r="CJ168" i="38"/>
  <c r="CI168" i="38"/>
  <c r="AK168" i="38"/>
  <c r="AF168" i="38"/>
  <c r="AA168" i="38"/>
  <c r="CJ169" i="38"/>
  <c r="AT169" i="38" s="1" a="1"/>
  <c r="AT169" i="38" s="1"/>
  <c r="AU169" i="38" s="1"/>
  <c r="CI169" i="38"/>
  <c r="I169" i="38" s="1" a="1"/>
  <c r="I169" i="38" s="1"/>
  <c r="AK169" i="38"/>
  <c r="AF169" i="38"/>
  <c r="AA169" i="38"/>
  <c r="U169" i="38" a="1"/>
  <c r="U169" i="38" s="1"/>
  <c r="V169" i="38" s="1"/>
  <c r="Q169" i="38" a="1"/>
  <c r="Q169" i="38" s="1"/>
  <c r="P169" i="38" a="1"/>
  <c r="P169" i="38" s="1"/>
  <c r="R169" i="38" s="1"/>
  <c r="J169" i="38"/>
  <c r="CJ172" i="38"/>
  <c r="AT172" i="38" s="1" a="1"/>
  <c r="AT172" i="38" s="1"/>
  <c r="CI172" i="38"/>
  <c r="AK172" i="38"/>
  <c r="AF172" i="38"/>
  <c r="AA172" i="38"/>
  <c r="CJ173" i="38"/>
  <c r="CI173" i="38"/>
  <c r="I173" i="38" s="1" a="1"/>
  <c r="I173" i="38" s="1"/>
  <c r="AK173" i="38"/>
  <c r="AF173" i="38"/>
  <c r="AA173" i="38"/>
  <c r="U173" i="38" a="1"/>
  <c r="U173" i="38" s="1"/>
  <c r="V173" i="38" s="1"/>
  <c r="Q173" i="38" a="1"/>
  <c r="Q173" i="38" s="1"/>
  <c r="P173" i="38" a="1"/>
  <c r="P173" i="38" s="1"/>
  <c r="R173" i="38" s="1"/>
  <c r="J173" i="38"/>
  <c r="CJ165" i="38"/>
  <c r="AT165" i="38" s="1" a="1"/>
  <c r="AT165" i="38" s="1"/>
  <c r="CI165" i="38"/>
  <c r="AK165" i="38"/>
  <c r="AF165" i="38"/>
  <c r="AA165" i="38"/>
  <c r="U165" i="38" a="1"/>
  <c r="U165" i="38" s="1"/>
  <c r="V165" i="38" s="1"/>
  <c r="Q165" i="38" a="1"/>
  <c r="Q165" i="38" s="1"/>
  <c r="P165" i="38" a="1"/>
  <c r="P165" i="38" s="1"/>
  <c r="R165" i="38" s="1"/>
  <c r="J165" i="38"/>
  <c r="CJ166" i="38"/>
  <c r="CI166" i="38"/>
  <c r="AK166" i="38"/>
  <c r="AF166" i="38"/>
  <c r="AA166" i="38"/>
  <c r="CJ181" i="38"/>
  <c r="AT181" i="38" s="1" a="1"/>
  <c r="AT181" i="38" s="1"/>
  <c r="CI181" i="38"/>
  <c r="AK181" i="38"/>
  <c r="AF181" i="38"/>
  <c r="AA181" i="38"/>
  <c r="CJ182" i="38"/>
  <c r="CI182" i="38"/>
  <c r="AM182" i="38" s="1" a="1"/>
  <c r="AM182" i="38" s="1"/>
  <c r="AK182" i="38"/>
  <c r="AF182" i="38"/>
  <c r="AA182" i="38"/>
  <c r="U182" i="38" a="1"/>
  <c r="U182" i="38" s="1"/>
  <c r="V182" i="38" s="1"/>
  <c r="Q182" i="38" a="1"/>
  <c r="Q182" i="38" s="1"/>
  <c r="P182" i="38" a="1"/>
  <c r="P182" i="38" s="1"/>
  <c r="R182" i="38" s="1"/>
  <c r="J182" i="38"/>
  <c r="AS146" i="38" l="1" a="1"/>
  <c r="AS146" i="38" s="1"/>
  <c r="AS155" i="38" a="1"/>
  <c r="AS155" i="38" s="1"/>
  <c r="AS153" i="38" a="1"/>
  <c r="AS153" i="38" s="1"/>
  <c r="AS142" i="38" a="1"/>
  <c r="AS142" i="38" s="1"/>
  <c r="AS143" i="38" a="1"/>
  <c r="AS143" i="38" s="1"/>
  <c r="AM153" i="38" a="1"/>
  <c r="AM153" i="38" s="1"/>
  <c r="AM144" i="38" a="1"/>
  <c r="AM144" i="38" s="1"/>
  <c r="AN146" i="38" a="1"/>
  <c r="AN146" i="38" s="1"/>
  <c r="AG146" i="38" a="1"/>
  <c r="AG146" i="38" s="1"/>
  <c r="AL146" i="38" s="1"/>
  <c r="AO146" i="38"/>
  <c r="AT154" i="38" a="1"/>
  <c r="AT154" i="38" s="1"/>
  <c r="AU154" i="38" s="1"/>
  <c r="AS154" i="38" a="1"/>
  <c r="AS154" i="38" s="1"/>
  <c r="AY146" i="38" a="1"/>
  <c r="AY146" i="38" s="1"/>
  <c r="AZ146" i="38" s="1"/>
  <c r="AU146" i="38"/>
  <c r="I146" i="38" a="1"/>
  <c r="I146" i="38" s="1"/>
  <c r="AS144" i="38" a="1"/>
  <c r="AS144" i="38" s="1"/>
  <c r="AU143" i="38"/>
  <c r="AY143" i="38" a="1"/>
  <c r="AY143" i="38" s="1"/>
  <c r="AZ143" i="38" s="1"/>
  <c r="AS150" i="38" a="1"/>
  <c r="AS150" i="38" s="1"/>
  <c r="AS151" i="38" a="1"/>
  <c r="AS151" i="38" s="1"/>
  <c r="AY142" i="38" a="1"/>
  <c r="AY142" i="38" s="1"/>
  <c r="AZ142" i="38" s="1"/>
  <c r="AU142" i="38"/>
  <c r="AO142" i="38"/>
  <c r="AG142" i="38" a="1"/>
  <c r="AG142" i="38" s="1"/>
  <c r="AL142" i="38" s="1"/>
  <c r="AM142" i="38" a="1"/>
  <c r="AM142" i="38" s="1"/>
  <c r="AN142" i="38" a="1"/>
  <c r="AN142" i="38" s="1"/>
  <c r="AY144" i="38" a="1"/>
  <c r="AY144" i="38" s="1"/>
  <c r="AZ144" i="38" s="1"/>
  <c r="AU144" i="38"/>
  <c r="AN144" i="38" a="1"/>
  <c r="AN144" i="38" s="1"/>
  <c r="AG144" i="38" a="1"/>
  <c r="AG144" i="38" s="1"/>
  <c r="AL144" i="38" s="1"/>
  <c r="AO144" i="38"/>
  <c r="AM173" i="38" a="1"/>
  <c r="AM173" i="38" s="1"/>
  <c r="AS139" i="38" a="1"/>
  <c r="AS139" i="38" s="1"/>
  <c r="AN151" i="38" a="1"/>
  <c r="AN151" i="38" s="1"/>
  <c r="AS140" i="38" a="1"/>
  <c r="AS140" i="38" s="1"/>
  <c r="AT152" i="38" a="1"/>
  <c r="AT152" i="38" s="1"/>
  <c r="AY152" i="38" s="1" a="1"/>
  <c r="AY152" i="38" s="1"/>
  <c r="AZ152" i="38" s="1"/>
  <c r="AS152" i="38" a="1"/>
  <c r="AS152" i="38" s="1"/>
  <c r="AG153" i="38" a="1"/>
  <c r="AG153" i="38" s="1"/>
  <c r="AL153" i="38" s="1"/>
  <c r="AO153" i="38"/>
  <c r="AN153" i="38" a="1"/>
  <c r="AN153" i="38" s="1"/>
  <c r="AU153" i="38"/>
  <c r="AY155" i="38" a="1"/>
  <c r="AY155" i="38" s="1"/>
  <c r="AZ155" i="38" s="1"/>
  <c r="AU155" i="38"/>
  <c r="AG155" i="38" a="1"/>
  <c r="AG155" i="38" s="1"/>
  <c r="AL155" i="38" s="1"/>
  <c r="AO155" i="38"/>
  <c r="I155" i="38" a="1"/>
  <c r="I155" i="38" s="1"/>
  <c r="AN155" i="38" a="1"/>
  <c r="AN155" i="38" s="1"/>
  <c r="AY150" i="38" a="1"/>
  <c r="AY150" i="38" s="1"/>
  <c r="AZ150" i="38" s="1"/>
  <c r="AU150" i="38"/>
  <c r="AS172" i="38" a="1"/>
  <c r="AS172" i="38" s="1"/>
  <c r="AS141" i="38" a="1"/>
  <c r="AS141" i="38" s="1"/>
  <c r="AV151" i="38" a="1"/>
  <c r="AV151" i="38" s="1"/>
  <c r="AX151" i="38" s="1"/>
  <c r="BM151" i="38"/>
  <c r="AT168" i="38" a="1"/>
  <c r="AT168" i="38" s="1"/>
  <c r="AU168" i="38" s="1"/>
  <c r="AS168" i="38" a="1"/>
  <c r="AS168" i="38" s="1"/>
  <c r="AY151" i="38" a="1"/>
  <c r="AY151" i="38" s="1"/>
  <c r="AZ151" i="38" s="1"/>
  <c r="AG151" i="38" a="1"/>
  <c r="AG151" i="38" s="1"/>
  <c r="AL151" i="38" s="1"/>
  <c r="AO151" i="38"/>
  <c r="I151" i="38" a="1"/>
  <c r="I151" i="38" s="1"/>
  <c r="AT173" i="38" a="1"/>
  <c r="AT173" i="38" s="1"/>
  <c r="AU173" i="38" s="1"/>
  <c r="AS173" i="38" a="1"/>
  <c r="AS173" i="38" s="1"/>
  <c r="I165" i="38" a="1"/>
  <c r="I165" i="38" s="1"/>
  <c r="AM165" i="38" a="1"/>
  <c r="AM165" i="38" s="1"/>
  <c r="AY139" i="38" a="1"/>
  <c r="AY139" i="38" s="1"/>
  <c r="AZ139" i="38" s="1"/>
  <c r="AU139" i="38"/>
  <c r="AS165" i="38" a="1"/>
  <c r="AS165" i="38" s="1"/>
  <c r="AG140" i="38" a="1"/>
  <c r="AG140" i="38" s="1"/>
  <c r="AL140" i="38" s="1"/>
  <c r="AO140" i="38"/>
  <c r="AN140" i="38" a="1"/>
  <c r="AN140" i="38" s="1"/>
  <c r="AU140" i="38"/>
  <c r="AY140" i="38" a="1"/>
  <c r="AY140" i="38" s="1"/>
  <c r="AZ140" i="38" s="1"/>
  <c r="I140" i="38" a="1"/>
  <c r="I140" i="38" s="1"/>
  <c r="AM169" i="38" a="1"/>
  <c r="AM169" i="38" s="1"/>
  <c r="AS169" i="38" a="1"/>
  <c r="AS169" i="38" s="1"/>
  <c r="AY141" i="38" a="1"/>
  <c r="AY141" i="38" s="1"/>
  <c r="AZ141" i="38" s="1"/>
  <c r="AU141" i="38"/>
  <c r="AT166" i="38" a="1"/>
  <c r="AT166" i="38" s="1"/>
  <c r="AU166" i="38" s="1"/>
  <c r="BM166" i="38" s="1"/>
  <c r="AS166" i="38" a="1"/>
  <c r="AS166" i="38" s="1"/>
  <c r="AG169" i="38" a="1"/>
  <c r="AG169" i="38" s="1"/>
  <c r="AL169" i="38" s="1"/>
  <c r="AO169" i="38"/>
  <c r="AN169" i="38" a="1"/>
  <c r="AN169" i="38" s="1"/>
  <c r="AV169" i="38" a="1"/>
  <c r="AV169" i="38" s="1"/>
  <c r="AX169" i="38" s="1"/>
  <c r="BM169" i="38"/>
  <c r="AY169" i="38" a="1"/>
  <c r="AY169" i="38" s="1"/>
  <c r="AZ169" i="38" s="1"/>
  <c r="AY172" i="38" a="1"/>
  <c r="AY172" i="38" s="1"/>
  <c r="AZ172" i="38" s="1"/>
  <c r="AU172" i="38"/>
  <c r="AG173" i="38" a="1"/>
  <c r="AG173" i="38" s="1"/>
  <c r="AL173" i="38" s="1"/>
  <c r="AO173" i="38"/>
  <c r="AN173" i="38" a="1"/>
  <c r="AN173" i="38" s="1"/>
  <c r="AG165" i="38" a="1"/>
  <c r="AG165" i="38" s="1"/>
  <c r="AL165" i="38" s="1"/>
  <c r="AO165" i="38"/>
  <c r="AN165" i="38" a="1"/>
  <c r="AN165" i="38" s="1"/>
  <c r="AU165" i="38"/>
  <c r="AY165" i="38" a="1"/>
  <c r="AY165" i="38" s="1"/>
  <c r="AZ165" i="38" s="1"/>
  <c r="AT182" i="38" a="1"/>
  <c r="AT182" i="38" s="1"/>
  <c r="AU182" i="38" s="1"/>
  <c r="AV182" i="38" s="1" a="1"/>
  <c r="AV182" i="38" s="1"/>
  <c r="AX182" i="38" s="1"/>
  <c r="AS182" i="38" a="1"/>
  <c r="AS182" i="38" s="1"/>
  <c r="AS181" i="38" a="1"/>
  <c r="AS181" i="38" s="1"/>
  <c r="AY181" i="38" a="1"/>
  <c r="AY181" i="38" s="1"/>
  <c r="AZ181" i="38" s="1"/>
  <c r="AU181" i="38"/>
  <c r="AG182" i="38" a="1"/>
  <c r="AG182" i="38" s="1"/>
  <c r="AL182" i="38" s="1"/>
  <c r="AO182" i="38"/>
  <c r="AN182" i="38" a="1"/>
  <c r="AN182" i="38" s="1"/>
  <c r="I182" i="38" a="1"/>
  <c r="I182" i="38" s="1"/>
  <c r="AY154" i="38" l="1" a="1"/>
  <c r="AY154" i="38" s="1"/>
  <c r="AZ154" i="38" s="1"/>
  <c r="AP146" i="38"/>
  <c r="AV146" i="38" a="1"/>
  <c r="AV146" i="38" s="1"/>
  <c r="AX146" i="38" s="1"/>
  <c r="BA146" i="38" s="1"/>
  <c r="BM146" i="38"/>
  <c r="AP142" i="38"/>
  <c r="BD142" i="38" s="1"/>
  <c r="AV143" i="38" a="1"/>
  <c r="AV143" i="38" s="1"/>
  <c r="AX143" i="38" s="1"/>
  <c r="BA143" i="38" s="1"/>
  <c r="BM143" i="38"/>
  <c r="AP144" i="38"/>
  <c r="BK144" i="38" s="1"/>
  <c r="BM142" i="38"/>
  <c r="AV142" i="38" a="1"/>
  <c r="AV142" i="38" s="1"/>
  <c r="AX142" i="38" s="1"/>
  <c r="AV144" i="38" a="1"/>
  <c r="AV144" i="38" s="1"/>
  <c r="AX144" i="38" s="1"/>
  <c r="BA144" i="38" s="1"/>
  <c r="BM144" i="38"/>
  <c r="AV154" i="38" a="1"/>
  <c r="AV154" i="38" s="1"/>
  <c r="AX154" i="38" s="1"/>
  <c r="BM154" i="38"/>
  <c r="AP153" i="38"/>
  <c r="BM153" i="38"/>
  <c r="AV153" i="38" a="1"/>
  <c r="AV153" i="38" s="1"/>
  <c r="AX153" i="38" s="1"/>
  <c r="AU152" i="38"/>
  <c r="AV152" i="38" s="1" a="1"/>
  <c r="AV152" i="38" s="1"/>
  <c r="AX152" i="38" s="1"/>
  <c r="BA152" i="38" s="1"/>
  <c r="AP155" i="38"/>
  <c r="AV155" i="38" a="1"/>
  <c r="AV155" i="38" s="1"/>
  <c r="AX155" i="38" s="1"/>
  <c r="BA155" i="38" s="1"/>
  <c r="BM155" i="38"/>
  <c r="BA151" i="38"/>
  <c r="BF151" i="38" s="1"/>
  <c r="AV150" i="38" a="1"/>
  <c r="AV150" i="38" s="1"/>
  <c r="AX150" i="38" s="1"/>
  <c r="BA150" i="38" s="1"/>
  <c r="BM150" i="38"/>
  <c r="AY168" i="38" a="1"/>
  <c r="AY168" i="38" s="1"/>
  <c r="AZ168" i="38" s="1"/>
  <c r="AP151" i="38"/>
  <c r="AP140" i="38"/>
  <c r="BD140" i="38" s="1"/>
  <c r="AY173" i="38" a="1"/>
  <c r="AY173" i="38" s="1"/>
  <c r="AZ173" i="38" s="1"/>
  <c r="AV139" i="38" a="1"/>
  <c r="AV139" i="38" s="1"/>
  <c r="AX139" i="38" s="1"/>
  <c r="BM139" i="38"/>
  <c r="AV140" i="38" a="1"/>
  <c r="AV140" i="38" s="1"/>
  <c r="AX140" i="38" s="1"/>
  <c r="BM140" i="38"/>
  <c r="AV166" i="38" a="1"/>
  <c r="AV166" i="38" s="1"/>
  <c r="AX166" i="38" s="1"/>
  <c r="AY166" i="38" a="1"/>
  <c r="AY166" i="38" s="1"/>
  <c r="AZ166" i="38" s="1"/>
  <c r="AV141" i="38" a="1"/>
  <c r="AV141" i="38" s="1"/>
  <c r="AX141" i="38" s="1"/>
  <c r="BA141" i="38" s="1"/>
  <c r="BM141" i="38"/>
  <c r="AP165" i="38"/>
  <c r="BK165" i="38" s="1"/>
  <c r="BM168" i="38"/>
  <c r="AV168" i="38" a="1"/>
  <c r="AV168" i="38" s="1"/>
  <c r="AX168" i="38" s="1"/>
  <c r="AP173" i="38"/>
  <c r="BD173" i="38" s="1"/>
  <c r="AP169" i="38"/>
  <c r="BA169" i="38"/>
  <c r="AV172" i="38" a="1"/>
  <c r="AV172" i="38" s="1"/>
  <c r="AX172" i="38" s="1"/>
  <c r="BA172" i="38" s="1"/>
  <c r="BM172" i="38"/>
  <c r="BM173" i="38"/>
  <c r="AV173" i="38" a="1"/>
  <c r="AV173" i="38" s="1"/>
  <c r="AX173" i="38" s="1"/>
  <c r="BM165" i="38"/>
  <c r="AV165" i="38" a="1"/>
  <c r="AV165" i="38" s="1"/>
  <c r="AX165" i="38" s="1"/>
  <c r="AY182" i="38" a="1"/>
  <c r="AY182" i="38" s="1"/>
  <c r="AZ182" i="38" s="1"/>
  <c r="BA182" i="38" s="1"/>
  <c r="BM182" i="38"/>
  <c r="AV181" i="38" a="1"/>
  <c r="AV181" i="38" s="1"/>
  <c r="AX181" i="38" s="1"/>
  <c r="BA181" i="38" s="1"/>
  <c r="BM181" i="38"/>
  <c r="AP182" i="38"/>
  <c r="BF146" i="38" l="1"/>
  <c r="BD146" i="38"/>
  <c r="BK146" i="38"/>
  <c r="BB146" i="38"/>
  <c r="BK142" i="38"/>
  <c r="BB144" i="38"/>
  <c r="BL144" i="38" s="1" a="1"/>
  <c r="BL144" i="38" s="1"/>
  <c r="BM152" i="38"/>
  <c r="BF143" i="38"/>
  <c r="BD144" i="38"/>
  <c r="BA142" i="38"/>
  <c r="BF144" i="38"/>
  <c r="BA154" i="38"/>
  <c r="BA153" i="38"/>
  <c r="BB153" i="38" s="1"/>
  <c r="BD153" i="38"/>
  <c r="BK153" i="38"/>
  <c r="BF155" i="38"/>
  <c r="BD155" i="38"/>
  <c r="BK155" i="38"/>
  <c r="BB155" i="38"/>
  <c r="BF150" i="38"/>
  <c r="BA173" i="38"/>
  <c r="BF173" i="38" s="1"/>
  <c r="BK140" i="38"/>
  <c r="BD151" i="38"/>
  <c r="BK151" i="38"/>
  <c r="BB151" i="38"/>
  <c r="BA166" i="38"/>
  <c r="BF166" i="38" s="1"/>
  <c r="BF152" i="38"/>
  <c r="BA139" i="38"/>
  <c r="BA140" i="38"/>
  <c r="BF141" i="38"/>
  <c r="BD165" i="38"/>
  <c r="BK173" i="38"/>
  <c r="BA168" i="38"/>
  <c r="BD169" i="38"/>
  <c r="BK169" i="38"/>
  <c r="BB169" i="38"/>
  <c r="BF169" i="38"/>
  <c r="BF172" i="38"/>
  <c r="BA165" i="38"/>
  <c r="BF181" i="38"/>
  <c r="BD182" i="38"/>
  <c r="BK182" i="38"/>
  <c r="BB182" i="38"/>
  <c r="BF182" i="38"/>
  <c r="BG146" i="38" l="1" a="1"/>
  <c r="BG146" i="38" s="1"/>
  <c r="BH146" i="38" s="1"/>
  <c r="BN146" i="38" a="1"/>
  <c r="BN146" i="38" s="1"/>
  <c r="BO146" i="38" s="1"/>
  <c r="BE146" i="38" a="1"/>
  <c r="BE146" i="38" s="1"/>
  <c r="BL146" i="38" a="1"/>
  <c r="BL146" i="38" s="1"/>
  <c r="BC146" i="38" a="1"/>
  <c r="BC146" i="38" s="1"/>
  <c r="BJ146" i="38" a="1"/>
  <c r="BJ146" i="38" s="1"/>
  <c r="BE144" i="38" a="1"/>
  <c r="BE144" i="38" s="1"/>
  <c r="BN144" i="38" a="1"/>
  <c r="BN144" i="38" s="1"/>
  <c r="BO144" i="38" s="1"/>
  <c r="BG144" i="38" a="1"/>
  <c r="BG144" i="38" s="1"/>
  <c r="BH144" i="38" s="1"/>
  <c r="BI144" i="38" s="1"/>
  <c r="BJ144" i="38" a="1"/>
  <c r="BJ144" i="38" s="1"/>
  <c r="BC144" i="38" a="1"/>
  <c r="BC144" i="38" s="1"/>
  <c r="BF142" i="38"/>
  <c r="BB142" i="38"/>
  <c r="BF154" i="38"/>
  <c r="BL153" i="38" a="1"/>
  <c r="BL153" i="38" s="1"/>
  <c r="BC153" i="38" a="1"/>
  <c r="BC153" i="38" s="1"/>
  <c r="BJ153" i="38" a="1"/>
  <c r="BJ153" i="38" s="1"/>
  <c r="BG153" i="38" a="1"/>
  <c r="BG153" i="38" s="1"/>
  <c r="BH153" i="38" s="1"/>
  <c r="BE153" i="38" a="1"/>
  <c r="BE153" i="38" s="1"/>
  <c r="BN153" i="38" a="1"/>
  <c r="BN153" i="38" s="1"/>
  <c r="BO153" i="38" s="1"/>
  <c r="BF153" i="38"/>
  <c r="BN155" i="38" a="1"/>
  <c r="BN155" i="38" s="1"/>
  <c r="BO155" i="38" s="1"/>
  <c r="BG155" i="38" a="1"/>
  <c r="BG155" i="38" s="1"/>
  <c r="BH155" i="38" s="1"/>
  <c r="BI155" i="38" s="1"/>
  <c r="BE155" i="38" a="1"/>
  <c r="BE155" i="38" s="1"/>
  <c r="BL155" i="38" a="1"/>
  <c r="BL155" i="38" s="1"/>
  <c r="BC155" i="38" a="1"/>
  <c r="BC155" i="38" s="1"/>
  <c r="BJ155" i="38" a="1"/>
  <c r="BJ155" i="38" s="1"/>
  <c r="BB173" i="38"/>
  <c r="BE173" i="38" s="1" a="1"/>
  <c r="BE173" i="38" s="1"/>
  <c r="BN151" i="38" a="1"/>
  <c r="BN151" i="38" s="1"/>
  <c r="BO151" i="38" s="1"/>
  <c r="BE151" i="38" a="1"/>
  <c r="BE151" i="38" s="1"/>
  <c r="BL151" i="38" a="1"/>
  <c r="BL151" i="38" s="1"/>
  <c r="BC151" i="38" a="1"/>
  <c r="BC151" i="38" s="1"/>
  <c r="BJ151" i="38" a="1"/>
  <c r="BJ151" i="38" s="1"/>
  <c r="BG151" i="38" a="1"/>
  <c r="BG151" i="38" s="1"/>
  <c r="BH151" i="38" s="1"/>
  <c r="BF139" i="38"/>
  <c r="BF140" i="38"/>
  <c r="BB140" i="38"/>
  <c r="BF168" i="38"/>
  <c r="BN169" i="38" a="1"/>
  <c r="BN169" i="38" s="1"/>
  <c r="BO169" i="38" s="1"/>
  <c r="BE169" i="38" a="1"/>
  <c r="BE169" i="38" s="1"/>
  <c r="BL169" i="38" a="1"/>
  <c r="BL169" i="38" s="1"/>
  <c r="BC169" i="38" a="1"/>
  <c r="BC169" i="38" s="1"/>
  <c r="BJ169" i="38" a="1"/>
  <c r="BJ169" i="38" s="1"/>
  <c r="BG169" i="38" a="1"/>
  <c r="BG169" i="38" s="1"/>
  <c r="BH169" i="38" s="1"/>
  <c r="BF165" i="38"/>
  <c r="BB165" i="38"/>
  <c r="BG182" i="38" a="1"/>
  <c r="BG182" i="38" s="1"/>
  <c r="BH182" i="38" s="1"/>
  <c r="BN182" i="38" a="1"/>
  <c r="BN182" i="38" s="1"/>
  <c r="BO182" i="38" s="1"/>
  <c r="BE182" i="38" a="1"/>
  <c r="BE182" i="38" s="1"/>
  <c r="BL182" i="38" a="1"/>
  <c r="BL182" i="38" s="1"/>
  <c r="BC182" i="38" a="1"/>
  <c r="BC182" i="38" s="1"/>
  <c r="BJ182" i="38" a="1"/>
  <c r="BJ182" i="38" s="1"/>
  <c r="BI146" i="38" l="1"/>
  <c r="BG142" i="38" a="1"/>
  <c r="BG142" i="38" s="1"/>
  <c r="BH142" i="38" s="1"/>
  <c r="BI142" i="38" s="1"/>
  <c r="BL142" i="38" a="1"/>
  <c r="BL142" i="38" s="1"/>
  <c r="BC142" i="38" a="1"/>
  <c r="BC142" i="38" s="1"/>
  <c r="BE142" i="38" a="1"/>
  <c r="BE142" i="38" s="1"/>
  <c r="BN142" i="38" a="1"/>
  <c r="BN142" i="38" s="1"/>
  <c r="BO142" i="38" s="1"/>
  <c r="BJ142" i="38" a="1"/>
  <c r="BJ142" i="38" s="1"/>
  <c r="BP144" i="38" a="1"/>
  <c r="BP144" i="38" s="1"/>
  <c r="BR144" i="38" s="1"/>
  <c r="BI153" i="38"/>
  <c r="BN173" i="38" a="1"/>
  <c r="BN173" i="38" s="1"/>
  <c r="BO173" i="38" s="1"/>
  <c r="BG173" i="38" a="1"/>
  <c r="BG173" i="38" s="1"/>
  <c r="BH173" i="38" s="1"/>
  <c r="BI173" i="38" s="1"/>
  <c r="BP155" i="38" a="1"/>
  <c r="BP155" i="38" s="1"/>
  <c r="BR155" i="38" s="1"/>
  <c r="BS155" i="38" s="1"/>
  <c r="BT155" i="38" s="1"/>
  <c r="BC173" i="38" a="1"/>
  <c r="BC173" i="38" s="1"/>
  <c r="BL173" i="38" a="1"/>
  <c r="BL173" i="38" s="1"/>
  <c r="BJ173" i="38" a="1"/>
  <c r="BJ173" i="38" s="1"/>
  <c r="BI151" i="38"/>
  <c r="BG140" i="38" a="1"/>
  <c r="BG140" i="38" s="1"/>
  <c r="BH140" i="38" s="1"/>
  <c r="BI140" i="38" s="1"/>
  <c r="BN140" i="38" a="1"/>
  <c r="BN140" i="38" s="1"/>
  <c r="BO140" i="38" s="1"/>
  <c r="BE140" i="38" a="1"/>
  <c r="BE140" i="38" s="1"/>
  <c r="BL140" i="38" a="1"/>
  <c r="BL140" i="38" s="1"/>
  <c r="BC140" i="38" a="1"/>
  <c r="BC140" i="38" s="1"/>
  <c r="BJ140" i="38" a="1"/>
  <c r="BJ140" i="38" s="1"/>
  <c r="BI169" i="38"/>
  <c r="BE165" i="38" a="1"/>
  <c r="BE165" i="38" s="1"/>
  <c r="BL165" i="38" a="1"/>
  <c r="BL165" i="38" s="1"/>
  <c r="BC165" i="38" a="1"/>
  <c r="BC165" i="38" s="1"/>
  <c r="BJ165" i="38" a="1"/>
  <c r="BJ165" i="38" s="1"/>
  <c r="BG165" i="38" a="1"/>
  <c r="BG165" i="38" s="1"/>
  <c r="BH165" i="38" s="1"/>
  <c r="BN165" i="38" a="1"/>
  <c r="BN165" i="38" s="1"/>
  <c r="BO165" i="38" s="1"/>
  <c r="BI182" i="38"/>
  <c r="U12" i="44"/>
  <c r="V12" i="44"/>
  <c r="W12" i="44"/>
  <c r="AI12" i="44"/>
  <c r="AK12" i="44"/>
  <c r="BP146" i="38" l="1" a="1"/>
  <c r="BP146" i="38" s="1"/>
  <c r="BR146" i="38" s="1"/>
  <c r="BP142" i="38" a="1"/>
  <c r="BP142" i="38" s="1"/>
  <c r="BR142" i="38" s="1"/>
  <c r="BS144" i="38"/>
  <c r="BT144" i="38" s="1"/>
  <c r="BP153" i="38" a="1"/>
  <c r="BP153" i="38" s="1"/>
  <c r="BR153" i="38" s="1"/>
  <c r="CC155" i="38" a="1"/>
  <c r="CC155" i="38" s="1"/>
  <c r="CB155" i="38" a="1"/>
  <c r="CB155" i="38" s="1"/>
  <c r="BU155" i="38"/>
  <c r="BP151" i="38" a="1"/>
  <c r="BP151" i="38" s="1"/>
  <c r="BR151" i="38" s="1"/>
  <c r="BP140" i="38" a="1"/>
  <c r="BP140" i="38" s="1"/>
  <c r="BR140" i="38" s="1"/>
  <c r="BS140" i="38" s="1"/>
  <c r="BT140" i="38" s="1"/>
  <c r="BP169" i="38" a="1"/>
  <c r="BP169" i="38" s="1"/>
  <c r="BR169" i="38" s="1"/>
  <c r="BP173" i="38" a="1"/>
  <c r="BP173" i="38" s="1"/>
  <c r="BR173" i="38" s="1"/>
  <c r="BS173" i="38" s="1"/>
  <c r="BT173" i="38" s="1"/>
  <c r="BI165" i="38"/>
  <c r="BP182" i="38" a="1"/>
  <c r="BP182" i="38" s="1"/>
  <c r="BR182" i="38" s="1"/>
  <c r="U11" i="44"/>
  <c r="V11" i="44"/>
  <c r="W11" i="44"/>
  <c r="AI11" i="44"/>
  <c r="AK11" i="44"/>
  <c r="CJ183" i="38"/>
  <c r="AT183" i="38" s="1" a="1"/>
  <c r="AT183" i="38" s="1"/>
  <c r="CI183" i="38"/>
  <c r="AK183" i="38"/>
  <c r="AF183" i="38"/>
  <c r="AA183" i="38"/>
  <c r="CJ178" i="38"/>
  <c r="AT178" i="38" s="1" a="1"/>
  <c r="AT178" i="38" s="1"/>
  <c r="CI178" i="38"/>
  <c r="I178" i="38" s="1" a="1"/>
  <c r="I178" i="38" s="1"/>
  <c r="AK178" i="38"/>
  <c r="AF178" i="38"/>
  <c r="AA178" i="38"/>
  <c r="U178" i="38" a="1"/>
  <c r="U178" i="38" s="1"/>
  <c r="V178" i="38" s="1"/>
  <c r="Q178" i="38" a="1"/>
  <c r="Q178" i="38" s="1"/>
  <c r="P178" i="38" a="1"/>
  <c r="P178" i="38" s="1"/>
  <c r="R178" i="38" s="1"/>
  <c r="J178" i="38"/>
  <c r="CJ179" i="38"/>
  <c r="CI179" i="38"/>
  <c r="AK179" i="38"/>
  <c r="AF179" i="38"/>
  <c r="AA179" i="38"/>
  <c r="CJ180" i="38"/>
  <c r="CI180" i="38"/>
  <c r="AK180" i="38"/>
  <c r="AF180" i="38"/>
  <c r="AA180" i="38"/>
  <c r="U180" i="38" a="1"/>
  <c r="U180" i="38" s="1"/>
  <c r="V180" i="38" s="1"/>
  <c r="Q180" i="38" a="1"/>
  <c r="Q180" i="38" s="1"/>
  <c r="P180" i="38" a="1"/>
  <c r="P180" i="38" s="1"/>
  <c r="R180" i="38" s="1"/>
  <c r="J180" i="38"/>
  <c r="J109" i="38"/>
  <c r="P109" i="38" a="1"/>
  <c r="P109" i="38" s="1"/>
  <c r="R109" i="38" s="1"/>
  <c r="Q109" i="38" a="1"/>
  <c r="Q109" i="38" s="1"/>
  <c r="U109" i="38" a="1"/>
  <c r="U109" i="38" s="1"/>
  <c r="V109" i="38" s="1"/>
  <c r="AA109" i="38"/>
  <c r="AF109" i="38"/>
  <c r="AK109" i="38"/>
  <c r="CI109" i="38"/>
  <c r="AM109" i="38" s="1" a="1"/>
  <c r="AM109" i="38" s="1"/>
  <c r="CJ109" i="38"/>
  <c r="AS109" i="38" s="1" a="1"/>
  <c r="AS109" i="38" s="1"/>
  <c r="I22" i="43"/>
  <c r="U22" i="43"/>
  <c r="F103" i="38"/>
  <c r="BS146" i="38" l="1"/>
  <c r="BT146" i="38" s="1"/>
  <c r="BS142" i="38"/>
  <c r="BT142" i="38" s="1"/>
  <c r="CC144" i="38" a="1"/>
  <c r="CC144" i="38" s="1"/>
  <c r="CB144" i="38" a="1"/>
  <c r="CB144" i="38" s="1"/>
  <c r="BU144" i="38"/>
  <c r="BS153" i="38"/>
  <c r="BT153" i="38" s="1"/>
  <c r="DQ155" i="38"/>
  <c r="DS155" i="38" a="1"/>
  <c r="DS155" i="38" s="1"/>
  <c r="DT155" i="38" a="1"/>
  <c r="DT155" i="38" s="1"/>
  <c r="CN155" i="38" a="1"/>
  <c r="CN155" i="38" s="1"/>
  <c r="DU155" i="38"/>
  <c r="EA155" i="38"/>
  <c r="CP155" i="38" a="1"/>
  <c r="CP155" i="38" s="1"/>
  <c r="DZ155" i="38" a="1"/>
  <c r="DZ155" i="38" s="1"/>
  <c r="DY155" i="38" a="1"/>
  <c r="DY155" i="38" s="1"/>
  <c r="DW155" i="38"/>
  <c r="BS151" i="38"/>
  <c r="BT151" i="38" s="1"/>
  <c r="CC140" i="38" a="1"/>
  <c r="CC140" i="38" s="1"/>
  <c r="CB140" i="38" a="1"/>
  <c r="CB140" i="38" s="1"/>
  <c r="BU140" i="38"/>
  <c r="BS169" i="38"/>
  <c r="BT169" i="38" s="1"/>
  <c r="CB173" i="38" a="1"/>
  <c r="CB173" i="38" s="1"/>
  <c r="BU173" i="38"/>
  <c r="CC173" i="38" a="1"/>
  <c r="CC173" i="38" s="1"/>
  <c r="BP165" i="38" a="1"/>
  <c r="BP165" i="38" s="1"/>
  <c r="BR165" i="38" s="1"/>
  <c r="AS178" i="38" a="1"/>
  <c r="AS178" i="38" s="1"/>
  <c r="BS182" i="38"/>
  <c r="BT182" i="38" s="1"/>
  <c r="AS183" i="38" a="1"/>
  <c r="AS183" i="38" s="1"/>
  <c r="AM178" i="38" a="1"/>
  <c r="AM178" i="38" s="1"/>
  <c r="I180" i="38" a="1"/>
  <c r="I180" i="38" s="1"/>
  <c r="AM180" i="38" a="1"/>
  <c r="AM180" i="38" s="1"/>
  <c r="AT180" i="38" a="1"/>
  <c r="AT180" i="38" s="1"/>
  <c r="AY180" i="38" s="1" a="1"/>
  <c r="AY180" i="38" s="1"/>
  <c r="AZ180" i="38" s="1"/>
  <c r="AS180" i="38" a="1"/>
  <c r="AS180" i="38" s="1"/>
  <c r="AT179" i="38" a="1"/>
  <c r="AT179" i="38" s="1"/>
  <c r="AU179" i="38" s="1"/>
  <c r="AS179" i="38" a="1"/>
  <c r="AS179" i="38" s="1"/>
  <c r="AY183" i="38" a="1"/>
  <c r="AY183" i="38" s="1"/>
  <c r="AZ183" i="38" s="1"/>
  <c r="AU183" i="38"/>
  <c r="AU178" i="38"/>
  <c r="AY178" i="38" a="1"/>
  <c r="AY178" i="38" s="1"/>
  <c r="AZ178" i="38" s="1"/>
  <c r="AG178" i="38" a="1"/>
  <c r="AG178" i="38" s="1"/>
  <c r="AL178" i="38" s="1"/>
  <c r="AO178" i="38"/>
  <c r="AN178" i="38" a="1"/>
  <c r="AN178" i="38" s="1"/>
  <c r="AN180" i="38" a="1"/>
  <c r="AN180" i="38" s="1"/>
  <c r="AG180" i="38" a="1"/>
  <c r="AG180" i="38" s="1"/>
  <c r="AL180" i="38" s="1"/>
  <c r="AO180" i="38"/>
  <c r="AO109" i="38"/>
  <c r="AT109" i="38" a="1"/>
  <c r="AT109" i="38" s="1"/>
  <c r="AU109" i="38" s="1"/>
  <c r="AV109" i="38" s="1" a="1"/>
  <c r="AV109" i="38" s="1"/>
  <c r="AX109" i="38" s="1"/>
  <c r="I109" i="38" a="1"/>
  <c r="I109" i="38" s="1"/>
  <c r="AN109" i="38" a="1"/>
  <c r="AN109" i="38" s="1"/>
  <c r="AG109" i="38" a="1"/>
  <c r="AG109" i="38" s="1"/>
  <c r="AL109" i="38" s="1"/>
  <c r="CJ101" i="38"/>
  <c r="AT101" i="38" s="1" a="1"/>
  <c r="AT101" i="38" s="1"/>
  <c r="CI101" i="38"/>
  <c r="AM101" i="38" s="1" a="1"/>
  <c r="AM101" i="38" s="1"/>
  <c r="AK101" i="38"/>
  <c r="AF101" i="38"/>
  <c r="AA101" i="38"/>
  <c r="U101" i="38" a="1"/>
  <c r="U101" i="38" s="1"/>
  <c r="V101" i="38" s="1"/>
  <c r="Q101" i="38" a="1"/>
  <c r="Q101" i="38" s="1"/>
  <c r="P101" i="38" a="1"/>
  <c r="P101" i="38" s="1"/>
  <c r="R101" i="38" s="1"/>
  <c r="J101" i="38"/>
  <c r="CJ102" i="38"/>
  <c r="AT102" i="38" s="1" a="1"/>
  <c r="AT102" i="38" s="1"/>
  <c r="CI102" i="38"/>
  <c r="I102" i="38" s="1" a="1"/>
  <c r="I102" i="38" s="1"/>
  <c r="AK102" i="38"/>
  <c r="AF102" i="38"/>
  <c r="AA102" i="38"/>
  <c r="U102" i="38" a="1"/>
  <c r="U102" i="38" s="1"/>
  <c r="V102" i="38" s="1"/>
  <c r="Q102" i="38" a="1"/>
  <c r="Q102" i="38" s="1"/>
  <c r="P102" i="38" a="1"/>
  <c r="P102" i="38" s="1"/>
  <c r="R102" i="38" s="1"/>
  <c r="J102" i="38"/>
  <c r="CJ103" i="38"/>
  <c r="AT103" i="38" s="1" a="1"/>
  <c r="AT103" i="38" s="1"/>
  <c r="CI103" i="38"/>
  <c r="AK103" i="38"/>
  <c r="AF103" i="38"/>
  <c r="AA103" i="38"/>
  <c r="CJ104" i="38"/>
  <c r="AT104" i="38" s="1" a="1"/>
  <c r="AT104" i="38" s="1"/>
  <c r="CI104" i="38"/>
  <c r="AM104" i="38" s="1" a="1"/>
  <c r="AM104" i="38" s="1"/>
  <c r="AK104" i="38"/>
  <c r="AF104" i="38"/>
  <c r="AA104" i="38"/>
  <c r="U104" i="38" a="1"/>
  <c r="U104" i="38" s="1"/>
  <c r="V104" i="38" s="1"/>
  <c r="Q104" i="38" a="1"/>
  <c r="Q104" i="38" s="1"/>
  <c r="P104" i="38" a="1"/>
  <c r="P104" i="38" s="1"/>
  <c r="R104" i="38" s="1"/>
  <c r="J104" i="38"/>
  <c r="CJ105" i="38"/>
  <c r="AT105" i="38" s="1" a="1"/>
  <c r="AT105" i="38" s="1"/>
  <c r="AU105" i="38" s="1"/>
  <c r="CI105" i="38"/>
  <c r="AM105" i="38" s="1" a="1"/>
  <c r="AM105" i="38" s="1"/>
  <c r="AK105" i="38"/>
  <c r="AF105" i="38"/>
  <c r="AA105" i="38"/>
  <c r="U105" i="38" a="1"/>
  <c r="U105" i="38" s="1"/>
  <c r="V105" i="38" s="1"/>
  <c r="Q105" i="38" a="1"/>
  <c r="Q105" i="38" s="1"/>
  <c r="P105" i="38" a="1"/>
  <c r="P105" i="38" s="1"/>
  <c r="R105" i="38" s="1"/>
  <c r="J105" i="38"/>
  <c r="CJ106" i="38"/>
  <c r="CI106" i="38"/>
  <c r="AK106" i="38"/>
  <c r="AF106" i="38"/>
  <c r="AA106" i="38"/>
  <c r="CJ107" i="38"/>
  <c r="AT107" i="38" s="1" a="1"/>
  <c r="AT107" i="38" s="1"/>
  <c r="AY107" i="38" s="1" a="1"/>
  <c r="AY107" i="38" s="1"/>
  <c r="AZ107" i="38" s="1"/>
  <c r="CI107" i="38"/>
  <c r="AK107" i="38"/>
  <c r="AF107" i="38"/>
  <c r="AA107" i="38"/>
  <c r="U107" i="38" a="1"/>
  <c r="U107" i="38" s="1"/>
  <c r="V107" i="38" s="1"/>
  <c r="Q107" i="38" a="1"/>
  <c r="Q107" i="38" s="1"/>
  <c r="P107" i="38" a="1"/>
  <c r="P107" i="38" s="1"/>
  <c r="R107" i="38" s="1"/>
  <c r="J107" i="38"/>
  <c r="F42" i="38"/>
  <c r="F41" i="38"/>
  <c r="F30" i="38"/>
  <c r="U10" i="44"/>
  <c r="V10" i="44"/>
  <c r="W10" i="44"/>
  <c r="AI10" i="44"/>
  <c r="AK10" i="44"/>
  <c r="F29" i="38"/>
  <c r="CC146" i="38" l="1" a="1"/>
  <c r="CC146" i="38" s="1"/>
  <c r="CB146" i="38" a="1"/>
  <c r="CB146" i="38" s="1"/>
  <c r="BU146" i="38"/>
  <c r="BU142" i="38"/>
  <c r="CC142" i="38" a="1"/>
  <c r="CC142" i="38" s="1"/>
  <c r="CB142" i="38" a="1"/>
  <c r="CB142" i="38" s="1"/>
  <c r="EA144" i="38"/>
  <c r="CP144" i="38" a="1"/>
  <c r="CP144" i="38" s="1"/>
  <c r="DZ144" i="38" a="1"/>
  <c r="DZ144" i="38" s="1"/>
  <c r="DY144" i="38" a="1"/>
  <c r="DY144" i="38" s="1"/>
  <c r="DW144" i="38"/>
  <c r="DS144" i="38" a="1"/>
  <c r="DS144" i="38" s="1"/>
  <c r="DQ144" i="38"/>
  <c r="CN144" i="38" a="1"/>
  <c r="CN144" i="38" s="1"/>
  <c r="DU144" i="38"/>
  <c r="DT144" i="38" a="1"/>
  <c r="DT144" i="38" s="1"/>
  <c r="BU153" i="38"/>
  <c r="CC153" i="38" a="1"/>
  <c r="CC153" i="38" s="1"/>
  <c r="CB153" i="38" a="1"/>
  <c r="CB153" i="38" s="1"/>
  <c r="CC151" i="38" a="1"/>
  <c r="CC151" i="38" s="1"/>
  <c r="CB151" i="38" a="1"/>
  <c r="CB151" i="38" s="1"/>
  <c r="BU151" i="38"/>
  <c r="DS140" i="38" a="1"/>
  <c r="DS140" i="38" s="1"/>
  <c r="DQ140" i="38"/>
  <c r="CN140" i="38" a="1"/>
  <c r="CN140" i="38" s="1"/>
  <c r="DU140" i="38"/>
  <c r="DT140" i="38" a="1"/>
  <c r="DT140" i="38" s="1"/>
  <c r="EA140" i="38"/>
  <c r="CP140" i="38" a="1"/>
  <c r="CP140" i="38" s="1"/>
  <c r="DW140" i="38"/>
  <c r="DZ140" i="38" a="1"/>
  <c r="DZ140" i="38" s="1"/>
  <c r="DY140" i="38" a="1"/>
  <c r="DY140" i="38" s="1"/>
  <c r="CB169" i="38" a="1"/>
  <c r="CB169" i="38" s="1"/>
  <c r="BU169" i="38"/>
  <c r="CC169" i="38" a="1"/>
  <c r="CC169" i="38" s="1"/>
  <c r="DY173" i="38" a="1"/>
  <c r="DY173" i="38" s="1"/>
  <c r="DW173" i="38"/>
  <c r="EA173" i="38"/>
  <c r="CP173" i="38" a="1"/>
  <c r="CP173" i="38" s="1"/>
  <c r="DZ173" i="38" a="1"/>
  <c r="DZ173" i="38" s="1"/>
  <c r="CN173" i="38" a="1"/>
  <c r="CN173" i="38" s="1"/>
  <c r="DU173" i="38"/>
  <c r="DT173" i="38" a="1"/>
  <c r="DT173" i="38" s="1"/>
  <c r="DS173" i="38" a="1"/>
  <c r="DS173" i="38" s="1"/>
  <c r="DQ173" i="38"/>
  <c r="BS165" i="38"/>
  <c r="BT165" i="38" s="1"/>
  <c r="AY179" i="38" a="1"/>
  <c r="AY179" i="38" s="1"/>
  <c r="AZ179" i="38" s="1"/>
  <c r="CC182" i="38" a="1"/>
  <c r="CC182" i="38" s="1"/>
  <c r="CB182" i="38" a="1"/>
  <c r="CB182" i="38" s="1"/>
  <c r="BU182" i="38"/>
  <c r="BM109" i="38"/>
  <c r="AU180" i="38"/>
  <c r="AV180" i="38" s="1" a="1"/>
  <c r="AV180" i="38" s="1"/>
  <c r="AX180" i="38" s="1"/>
  <c r="BA180" i="38" s="1"/>
  <c r="AM102" i="38" a="1"/>
  <c r="AM102" i="38" s="1"/>
  <c r="AP178" i="38"/>
  <c r="BD178" i="38" s="1"/>
  <c r="AV183" i="38" a="1"/>
  <c r="AV183" i="38" s="1"/>
  <c r="AX183" i="38" s="1"/>
  <c r="BM183" i="38"/>
  <c r="BM178" i="38"/>
  <c r="AV178" i="38" a="1"/>
  <c r="AV178" i="38" s="1"/>
  <c r="AX178" i="38" s="1"/>
  <c r="BA178" i="38" s="1"/>
  <c r="AV179" i="38" a="1"/>
  <c r="AV179" i="38" s="1"/>
  <c r="AX179" i="38" s="1"/>
  <c r="BM179" i="38"/>
  <c r="AY109" i="38" a="1"/>
  <c r="AY109" i="38" s="1"/>
  <c r="AZ109" i="38" s="1"/>
  <c r="BA109" i="38" s="1"/>
  <c r="AP180" i="38"/>
  <c r="AP109" i="38"/>
  <c r="AS101" i="38" a="1"/>
  <c r="AS101" i="38" s="1"/>
  <c r="AS105" i="38" a="1"/>
  <c r="AS105" i="38" s="1"/>
  <c r="AN101" i="38" a="1"/>
  <c r="AN101" i="38" s="1"/>
  <c r="AG101" i="38" a="1"/>
  <c r="AG101" i="38" s="1"/>
  <c r="AL101" i="38" s="1"/>
  <c r="AO101" i="38"/>
  <c r="AY101" i="38" a="1"/>
  <c r="AY101" i="38" s="1"/>
  <c r="AZ101" i="38" s="1"/>
  <c r="AU101" i="38"/>
  <c r="AS102" i="38" a="1"/>
  <c r="AS102" i="38" s="1"/>
  <c r="AS103" i="38" a="1"/>
  <c r="AS103" i="38" s="1"/>
  <c r="I101" i="38" a="1"/>
  <c r="I101" i="38" s="1"/>
  <c r="AY102" i="38" a="1"/>
  <c r="AY102" i="38" s="1"/>
  <c r="AZ102" i="38" s="1"/>
  <c r="AU102" i="38"/>
  <c r="AN102" i="38" a="1"/>
  <c r="AN102" i="38" s="1"/>
  <c r="AG102" i="38" a="1"/>
  <c r="AG102" i="38" s="1"/>
  <c r="AL102" i="38" s="1"/>
  <c r="AO102" i="38"/>
  <c r="AS104" i="38" a="1"/>
  <c r="AS104" i="38" s="1"/>
  <c r="AY103" i="38" a="1"/>
  <c r="AY103" i="38" s="1"/>
  <c r="AZ103" i="38" s="1"/>
  <c r="AU103" i="38"/>
  <c r="AS107" i="38" a="1"/>
  <c r="AS107" i="38" s="1"/>
  <c r="AN105" i="38" a="1"/>
  <c r="AN105" i="38" s="1"/>
  <c r="AG104" i="38" a="1"/>
  <c r="AG104" i="38" s="1"/>
  <c r="AL104" i="38" s="1"/>
  <c r="AO104" i="38"/>
  <c r="AT106" i="38" a="1"/>
  <c r="AT106" i="38" s="1"/>
  <c r="AS106" i="38" a="1"/>
  <c r="AS106" i="38" s="1"/>
  <c r="I107" i="38" a="1"/>
  <c r="I107" i="38" s="1"/>
  <c r="AM107" i="38" a="1"/>
  <c r="AM107" i="38" s="1"/>
  <c r="AY104" i="38" a="1"/>
  <c r="AY104" i="38" s="1"/>
  <c r="AZ104" i="38" s="1"/>
  <c r="AU104" i="38"/>
  <c r="I104" i="38" a="1"/>
  <c r="I104" i="38" s="1"/>
  <c r="AN104" i="38" a="1"/>
  <c r="AN104" i="38" s="1"/>
  <c r="AV105" i="38" a="1"/>
  <c r="AV105" i="38" s="1"/>
  <c r="AX105" i="38" s="1"/>
  <c r="BM105" i="38"/>
  <c r="AY105" i="38" a="1"/>
  <c r="AY105" i="38" s="1"/>
  <c r="AZ105" i="38" s="1"/>
  <c r="AG105" i="38" a="1"/>
  <c r="AG105" i="38" s="1"/>
  <c r="AL105" i="38" s="1"/>
  <c r="AO105" i="38"/>
  <c r="I105" i="38" a="1"/>
  <c r="I105" i="38" s="1"/>
  <c r="AG107" i="38" a="1"/>
  <c r="AG107" i="38" s="1"/>
  <c r="AL107" i="38" s="1"/>
  <c r="AO107" i="38"/>
  <c r="AN107" i="38" a="1"/>
  <c r="AN107" i="38" s="1"/>
  <c r="AU107" i="38"/>
  <c r="EA146" i="38" l="1"/>
  <c r="CP146" i="38" a="1"/>
  <c r="CP146" i="38" s="1"/>
  <c r="DZ146" i="38" a="1"/>
  <c r="DZ146" i="38" s="1"/>
  <c r="DY146" i="38" a="1"/>
  <c r="DY146" i="38" s="1"/>
  <c r="DW146" i="38"/>
  <c r="DS146" i="38" a="1"/>
  <c r="DS146" i="38" s="1"/>
  <c r="DQ146" i="38"/>
  <c r="CN146" i="38" a="1"/>
  <c r="CN146" i="38" s="1"/>
  <c r="DU146" i="38"/>
  <c r="DT146" i="38" a="1"/>
  <c r="DT146" i="38" s="1"/>
  <c r="DS142" i="38" a="1"/>
  <c r="DS142" i="38" s="1"/>
  <c r="CN142" i="38" a="1"/>
  <c r="CN142" i="38" s="1"/>
  <c r="DU142" i="38"/>
  <c r="DT142" i="38" a="1"/>
  <c r="DT142" i="38" s="1"/>
  <c r="DQ142" i="38"/>
  <c r="EA142" i="38"/>
  <c r="CP142" i="38" a="1"/>
  <c r="CP142" i="38" s="1"/>
  <c r="DY142" i="38" a="1"/>
  <c r="DY142" i="38" s="1"/>
  <c r="DW142" i="38"/>
  <c r="DZ142" i="38" a="1"/>
  <c r="DZ142" i="38" s="1"/>
  <c r="DU153" i="38"/>
  <c r="DT153" i="38" a="1"/>
  <c r="DT153" i="38" s="1"/>
  <c r="DS153" i="38" a="1"/>
  <c r="DS153" i="38" s="1"/>
  <c r="CN153" i="38" a="1"/>
  <c r="CN153" i="38" s="1"/>
  <c r="DQ153" i="38"/>
  <c r="DY153" i="38" a="1"/>
  <c r="DY153" i="38" s="1"/>
  <c r="DW153" i="38"/>
  <c r="EA153" i="38"/>
  <c r="CP153" i="38" a="1"/>
  <c r="CP153" i="38" s="1"/>
  <c r="DZ153" i="38" a="1"/>
  <c r="DZ153" i="38" s="1"/>
  <c r="DQ151" i="38"/>
  <c r="CN151" i="38" a="1"/>
  <c r="CN151" i="38" s="1"/>
  <c r="DU151" i="38"/>
  <c r="DT151" i="38" a="1"/>
  <c r="DT151" i="38" s="1"/>
  <c r="DS151" i="38" a="1"/>
  <c r="DS151" i="38" s="1"/>
  <c r="EA151" i="38"/>
  <c r="CP151" i="38" a="1"/>
  <c r="CP151" i="38" s="1"/>
  <c r="DZ151" i="38" a="1"/>
  <c r="DZ151" i="38" s="1"/>
  <c r="DY151" i="38" a="1"/>
  <c r="DY151" i="38" s="1"/>
  <c r="DW151" i="38"/>
  <c r="BA179" i="38"/>
  <c r="BF179" i="38" s="1"/>
  <c r="DZ169" i="38" a="1"/>
  <c r="DZ169" i="38" s="1"/>
  <c r="DY169" i="38" a="1"/>
  <c r="DY169" i="38" s="1"/>
  <c r="DW169" i="38"/>
  <c r="CP169" i="38" a="1"/>
  <c r="CP169" i="38" s="1"/>
  <c r="EA169" i="38"/>
  <c r="DQ169" i="38"/>
  <c r="CN169" i="38" a="1"/>
  <c r="CN169" i="38" s="1"/>
  <c r="DU169" i="38"/>
  <c r="DT169" i="38" a="1"/>
  <c r="DT169" i="38" s="1"/>
  <c r="DS169" i="38" a="1"/>
  <c r="DS169" i="38" s="1"/>
  <c r="CB165" i="38" a="1"/>
  <c r="CB165" i="38" s="1"/>
  <c r="BU165" i="38"/>
  <c r="CC165" i="38" a="1"/>
  <c r="CC165" i="38" s="1"/>
  <c r="BM180" i="38"/>
  <c r="DS182" i="38" a="1"/>
  <c r="DS182" i="38" s="1"/>
  <c r="DQ182" i="38"/>
  <c r="CN182" i="38" a="1"/>
  <c r="CN182" i="38" s="1"/>
  <c r="DU182" i="38"/>
  <c r="DT182" i="38" a="1"/>
  <c r="DT182" i="38" s="1"/>
  <c r="EA182" i="38"/>
  <c r="CP182" i="38" a="1"/>
  <c r="CP182" i="38" s="1"/>
  <c r="DZ182" i="38" a="1"/>
  <c r="DZ182" i="38" s="1"/>
  <c r="DY182" i="38" a="1"/>
  <c r="DY182" i="38" s="1"/>
  <c r="DW182" i="38"/>
  <c r="BK178" i="38"/>
  <c r="BB178" i="38"/>
  <c r="BE178" i="38" s="1" a="1"/>
  <c r="BE178" i="38" s="1"/>
  <c r="BA183" i="38"/>
  <c r="BF178" i="38"/>
  <c r="BF180" i="38"/>
  <c r="BD180" i="38"/>
  <c r="BK180" i="38"/>
  <c r="BB180" i="38"/>
  <c r="BB109" i="38"/>
  <c r="BD109" i="38"/>
  <c r="BK109" i="38"/>
  <c r="BF109" i="38"/>
  <c r="AV101" i="38" a="1"/>
  <c r="AV101" i="38" s="1"/>
  <c r="AX101" i="38" s="1"/>
  <c r="BA101" i="38" s="1"/>
  <c r="BM101" i="38"/>
  <c r="AP101" i="38"/>
  <c r="AP102" i="38"/>
  <c r="AV102" i="38" a="1"/>
  <c r="AV102" i="38" s="1"/>
  <c r="AX102" i="38" s="1"/>
  <c r="BM102" i="38"/>
  <c r="AV103" i="38" a="1"/>
  <c r="AV103" i="38" s="1"/>
  <c r="AX103" i="38" s="1"/>
  <c r="BA103" i="38" s="1"/>
  <c r="BM103" i="38"/>
  <c r="AP104" i="38"/>
  <c r="AV104" i="38" a="1"/>
  <c r="AV104" i="38" s="1"/>
  <c r="AX104" i="38" s="1"/>
  <c r="BA104" i="38" s="1"/>
  <c r="BM104" i="38"/>
  <c r="AY106" i="38" a="1"/>
  <c r="AY106" i="38" s="1"/>
  <c r="AZ106" i="38" s="1"/>
  <c r="AU106" i="38"/>
  <c r="AP105" i="38"/>
  <c r="BA105" i="38"/>
  <c r="AP107" i="38"/>
  <c r="AV107" i="38" a="1"/>
  <c r="AV107" i="38" s="1"/>
  <c r="AX107" i="38" s="1"/>
  <c r="BM107" i="38"/>
  <c r="DY165" i="38" l="1" a="1"/>
  <c r="DY165" i="38" s="1"/>
  <c r="DW165" i="38"/>
  <c r="EA165" i="38"/>
  <c r="CP165" i="38" a="1"/>
  <c r="CP165" i="38" s="1"/>
  <c r="DZ165" i="38" a="1"/>
  <c r="DZ165" i="38" s="1"/>
  <c r="CN165" i="38" a="1"/>
  <c r="CN165" i="38" s="1"/>
  <c r="DU165" i="38"/>
  <c r="DT165" i="38" a="1"/>
  <c r="DT165" i="38" s="1"/>
  <c r="DS165" i="38" a="1"/>
  <c r="DS165" i="38" s="1"/>
  <c r="DQ165" i="38"/>
  <c r="BN178" i="38" a="1"/>
  <c r="BN178" i="38" s="1"/>
  <c r="BO178" i="38" s="1"/>
  <c r="BG178" i="38" a="1"/>
  <c r="BG178" i="38" s="1"/>
  <c r="BH178" i="38" s="1"/>
  <c r="BI178" i="38" s="1"/>
  <c r="BJ178" i="38" a="1"/>
  <c r="BJ178" i="38" s="1"/>
  <c r="BC178" i="38" a="1"/>
  <c r="BC178" i="38" s="1"/>
  <c r="BL178" i="38" a="1"/>
  <c r="BL178" i="38" s="1"/>
  <c r="BF183" i="38"/>
  <c r="BG180" i="38" a="1"/>
  <c r="BG180" i="38" s="1"/>
  <c r="BH180" i="38" s="1"/>
  <c r="BI180" i="38" s="1"/>
  <c r="BN180" i="38" a="1"/>
  <c r="BN180" i="38" s="1"/>
  <c r="BO180" i="38" s="1"/>
  <c r="BE180" i="38" a="1"/>
  <c r="BE180" i="38" s="1"/>
  <c r="BL180" i="38" a="1"/>
  <c r="BL180" i="38" s="1"/>
  <c r="BC180" i="38" a="1"/>
  <c r="BC180" i="38" s="1"/>
  <c r="BJ180" i="38" a="1"/>
  <c r="BJ180" i="38" s="1"/>
  <c r="BE109" i="38" a="1"/>
  <c r="BE109" i="38" s="1"/>
  <c r="BJ109" i="38" a="1"/>
  <c r="BJ109" i="38" s="1"/>
  <c r="BL109" i="38" a="1"/>
  <c r="BL109" i="38" s="1"/>
  <c r="BN109" i="38" a="1"/>
  <c r="BN109" i="38" s="1"/>
  <c r="BO109" i="38" s="1"/>
  <c r="BG109" i="38" a="1"/>
  <c r="BG109" i="38" s="1"/>
  <c r="BH109" i="38" s="1"/>
  <c r="BI109" i="38" s="1"/>
  <c r="BC109" i="38" a="1"/>
  <c r="BC109" i="38" s="1"/>
  <c r="BF101" i="38"/>
  <c r="BD101" i="38"/>
  <c r="BK101" i="38"/>
  <c r="BB101" i="38"/>
  <c r="BD102" i="38"/>
  <c r="BK102" i="38"/>
  <c r="BA102" i="38"/>
  <c r="BF103" i="38"/>
  <c r="AV106" i="38" a="1"/>
  <c r="AV106" i="38" s="1"/>
  <c r="AX106" i="38" s="1"/>
  <c r="BA106" i="38" s="1"/>
  <c r="BM106" i="38"/>
  <c r="BF104" i="38"/>
  <c r="BD104" i="38"/>
  <c r="BK104" i="38"/>
  <c r="BB104" i="38"/>
  <c r="BF105" i="38"/>
  <c r="BD105" i="38"/>
  <c r="BK105" i="38"/>
  <c r="BB105" i="38"/>
  <c r="BA107" i="38"/>
  <c r="BB107" i="38" s="1"/>
  <c r="BD107" i="38"/>
  <c r="BK107" i="38"/>
  <c r="BP178" i="38" l="1" a="1"/>
  <c r="BP178" i="38" s="1"/>
  <c r="BR178" i="38" s="1"/>
  <c r="BP180" i="38" a="1"/>
  <c r="BP180" i="38" s="1"/>
  <c r="BR180" i="38" s="1"/>
  <c r="BP109" i="38" a="1"/>
  <c r="BP109" i="38" s="1"/>
  <c r="BR109" i="38" s="1"/>
  <c r="BG101" i="38" a="1"/>
  <c r="BG101" i="38" s="1"/>
  <c r="BH101" i="38" s="1"/>
  <c r="BI101" i="38" s="1"/>
  <c r="BN101" i="38" a="1"/>
  <c r="BN101" i="38" s="1"/>
  <c r="BO101" i="38" s="1"/>
  <c r="BE101" i="38" a="1"/>
  <c r="BE101" i="38" s="1"/>
  <c r="BL101" i="38" a="1"/>
  <c r="BL101" i="38" s="1"/>
  <c r="BC101" i="38" a="1"/>
  <c r="BC101" i="38" s="1"/>
  <c r="BJ101" i="38" a="1"/>
  <c r="BJ101" i="38" s="1"/>
  <c r="BF102" i="38"/>
  <c r="BB102" i="38"/>
  <c r="BF106" i="38"/>
  <c r="BG104" i="38" a="1"/>
  <c r="BG104" i="38" s="1"/>
  <c r="BH104" i="38" s="1"/>
  <c r="BI104" i="38" s="1"/>
  <c r="BN104" i="38" a="1"/>
  <c r="BN104" i="38" s="1"/>
  <c r="BO104" i="38" s="1"/>
  <c r="BE104" i="38" a="1"/>
  <c r="BE104" i="38" s="1"/>
  <c r="BL104" i="38" a="1"/>
  <c r="BL104" i="38" s="1"/>
  <c r="BC104" i="38" a="1"/>
  <c r="BC104" i="38" s="1"/>
  <c r="BJ104" i="38" a="1"/>
  <c r="BJ104" i="38" s="1"/>
  <c r="BN105" i="38" a="1"/>
  <c r="BN105" i="38" s="1"/>
  <c r="BO105" i="38" s="1"/>
  <c r="BE105" i="38" a="1"/>
  <c r="BE105" i="38" s="1"/>
  <c r="BL105" i="38" a="1"/>
  <c r="BL105" i="38" s="1"/>
  <c r="BC105" i="38" a="1"/>
  <c r="BC105" i="38" s="1"/>
  <c r="BJ105" i="38" a="1"/>
  <c r="BJ105" i="38" s="1"/>
  <c r="BG105" i="38" a="1"/>
  <c r="BG105" i="38" s="1"/>
  <c r="BH105" i="38" s="1"/>
  <c r="BL107" i="38" a="1"/>
  <c r="BL107" i="38" s="1"/>
  <c r="BC107" i="38" a="1"/>
  <c r="BC107" i="38" s="1"/>
  <c r="BJ107" i="38" a="1"/>
  <c r="BJ107" i="38" s="1"/>
  <c r="BG107" i="38" a="1"/>
  <c r="BG107" i="38" s="1"/>
  <c r="BH107" i="38" s="1"/>
  <c r="BE107" i="38" a="1"/>
  <c r="BE107" i="38" s="1"/>
  <c r="BN107" i="38" a="1"/>
  <c r="BN107" i="38" s="1"/>
  <c r="BO107" i="38" s="1"/>
  <c r="BF107" i="38"/>
  <c r="BS178" i="38" l="1"/>
  <c r="BT178" i="38" s="1"/>
  <c r="BS180" i="38"/>
  <c r="BT180" i="38" s="1"/>
  <c r="BS109" i="38"/>
  <c r="BT109" i="38" s="1"/>
  <c r="BP101" i="38" a="1"/>
  <c r="BP101" i="38" s="1"/>
  <c r="BR101" i="38" s="1"/>
  <c r="BL102" i="38" a="1"/>
  <c r="BL102" i="38" s="1"/>
  <c r="BC102" i="38" a="1"/>
  <c r="BC102" i="38" s="1"/>
  <c r="BJ102" i="38" a="1"/>
  <c r="BJ102" i="38" s="1"/>
  <c r="BG102" i="38" a="1"/>
  <c r="BG102" i="38" s="1"/>
  <c r="BH102" i="38" s="1"/>
  <c r="BN102" i="38" a="1"/>
  <c r="BN102" i="38" s="1"/>
  <c r="BO102" i="38" s="1"/>
  <c r="BE102" i="38" a="1"/>
  <c r="BE102" i="38" s="1"/>
  <c r="BP104" i="38" a="1"/>
  <c r="BP104" i="38" s="1"/>
  <c r="BR104" i="38" s="1"/>
  <c r="BI105" i="38"/>
  <c r="BI107" i="38"/>
  <c r="CB178" i="38" l="1" a="1"/>
  <c r="CB178" i="38" s="1"/>
  <c r="BU178" i="38"/>
  <c r="CC178" i="38" a="1"/>
  <c r="CC178" i="38" s="1"/>
  <c r="CC180" i="38" a="1"/>
  <c r="CC180" i="38" s="1"/>
  <c r="CB180" i="38" a="1"/>
  <c r="CB180" i="38" s="1"/>
  <c r="BU180" i="38"/>
  <c r="CB109" i="38" a="1"/>
  <c r="CB109" i="38" s="1"/>
  <c r="CC109" i="38" a="1"/>
  <c r="CC109" i="38" s="1"/>
  <c r="BU109" i="38"/>
  <c r="BS101" i="38"/>
  <c r="BT101" i="38" s="1"/>
  <c r="BI102" i="38"/>
  <c r="BS104" i="38"/>
  <c r="BT104" i="38" s="1"/>
  <c r="BP105" i="38" a="1"/>
  <c r="BP105" i="38" s="1"/>
  <c r="BR105" i="38" s="1"/>
  <c r="BP107" i="38" a="1"/>
  <c r="BP107" i="38" s="1"/>
  <c r="BR107" i="38" s="1"/>
  <c r="DY178" i="38" l="1" a="1"/>
  <c r="DY178" i="38" s="1"/>
  <c r="DW178" i="38"/>
  <c r="EA178" i="38"/>
  <c r="DZ178" i="38" a="1"/>
  <c r="DZ178" i="38" s="1"/>
  <c r="CP178" i="38" a="1"/>
  <c r="CP178" i="38" s="1"/>
  <c r="CN178" i="38" a="1"/>
  <c r="CN178" i="38" s="1"/>
  <c r="DU178" i="38"/>
  <c r="DT178" i="38" a="1"/>
  <c r="DT178" i="38" s="1"/>
  <c r="DS178" i="38" a="1"/>
  <c r="DS178" i="38" s="1"/>
  <c r="DQ178" i="38"/>
  <c r="DS180" i="38" a="1"/>
  <c r="DS180" i="38" s="1"/>
  <c r="DQ180" i="38"/>
  <c r="CN180" i="38" a="1"/>
  <c r="CN180" i="38" s="1"/>
  <c r="DT180" i="38" a="1"/>
  <c r="DT180" i="38" s="1"/>
  <c r="DU180" i="38"/>
  <c r="CP180" i="38" a="1"/>
  <c r="CP180" i="38" s="1"/>
  <c r="EA180" i="38"/>
  <c r="DZ180" i="38" a="1"/>
  <c r="DZ180" i="38" s="1"/>
  <c r="DY180" i="38" a="1"/>
  <c r="DY180" i="38" s="1"/>
  <c r="DW180" i="38"/>
  <c r="DW109" i="38"/>
  <c r="DZ109" i="38" a="1"/>
  <c r="DZ109" i="38" s="1"/>
  <c r="CP109" i="38" a="1"/>
  <c r="CP109" i="38" s="1"/>
  <c r="EA109" i="38"/>
  <c r="DY109" i="38" a="1"/>
  <c r="DY109" i="38" s="1"/>
  <c r="CN109" i="38" a="1"/>
  <c r="CN109" i="38" s="1"/>
  <c r="DQ109" i="38"/>
  <c r="DS109" i="38" a="1"/>
  <c r="DS109" i="38" s="1"/>
  <c r="DT109" i="38" a="1"/>
  <c r="DT109" i="38" s="1"/>
  <c r="DU109" i="38"/>
  <c r="CC101" i="38" a="1"/>
  <c r="CC101" i="38" s="1"/>
  <c r="CB101" i="38" a="1"/>
  <c r="CB101" i="38" s="1"/>
  <c r="BU101" i="38"/>
  <c r="BP102" i="38" a="1"/>
  <c r="BP102" i="38" s="1"/>
  <c r="BR102" i="38" s="1"/>
  <c r="CC104" i="38" a="1"/>
  <c r="CC104" i="38" s="1"/>
  <c r="CB104" i="38" a="1"/>
  <c r="CB104" i="38" s="1"/>
  <c r="BU104" i="38"/>
  <c r="BS105" i="38"/>
  <c r="BT105" i="38" s="1"/>
  <c r="BS107" i="38"/>
  <c r="BT107" i="38" s="1"/>
  <c r="DS101" i="38" l="1" a="1"/>
  <c r="DS101" i="38" s="1"/>
  <c r="DQ101" i="38"/>
  <c r="CN101" i="38" a="1"/>
  <c r="CN101" i="38" s="1"/>
  <c r="DT101" i="38" a="1"/>
  <c r="DT101" i="38" s="1"/>
  <c r="DU101" i="38"/>
  <c r="EA101" i="38"/>
  <c r="CP101" i="38" a="1"/>
  <c r="CP101" i="38" s="1"/>
  <c r="DZ101" i="38" a="1"/>
  <c r="DZ101" i="38" s="1"/>
  <c r="DY101" i="38" a="1"/>
  <c r="DY101" i="38" s="1"/>
  <c r="DW101" i="38"/>
  <c r="BS102" i="38"/>
  <c r="BT102" i="38" s="1"/>
  <c r="DS104" i="38" a="1"/>
  <c r="DS104" i="38" s="1"/>
  <c r="DQ104" i="38"/>
  <c r="CN104" i="38" a="1"/>
  <c r="CN104" i="38" s="1"/>
  <c r="DU104" i="38"/>
  <c r="DT104" i="38" a="1"/>
  <c r="DT104" i="38" s="1"/>
  <c r="EA104" i="38"/>
  <c r="CP104" i="38" a="1"/>
  <c r="CP104" i="38" s="1"/>
  <c r="DZ104" i="38" a="1"/>
  <c r="DZ104" i="38" s="1"/>
  <c r="DY104" i="38" a="1"/>
  <c r="DY104" i="38" s="1"/>
  <c r="DW104" i="38"/>
  <c r="CC105" i="38" a="1"/>
  <c r="CC105" i="38" s="1"/>
  <c r="CB105" i="38" a="1"/>
  <c r="CB105" i="38" s="1"/>
  <c r="BU105" i="38"/>
  <c r="BU107" i="38"/>
  <c r="CC107" i="38" a="1"/>
  <c r="CC107" i="38" s="1"/>
  <c r="CB107" i="38" a="1"/>
  <c r="CB107" i="38" s="1"/>
  <c r="CC102" i="38" l="1" a="1"/>
  <c r="CC102" i="38" s="1"/>
  <c r="CB102" i="38" a="1"/>
  <c r="CB102" i="38" s="1"/>
  <c r="BU102" i="38"/>
  <c r="DQ105" i="38"/>
  <c r="CN105" i="38" a="1"/>
  <c r="CN105" i="38" s="1"/>
  <c r="DU105" i="38"/>
  <c r="DT105" i="38" a="1"/>
  <c r="DT105" i="38" s="1"/>
  <c r="DS105" i="38" a="1"/>
  <c r="DS105" i="38" s="1"/>
  <c r="CP105" i="38" a="1"/>
  <c r="CP105" i="38" s="1"/>
  <c r="DZ105" i="38" a="1"/>
  <c r="DZ105" i="38" s="1"/>
  <c r="DY105" i="38" a="1"/>
  <c r="DY105" i="38" s="1"/>
  <c r="DW105" i="38"/>
  <c r="EA105" i="38"/>
  <c r="DU107" i="38"/>
  <c r="DT107" i="38" a="1"/>
  <c r="DT107" i="38" s="1"/>
  <c r="DS107" i="38" a="1"/>
  <c r="DS107" i="38" s="1"/>
  <c r="DQ107" i="38"/>
  <c r="CN107" i="38" a="1"/>
  <c r="CN107" i="38" s="1"/>
  <c r="DY107" i="38" a="1"/>
  <c r="DY107" i="38" s="1"/>
  <c r="DW107" i="38"/>
  <c r="EA107" i="38"/>
  <c r="CP107" i="38" a="1"/>
  <c r="CP107" i="38" s="1"/>
  <c r="DZ107" i="38" a="1"/>
  <c r="DZ107" i="38" s="1"/>
  <c r="DQ102" i="38" l="1"/>
  <c r="CN102" i="38" a="1"/>
  <c r="CN102" i="38" s="1"/>
  <c r="DU102" i="38"/>
  <c r="DT102" i="38" a="1"/>
  <c r="DT102" i="38" s="1"/>
  <c r="DS102" i="38" a="1"/>
  <c r="DS102" i="38" s="1"/>
  <c r="CP102" i="38" a="1"/>
  <c r="CP102" i="38" s="1"/>
  <c r="DY102" i="38" a="1"/>
  <c r="DY102" i="38" s="1"/>
  <c r="DW102" i="38"/>
  <c r="EA102" i="38"/>
  <c r="DZ102" i="38" a="1"/>
  <c r="DZ102" i="38" s="1"/>
  <c r="U9" i="44" l="1"/>
  <c r="V9" i="44"/>
  <c r="W9" i="44"/>
  <c r="AI9" i="44"/>
  <c r="AK9" i="44"/>
  <c r="CJ33" i="38"/>
  <c r="AT33" i="38" s="1" a="1"/>
  <c r="AT33" i="38" s="1"/>
  <c r="CI33" i="38"/>
  <c r="AK33" i="38"/>
  <c r="AF33" i="38"/>
  <c r="AA33" i="38"/>
  <c r="AS33" i="38" l="1" a="1"/>
  <c r="AS33" i="38" s="1"/>
  <c r="AY33" i="38" a="1"/>
  <c r="AY33" i="38" s="1"/>
  <c r="AZ33" i="38" s="1"/>
  <c r="AU33" i="38"/>
  <c r="AV33" i="38" l="1" a="1"/>
  <c r="AV33" i="38" s="1"/>
  <c r="AX33" i="38" s="1"/>
  <c r="BM33" i="38"/>
  <c r="BA33" i="38" l="1"/>
  <c r="BF33" i="38" l="1"/>
  <c r="U8" i="44" l="1"/>
  <c r="V8" i="44"/>
  <c r="W8" i="44"/>
  <c r="AI8" i="44"/>
  <c r="AK8" i="44"/>
  <c r="CJ29" i="38" l="1"/>
  <c r="AT29" i="38" s="1" a="1"/>
  <c r="AT29" i="38" s="1"/>
  <c r="CI29" i="38"/>
  <c r="AK29" i="38"/>
  <c r="AF29" i="38"/>
  <c r="AA29" i="38"/>
  <c r="CJ30" i="38"/>
  <c r="AT30" i="38" s="1" a="1"/>
  <c r="AT30" i="38" s="1"/>
  <c r="CI30" i="38"/>
  <c r="AK30" i="38"/>
  <c r="AF30" i="38"/>
  <c r="AA30" i="38"/>
  <c r="CJ31" i="38"/>
  <c r="AT31" i="38" s="1" a="1"/>
  <c r="AT31" i="38" s="1"/>
  <c r="CI31" i="38"/>
  <c r="I31" i="38" s="1" a="1"/>
  <c r="I31" i="38" s="1"/>
  <c r="AK31" i="38"/>
  <c r="AF31" i="38"/>
  <c r="AA31" i="38"/>
  <c r="U31" i="38" a="1"/>
  <c r="U31" i="38" s="1"/>
  <c r="V31" i="38" s="1"/>
  <c r="Q31" i="38" a="1"/>
  <c r="Q31" i="38" s="1"/>
  <c r="P31" i="38" a="1"/>
  <c r="P31" i="38" s="1"/>
  <c r="R31" i="38" s="1"/>
  <c r="J31" i="38"/>
  <c r="AS31" i="38" l="1" a="1"/>
  <c r="AS31" i="38" s="1"/>
  <c r="AS29" i="38" a="1"/>
  <c r="AS29" i="38" s="1"/>
  <c r="AS30" i="38" a="1"/>
  <c r="AS30" i="38" s="1"/>
  <c r="AY29" i="38" a="1"/>
  <c r="AY29" i="38" s="1"/>
  <c r="AZ29" i="38" s="1"/>
  <c r="AU29" i="38"/>
  <c r="AM31" i="38" a="1"/>
  <c r="AM31" i="38" s="1"/>
  <c r="AY30" i="38" a="1"/>
  <c r="AY30" i="38" s="1"/>
  <c r="AZ30" i="38" s="1"/>
  <c r="AU30" i="38"/>
  <c r="AU31" i="38"/>
  <c r="AY31" i="38" a="1"/>
  <c r="AY31" i="38" s="1"/>
  <c r="AZ31" i="38" s="1"/>
  <c r="AG31" i="38" a="1"/>
  <c r="AG31" i="38" s="1"/>
  <c r="AL31" i="38" s="1"/>
  <c r="AO31" i="38"/>
  <c r="AN31" i="38" a="1"/>
  <c r="AN31" i="38" s="1"/>
  <c r="AV29" i="38" l="1" a="1"/>
  <c r="AV29" i="38" s="1"/>
  <c r="AX29" i="38" s="1"/>
  <c r="BA29" i="38" s="1"/>
  <c r="BM29" i="38"/>
  <c r="AV30" i="38" a="1"/>
  <c r="AV30" i="38" s="1"/>
  <c r="AX30" i="38" s="1"/>
  <c r="BM30" i="38"/>
  <c r="AP31" i="38"/>
  <c r="BM31" i="38"/>
  <c r="AV31" i="38" a="1"/>
  <c r="AV31" i="38" s="1"/>
  <c r="AX31" i="38" s="1"/>
  <c r="BF29" i="38" l="1"/>
  <c r="BA30" i="38"/>
  <c r="BD31" i="38"/>
  <c r="BK31" i="38"/>
  <c r="BA31" i="38"/>
  <c r="BB31" i="38" s="1"/>
  <c r="BF30" i="38" l="1"/>
  <c r="BF31" i="38"/>
  <c r="BE31" i="38" a="1"/>
  <c r="BE31" i="38" s="1"/>
  <c r="BL31" i="38" a="1"/>
  <c r="BL31" i="38" s="1"/>
  <c r="BC31" i="38" a="1"/>
  <c r="BC31" i="38" s="1"/>
  <c r="BJ31" i="38" a="1"/>
  <c r="BJ31" i="38" s="1"/>
  <c r="BG31" i="38" a="1"/>
  <c r="BG31" i="38" s="1"/>
  <c r="BH31" i="38" s="1"/>
  <c r="BN31" i="38" a="1"/>
  <c r="BN31" i="38" s="1"/>
  <c r="BO31" i="38" s="1"/>
  <c r="BI31" i="38" l="1"/>
  <c r="BP31" i="38" l="1" a="1"/>
  <c r="BP31" i="38" s="1"/>
  <c r="BR31" i="38" s="1"/>
  <c r="BS31" i="38" l="1"/>
  <c r="BT31" i="38" s="1"/>
  <c r="CB31" i="38" l="1" a="1"/>
  <c r="CB31" i="38" s="1"/>
  <c r="BU31" i="38"/>
  <c r="CC31" i="38" a="1"/>
  <c r="CC31" i="38" s="1"/>
  <c r="DY31" i="38" l="1" a="1"/>
  <c r="DY31" i="38" s="1"/>
  <c r="DW31" i="38"/>
  <c r="EA31" i="38"/>
  <c r="CP31" i="38" a="1"/>
  <c r="CP31" i="38" s="1"/>
  <c r="DZ31" i="38" a="1"/>
  <c r="DZ31" i="38" s="1"/>
  <c r="CN31" i="38" a="1"/>
  <c r="CN31" i="38" s="1"/>
  <c r="DU31" i="38"/>
  <c r="DT31" i="38" a="1"/>
  <c r="DT31" i="38" s="1"/>
  <c r="DS31" i="38" a="1"/>
  <c r="DS31" i="38" s="1"/>
  <c r="DQ31" i="38"/>
  <c r="CJ42" i="38" l="1"/>
  <c r="AT42" i="38" s="1" a="1"/>
  <c r="AT42" i="38" s="1"/>
  <c r="CI42" i="38"/>
  <c r="AK42" i="38"/>
  <c r="AF42" i="38"/>
  <c r="AA42" i="38"/>
  <c r="CJ43" i="38"/>
  <c r="AT43" i="38" s="1" a="1"/>
  <c r="AT43" i="38" s="1"/>
  <c r="CI43" i="38"/>
  <c r="I43" i="38" s="1" a="1"/>
  <c r="I43" i="38" s="1"/>
  <c r="AK43" i="38"/>
  <c r="AF43" i="38"/>
  <c r="AA43" i="38"/>
  <c r="U43" i="38" a="1"/>
  <c r="U43" i="38" s="1"/>
  <c r="V43" i="38" s="1"/>
  <c r="Q43" i="38" a="1"/>
  <c r="Q43" i="38" s="1"/>
  <c r="P43" i="38" a="1"/>
  <c r="P43" i="38" s="1"/>
  <c r="R43" i="38" s="1"/>
  <c r="J43" i="38"/>
  <c r="CJ44" i="38"/>
  <c r="AT44" i="38" s="1" a="1"/>
  <c r="AT44" i="38" s="1"/>
  <c r="CI44" i="38"/>
  <c r="AM44" i="38" s="1" a="1"/>
  <c r="AM44" i="38" s="1"/>
  <c r="AK44" i="38"/>
  <c r="AF44" i="38"/>
  <c r="AA44" i="38"/>
  <c r="U44" i="38" a="1"/>
  <c r="U44" i="38" s="1"/>
  <c r="V44" i="38" s="1"/>
  <c r="Q44" i="38" a="1"/>
  <c r="Q44" i="38" s="1"/>
  <c r="P44" i="38" a="1"/>
  <c r="P44" i="38" s="1"/>
  <c r="R44" i="38" s="1"/>
  <c r="J44" i="38"/>
  <c r="CJ45" i="38"/>
  <c r="AT45" i="38" s="1" a="1"/>
  <c r="AT45" i="38" s="1"/>
  <c r="CI45" i="38"/>
  <c r="AK45" i="38"/>
  <c r="AF45" i="38"/>
  <c r="AA45" i="38"/>
  <c r="AS45" i="38" l="1" a="1"/>
  <c r="AS45" i="38" s="1"/>
  <c r="AS42" i="38" a="1"/>
  <c r="AS42" i="38" s="1"/>
  <c r="AS43" i="38" a="1"/>
  <c r="AS43" i="38" s="1"/>
  <c r="AS44" i="38" a="1"/>
  <c r="AS44" i="38" s="1"/>
  <c r="AU42" i="38"/>
  <c r="AY42" i="38" a="1"/>
  <c r="AY42" i="38" s="1"/>
  <c r="AZ42" i="38" s="1"/>
  <c r="AG43" i="38" a="1"/>
  <c r="AG43" i="38" s="1"/>
  <c r="AL43" i="38" s="1"/>
  <c r="AO43" i="38"/>
  <c r="AY43" i="38" a="1"/>
  <c r="AY43" i="38" s="1"/>
  <c r="AZ43" i="38" s="1"/>
  <c r="AU43" i="38"/>
  <c r="AM43" i="38" a="1"/>
  <c r="AM43" i="38" s="1"/>
  <c r="AN43" i="38" a="1"/>
  <c r="AN43" i="38" s="1"/>
  <c r="AG44" i="38" a="1"/>
  <c r="AG44" i="38" s="1"/>
  <c r="AL44" i="38" s="1"/>
  <c r="AO44" i="38"/>
  <c r="AY44" i="38" a="1"/>
  <c r="AY44" i="38" s="1"/>
  <c r="AZ44" i="38" s="1"/>
  <c r="AU44" i="38"/>
  <c r="I44" i="38" a="1"/>
  <c r="I44" i="38" s="1"/>
  <c r="AN44" i="38" a="1"/>
  <c r="AN44" i="38" s="1"/>
  <c r="AY45" i="38" a="1"/>
  <c r="AY45" i="38" s="1"/>
  <c r="AZ45" i="38" s="1"/>
  <c r="AU45" i="38"/>
  <c r="AP44" i="38" l="1"/>
  <c r="BK44" i="38" s="1"/>
  <c r="AV42" i="38" a="1"/>
  <c r="AV42" i="38" s="1"/>
  <c r="AX42" i="38" s="1"/>
  <c r="BA42" i="38" s="1"/>
  <c r="BM42" i="38"/>
  <c r="AV43" i="38" a="1"/>
  <c r="AV43" i="38" s="1"/>
  <c r="AX43" i="38" s="1"/>
  <c r="BA43" i="38" s="1"/>
  <c r="BM43" i="38"/>
  <c r="AP43" i="38"/>
  <c r="AV44" i="38" a="1"/>
  <c r="AV44" i="38" s="1"/>
  <c r="AX44" i="38" s="1"/>
  <c r="BM44" i="38"/>
  <c r="AV45" i="38" a="1"/>
  <c r="AV45" i="38" s="1"/>
  <c r="AX45" i="38" s="1"/>
  <c r="BA45" i="38" s="1"/>
  <c r="BM45" i="38"/>
  <c r="CJ40" i="38"/>
  <c r="AS40" i="38" s="1" a="1"/>
  <c r="AS40" i="38" s="1"/>
  <c r="CI40" i="38"/>
  <c r="I40" i="38" s="1" a="1"/>
  <c r="I40" i="38" s="1"/>
  <c r="AK40" i="38"/>
  <c r="AF40" i="38"/>
  <c r="AA40" i="38"/>
  <c r="U40" i="38" a="1"/>
  <c r="U40" i="38" s="1"/>
  <c r="V40" i="38" s="1"/>
  <c r="Q40" i="38" a="1"/>
  <c r="Q40" i="38" s="1"/>
  <c r="P40" i="38" a="1"/>
  <c r="P40" i="38" s="1"/>
  <c r="R40" i="38" s="1"/>
  <c r="J40" i="38"/>
  <c r="CJ41" i="38"/>
  <c r="AT41" i="38" s="1" a="1"/>
  <c r="AT41" i="38" s="1"/>
  <c r="CI41" i="38"/>
  <c r="AK41" i="38"/>
  <c r="AF41" i="38"/>
  <c r="AA41" i="38"/>
  <c r="CJ46" i="38"/>
  <c r="AT46" i="38" s="1" a="1"/>
  <c r="AT46" i="38" s="1"/>
  <c r="CI46" i="38"/>
  <c r="AM46" i="38" s="1" a="1"/>
  <c r="AM46" i="38" s="1"/>
  <c r="AK46" i="38"/>
  <c r="AF46" i="38"/>
  <c r="AA46" i="38"/>
  <c r="U46" i="38" a="1"/>
  <c r="U46" i="38" s="1"/>
  <c r="V46" i="38" s="1"/>
  <c r="Q46" i="38" a="1"/>
  <c r="Q46" i="38" s="1"/>
  <c r="P46" i="38" a="1"/>
  <c r="P46" i="38" s="1"/>
  <c r="R46" i="38" s="1"/>
  <c r="J46" i="38"/>
  <c r="CJ47" i="38"/>
  <c r="AT47" i="38" s="1" a="1"/>
  <c r="AT47" i="38" s="1"/>
  <c r="AY47" i="38" s="1" a="1"/>
  <c r="AY47" i="38" s="1"/>
  <c r="AZ47" i="38" s="1"/>
  <c r="CI47" i="38"/>
  <c r="AK47" i="38"/>
  <c r="AF47" i="38"/>
  <c r="AA47" i="38"/>
  <c r="CJ48" i="38"/>
  <c r="AT48" i="38" s="1" a="1"/>
  <c r="AT48" i="38" s="1"/>
  <c r="AU48" i="38" s="1"/>
  <c r="CI48" i="38"/>
  <c r="AM48" i="38" s="1" a="1"/>
  <c r="AM48" i="38" s="1"/>
  <c r="AK48" i="38"/>
  <c r="AF48" i="38"/>
  <c r="AA48" i="38"/>
  <c r="U48" i="38" a="1"/>
  <c r="U48" i="38" s="1"/>
  <c r="V48" i="38" s="1"/>
  <c r="Q48" i="38" a="1"/>
  <c r="Q48" i="38" s="1"/>
  <c r="P48" i="38" a="1"/>
  <c r="P48" i="38" s="1"/>
  <c r="R48" i="38" s="1"/>
  <c r="J48" i="38"/>
  <c r="CJ28" i="38"/>
  <c r="CI28" i="38"/>
  <c r="I28" i="38" s="1" a="1"/>
  <c r="I28" i="38" s="1"/>
  <c r="AK28" i="38"/>
  <c r="AF28" i="38"/>
  <c r="AA28" i="38"/>
  <c r="U28" i="38" a="1"/>
  <c r="U28" i="38" s="1"/>
  <c r="V28" i="38" s="1"/>
  <c r="Q28" i="38" a="1"/>
  <c r="Q28" i="38" s="1"/>
  <c r="P28" i="38" a="1"/>
  <c r="P28" i="38" s="1"/>
  <c r="R28" i="38" s="1"/>
  <c r="J28" i="38"/>
  <c r="CJ32" i="38"/>
  <c r="CI32" i="38"/>
  <c r="AM32" i="38" s="1" a="1"/>
  <c r="AM32" i="38" s="1"/>
  <c r="AK32" i="38"/>
  <c r="AF32" i="38"/>
  <c r="AA32" i="38"/>
  <c r="U32" i="38" a="1"/>
  <c r="U32" i="38" s="1"/>
  <c r="V32" i="38" s="1"/>
  <c r="Q32" i="38" a="1"/>
  <c r="Q32" i="38" s="1"/>
  <c r="P32" i="38" a="1"/>
  <c r="P32" i="38" s="1"/>
  <c r="R32" i="38" s="1"/>
  <c r="J32" i="38"/>
  <c r="CJ34" i="38"/>
  <c r="AT34" i="38" s="1" a="1"/>
  <c r="AT34" i="38" s="1"/>
  <c r="CI34" i="38"/>
  <c r="I34" i="38" s="1" a="1"/>
  <c r="I34" i="38" s="1"/>
  <c r="AK34" i="38"/>
  <c r="AF34" i="38"/>
  <c r="AA34" i="38"/>
  <c r="U34" i="38" a="1"/>
  <c r="U34" i="38" s="1"/>
  <c r="V34" i="38" s="1"/>
  <c r="Q34" i="38" a="1"/>
  <c r="Q34" i="38" s="1"/>
  <c r="P34" i="38" a="1"/>
  <c r="P34" i="38" s="1"/>
  <c r="R34" i="38" s="1"/>
  <c r="J34" i="38"/>
  <c r="CJ35" i="38"/>
  <c r="AT35" i="38" s="1" a="1"/>
  <c r="AT35" i="38" s="1"/>
  <c r="CI35" i="38"/>
  <c r="AK35" i="38"/>
  <c r="AF35" i="38"/>
  <c r="AA35" i="38"/>
  <c r="BD44" i="38" l="1"/>
  <c r="BF42" i="38"/>
  <c r="BB43" i="38"/>
  <c r="BK43" i="38"/>
  <c r="BD43" i="38"/>
  <c r="AS46" i="38" a="1"/>
  <c r="AS46" i="38" s="1"/>
  <c r="BF43" i="38"/>
  <c r="BA44" i="38"/>
  <c r="AS41" i="38" a="1"/>
  <c r="AS41" i="38" s="1"/>
  <c r="AU47" i="38"/>
  <c r="BM47" i="38" s="1"/>
  <c r="BF45" i="38"/>
  <c r="AT40" i="38" a="1"/>
  <c r="AT40" i="38" s="1"/>
  <c r="AU40" i="38" s="1"/>
  <c r="AM40" i="38" a="1"/>
  <c r="AM40" i="38" s="1"/>
  <c r="AG40" i="38" a="1"/>
  <c r="AG40" i="38" s="1"/>
  <c r="AL40" i="38" s="1"/>
  <c r="AO40" i="38"/>
  <c r="AN40" i="38" a="1"/>
  <c r="AN40" i="38" s="1"/>
  <c r="AM34" i="38" a="1"/>
  <c r="AM34" i="38" s="1"/>
  <c r="AU41" i="38"/>
  <c r="AY41" i="38" a="1"/>
  <c r="AY41" i="38" s="1"/>
  <c r="AZ41" i="38" s="1"/>
  <c r="AT28" i="38" a="1"/>
  <c r="AT28" i="38" s="1"/>
  <c r="AU28" i="38" s="1"/>
  <c r="AV28" i="38" s="1" a="1"/>
  <c r="AV28" i="38" s="1"/>
  <c r="AX28" i="38" s="1"/>
  <c r="AS28" i="38" a="1"/>
  <c r="AS28" i="38" s="1"/>
  <c r="AG46" i="38" a="1"/>
  <c r="AG46" i="38" s="1"/>
  <c r="AL46" i="38" s="1"/>
  <c r="AO46" i="38"/>
  <c r="AY46" i="38" a="1"/>
  <c r="AY46" i="38" s="1"/>
  <c r="AZ46" i="38" s="1"/>
  <c r="AU46" i="38"/>
  <c r="I46" i="38" a="1"/>
  <c r="I46" i="38" s="1"/>
  <c r="AN48" i="38" a="1"/>
  <c r="AN48" i="38" s="1"/>
  <c r="AM28" i="38" a="1"/>
  <c r="AM28" i="38" s="1"/>
  <c r="AS48" i="38" a="1"/>
  <c r="AS48" i="38" s="1"/>
  <c r="AS47" i="38" a="1"/>
  <c r="AS47" i="38" s="1"/>
  <c r="AN46" i="38" a="1"/>
  <c r="AN46" i="38" s="1"/>
  <c r="AT32" i="38" a="1"/>
  <c r="AT32" i="38" s="1"/>
  <c r="AU32" i="38" s="1"/>
  <c r="AS32" i="38" a="1"/>
  <c r="AS32" i="38" s="1"/>
  <c r="AO34" i="38"/>
  <c r="AV48" i="38" a="1"/>
  <c r="AV48" i="38" s="1"/>
  <c r="AX48" i="38" s="1"/>
  <c r="BM48" i="38"/>
  <c r="AY48" i="38" a="1"/>
  <c r="AY48" i="38" s="1"/>
  <c r="AZ48" i="38" s="1"/>
  <c r="AG48" i="38" a="1"/>
  <c r="AG48" i="38" s="1"/>
  <c r="AL48" i="38" s="1"/>
  <c r="AO48" i="38"/>
  <c r="I48" i="38" a="1"/>
  <c r="I48" i="38" s="1"/>
  <c r="AG28" i="38" a="1"/>
  <c r="AG28" i="38" s="1"/>
  <c r="AL28" i="38" s="1"/>
  <c r="AO28" i="38"/>
  <c r="AN28" i="38" a="1"/>
  <c r="AN28" i="38" s="1"/>
  <c r="AN32" i="38" a="1"/>
  <c r="AN32" i="38" s="1"/>
  <c r="AG32" i="38" a="1"/>
  <c r="AG32" i="38" s="1"/>
  <c r="AL32" i="38" s="1"/>
  <c r="AS34" i="38" a="1"/>
  <c r="AS34" i="38" s="1"/>
  <c r="AO32" i="38"/>
  <c r="I32" i="38" a="1"/>
  <c r="I32" i="38" s="1"/>
  <c r="AY34" i="38" a="1"/>
  <c r="AY34" i="38" s="1"/>
  <c r="AZ34" i="38" s="1"/>
  <c r="AU34" i="38"/>
  <c r="AG34" i="38" a="1"/>
  <c r="AG34" i="38" s="1"/>
  <c r="AL34" i="38" s="1"/>
  <c r="AN34" i="38" a="1"/>
  <c r="AN34" i="38" s="1"/>
  <c r="AS35" i="38" a="1"/>
  <c r="AS35" i="38" s="1"/>
  <c r="AY35" i="38" a="1"/>
  <c r="AY35" i="38" s="1"/>
  <c r="AZ35" i="38" s="1"/>
  <c r="AU35" i="38"/>
  <c r="AV47" i="38" l="1" a="1"/>
  <c r="AV47" i="38" s="1"/>
  <c r="AX47" i="38" s="1"/>
  <c r="BA47" i="38" s="1"/>
  <c r="BF47" i="38" s="1"/>
  <c r="BC43" i="38" a="1"/>
  <c r="BC43" i="38" s="1"/>
  <c r="BJ43" i="38" a="1"/>
  <c r="BJ43" i="38" s="1"/>
  <c r="BG43" i="38" a="1"/>
  <c r="BG43" i="38" s="1"/>
  <c r="BH43" i="38" s="1"/>
  <c r="BI43" i="38" s="1"/>
  <c r="BL43" i="38" a="1"/>
  <c r="BL43" i="38" s="1"/>
  <c r="BN43" i="38" a="1"/>
  <c r="BN43" i="38" s="1"/>
  <c r="BO43" i="38" s="1"/>
  <c r="BE43" i="38" a="1"/>
  <c r="BE43" i="38" s="1"/>
  <c r="BF44" i="38"/>
  <c r="BB44" i="38"/>
  <c r="BM28" i="38"/>
  <c r="AY40" i="38" a="1"/>
  <c r="AY40" i="38" s="1"/>
  <c r="AZ40" i="38" s="1"/>
  <c r="AY32" i="38" a="1"/>
  <c r="AY32" i="38" s="1"/>
  <c r="AZ32" i="38" s="1"/>
  <c r="AY28" i="38" a="1"/>
  <c r="AY28" i="38" s="1"/>
  <c r="AZ28" i="38" s="1"/>
  <c r="BA28" i="38" s="1"/>
  <c r="BF28" i="38" s="1"/>
  <c r="AP40" i="38"/>
  <c r="BD40" i="38" s="1"/>
  <c r="AV40" i="38" a="1"/>
  <c r="AV40" i="38" s="1"/>
  <c r="AX40" i="38" s="1"/>
  <c r="BM40" i="38"/>
  <c r="BM41" i="38"/>
  <c r="AV41" i="38" a="1"/>
  <c r="AV41" i="38" s="1"/>
  <c r="AX41" i="38" s="1"/>
  <c r="BA41" i="38" s="1"/>
  <c r="AV46" i="38" a="1"/>
  <c r="AV46" i="38" s="1"/>
  <c r="AX46" i="38" s="1"/>
  <c r="BA46" i="38" s="1"/>
  <c r="BM46" i="38"/>
  <c r="AP46" i="38"/>
  <c r="AP48" i="38"/>
  <c r="BA48" i="38"/>
  <c r="AP28" i="38"/>
  <c r="AV32" i="38" a="1"/>
  <c r="AV32" i="38" s="1"/>
  <c r="AX32" i="38" s="1"/>
  <c r="BM32" i="38"/>
  <c r="AP32" i="38"/>
  <c r="AP34" i="38"/>
  <c r="AV34" i="38" a="1"/>
  <c r="AV34" i="38" s="1"/>
  <c r="AX34" i="38" s="1"/>
  <c r="BM34" i="38"/>
  <c r="AV35" i="38" a="1"/>
  <c r="AV35" i="38" s="1"/>
  <c r="AX35" i="38" s="1"/>
  <c r="BA35" i="38" s="1"/>
  <c r="BM35" i="38"/>
  <c r="BA32" i="38" l="1"/>
  <c r="BF32" i="38" s="1"/>
  <c r="BK40" i="38"/>
  <c r="BA40" i="38"/>
  <c r="BB40" i="38" s="1"/>
  <c r="BP43" i="38" a="1"/>
  <c r="BP43" i="38" s="1"/>
  <c r="BR43" i="38" s="1"/>
  <c r="BG44" i="38" a="1"/>
  <c r="BG44" i="38" s="1"/>
  <c r="BH44" i="38" s="1"/>
  <c r="BI44" i="38" s="1"/>
  <c r="BC44" i="38" a="1"/>
  <c r="BC44" i="38" s="1"/>
  <c r="BN44" i="38" a="1"/>
  <c r="BN44" i="38" s="1"/>
  <c r="BO44" i="38" s="1"/>
  <c r="BE44" i="38" a="1"/>
  <c r="BE44" i="38" s="1"/>
  <c r="BL44" i="38" a="1"/>
  <c r="BL44" i="38" s="1"/>
  <c r="BJ44" i="38" a="1"/>
  <c r="BJ44" i="38" s="1"/>
  <c r="BF41" i="38"/>
  <c r="BD46" i="38"/>
  <c r="BK46" i="38"/>
  <c r="BB46" i="38"/>
  <c r="BF46" i="38"/>
  <c r="BF48" i="38"/>
  <c r="BD48" i="38"/>
  <c r="BK48" i="38"/>
  <c r="BB48" i="38"/>
  <c r="BD28" i="38"/>
  <c r="BK28" i="38"/>
  <c r="BB28" i="38"/>
  <c r="BD32" i="38"/>
  <c r="BK32" i="38"/>
  <c r="BD34" i="38"/>
  <c r="BK34" i="38"/>
  <c r="BA34" i="38"/>
  <c r="BB34" i="38" s="1"/>
  <c r="BF35" i="38"/>
  <c r="BB32" i="38" l="1"/>
  <c r="BG32" i="38" s="1" a="1"/>
  <c r="BG32" i="38" s="1"/>
  <c r="BH32" i="38" s="1"/>
  <c r="BI32" i="38" s="1"/>
  <c r="BF40" i="38"/>
  <c r="BS43" i="38"/>
  <c r="BT43" i="38" s="1"/>
  <c r="BP44" i="38" a="1"/>
  <c r="BP44" i="38" s="1"/>
  <c r="BR44" i="38" s="1"/>
  <c r="BN40" i="38" a="1"/>
  <c r="BN40" i="38" s="1"/>
  <c r="BO40" i="38" s="1"/>
  <c r="BE40" i="38" a="1"/>
  <c r="BE40" i="38" s="1"/>
  <c r="BL40" i="38" a="1"/>
  <c r="BL40" i="38" s="1"/>
  <c r="BC40" i="38" a="1"/>
  <c r="BC40" i="38" s="1"/>
  <c r="BG40" i="38" a="1"/>
  <c r="BG40" i="38" s="1"/>
  <c r="BH40" i="38" s="1"/>
  <c r="BJ40" i="38" a="1"/>
  <c r="BJ40" i="38" s="1"/>
  <c r="BG46" i="38" a="1"/>
  <c r="BG46" i="38" s="1"/>
  <c r="BH46" i="38" s="1"/>
  <c r="BI46" i="38" s="1"/>
  <c r="BN46" i="38" a="1"/>
  <c r="BN46" i="38" s="1"/>
  <c r="BO46" i="38" s="1"/>
  <c r="BJ46" i="38" a="1"/>
  <c r="BJ46" i="38" s="1"/>
  <c r="BE46" i="38" a="1"/>
  <c r="BE46" i="38" s="1"/>
  <c r="BL46" i="38" a="1"/>
  <c r="BL46" i="38" s="1"/>
  <c r="BC46" i="38" a="1"/>
  <c r="BC46" i="38" s="1"/>
  <c r="BN48" i="38" a="1"/>
  <c r="BN48" i="38" s="1"/>
  <c r="BO48" i="38" s="1"/>
  <c r="BE48" i="38" a="1"/>
  <c r="BE48" i="38" s="1"/>
  <c r="BL48" i="38" a="1"/>
  <c r="BL48" i="38" s="1"/>
  <c r="BC48" i="38" a="1"/>
  <c r="BC48" i="38" s="1"/>
  <c r="BJ48" i="38" a="1"/>
  <c r="BJ48" i="38" s="1"/>
  <c r="BG48" i="38" a="1"/>
  <c r="BG48" i="38" s="1"/>
  <c r="BH48" i="38" s="1"/>
  <c r="BG28" i="38" a="1"/>
  <c r="BG28" i="38" s="1"/>
  <c r="BH28" i="38" s="1"/>
  <c r="BI28" i="38" s="1"/>
  <c r="BN28" i="38" a="1"/>
  <c r="BN28" i="38" s="1"/>
  <c r="BO28" i="38" s="1"/>
  <c r="BE28" i="38" a="1"/>
  <c r="BE28" i="38" s="1"/>
  <c r="BL28" i="38" a="1"/>
  <c r="BL28" i="38" s="1"/>
  <c r="BC28" i="38" a="1"/>
  <c r="BC28" i="38" s="1"/>
  <c r="BJ28" i="38" a="1"/>
  <c r="BJ28" i="38" s="1"/>
  <c r="BL34" i="38" a="1"/>
  <c r="BL34" i="38" s="1"/>
  <c r="BC34" i="38" a="1"/>
  <c r="BC34" i="38" s="1"/>
  <c r="BJ34" i="38" a="1"/>
  <c r="BJ34" i="38" s="1"/>
  <c r="BN34" i="38" a="1"/>
  <c r="BN34" i="38" s="1"/>
  <c r="BO34" i="38" s="1"/>
  <c r="BE34" i="38" a="1"/>
  <c r="BE34" i="38" s="1"/>
  <c r="BG34" i="38" a="1"/>
  <c r="BG34" i="38" s="1"/>
  <c r="BH34" i="38" s="1"/>
  <c r="BF34" i="38"/>
  <c r="BC32" i="38" l="1" a="1"/>
  <c r="BC32" i="38" s="1"/>
  <c r="BL32" i="38" a="1"/>
  <c r="BL32" i="38" s="1"/>
  <c r="BE32" i="38" a="1"/>
  <c r="BE32" i="38" s="1"/>
  <c r="BJ32" i="38" a="1"/>
  <c r="BJ32" i="38" s="1"/>
  <c r="BN32" i="38" a="1"/>
  <c r="BN32" i="38" s="1"/>
  <c r="BO32" i="38" s="1"/>
  <c r="CB43" i="38" a="1"/>
  <c r="CB43" i="38" s="1"/>
  <c r="BU43" i="38"/>
  <c r="CC43" i="38" a="1"/>
  <c r="CC43" i="38" s="1"/>
  <c r="BS44" i="38"/>
  <c r="BT44" i="38" s="1"/>
  <c r="BI40" i="38"/>
  <c r="BP46" i="38" a="1"/>
  <c r="BP46" i="38" s="1"/>
  <c r="BR46" i="38" s="1"/>
  <c r="BI48" i="38"/>
  <c r="BP28" i="38" a="1"/>
  <c r="BP28" i="38" s="1"/>
  <c r="BR28" i="38" s="1"/>
  <c r="BI34" i="38"/>
  <c r="BP34" i="38" s="1" a="1"/>
  <c r="BP34" i="38" s="1"/>
  <c r="BR34" i="38" s="1"/>
  <c r="BP32" i="38" a="1"/>
  <c r="BP32" i="38" s="1"/>
  <c r="BR32" i="38" l="1"/>
  <c r="BS32" i="38" s="1"/>
  <c r="BT32" i="38" s="1"/>
  <c r="EA43" i="38"/>
  <c r="DY43" i="38" a="1"/>
  <c r="DY43" i="38" s="1"/>
  <c r="DW43" i="38"/>
  <c r="CP43" i="38" a="1"/>
  <c r="CP43" i="38" s="1"/>
  <c r="DZ43" i="38" a="1"/>
  <c r="DZ43" i="38" s="1"/>
  <c r="DQ43" i="38"/>
  <c r="DS43" i="38" a="1"/>
  <c r="DS43" i="38" s="1"/>
  <c r="DT43" i="38" a="1"/>
  <c r="DT43" i="38" s="1"/>
  <c r="CN43" i="38" a="1"/>
  <c r="CN43" i="38" s="1"/>
  <c r="DU43" i="38"/>
  <c r="CC44" i="38" a="1"/>
  <c r="CC44" i="38" s="1"/>
  <c r="BU44" i="38"/>
  <c r="CB44" i="38" a="1"/>
  <c r="CB44" i="38" s="1"/>
  <c r="BP40" i="38" a="1"/>
  <c r="BP40" i="38" s="1"/>
  <c r="BR40" i="38" s="1"/>
  <c r="BS46" i="38"/>
  <c r="BT46" i="38" s="1"/>
  <c r="BP48" i="38" a="1"/>
  <c r="BP48" i="38" s="1"/>
  <c r="BR48" i="38" s="1"/>
  <c r="BS28" i="38"/>
  <c r="BT28" i="38" s="1"/>
  <c r="BS34" i="38"/>
  <c r="BT34" i="38" s="1"/>
  <c r="DU44" i="38" l="1"/>
  <c r="DS44" i="38" a="1"/>
  <c r="DS44" i="38" s="1"/>
  <c r="DT44" i="38" a="1"/>
  <c r="DT44" i="38" s="1"/>
  <c r="DQ44" i="38"/>
  <c r="CN44" i="38" a="1"/>
  <c r="CN44" i="38" s="1"/>
  <c r="EA44" i="38"/>
  <c r="CP44" i="38" a="1"/>
  <c r="CP44" i="38" s="1"/>
  <c r="DY44" i="38" a="1"/>
  <c r="DY44" i="38" s="1"/>
  <c r="DZ44" i="38" a="1"/>
  <c r="DZ44" i="38" s="1"/>
  <c r="DW44" i="38"/>
  <c r="BS40" i="38"/>
  <c r="BT40" i="38" s="1"/>
  <c r="CC46" i="38" a="1"/>
  <c r="CC46" i="38" s="1"/>
  <c r="CB46" i="38" a="1"/>
  <c r="CB46" i="38" s="1"/>
  <c r="BU46" i="38"/>
  <c r="BS48" i="38"/>
  <c r="BT48" i="38" s="1"/>
  <c r="CC28" i="38" a="1"/>
  <c r="CC28" i="38" s="1"/>
  <c r="CB28" i="38" a="1"/>
  <c r="CB28" i="38" s="1"/>
  <c r="BU28" i="38"/>
  <c r="CC32" i="38" a="1"/>
  <c r="CC32" i="38" s="1"/>
  <c r="CB32" i="38" a="1"/>
  <c r="CB32" i="38" s="1"/>
  <c r="BU32" i="38"/>
  <c r="BU34" i="38"/>
  <c r="CB34" i="38" a="1"/>
  <c r="CB34" i="38" s="1"/>
  <c r="CC34" i="38" a="1"/>
  <c r="CC34" i="38" s="1"/>
  <c r="CC40" i="38" l="1" a="1"/>
  <c r="CC40" i="38" s="1"/>
  <c r="CB40" i="38" a="1"/>
  <c r="CB40" i="38" s="1"/>
  <c r="BU40" i="38"/>
  <c r="DS46" i="38" a="1"/>
  <c r="DS46" i="38" s="1"/>
  <c r="DU46" i="38"/>
  <c r="DQ46" i="38"/>
  <c r="DT46" i="38" a="1"/>
  <c r="DT46" i="38" s="1"/>
  <c r="CN46" i="38" a="1"/>
  <c r="CN46" i="38" s="1"/>
  <c r="EA46" i="38"/>
  <c r="DZ46" i="38" a="1"/>
  <c r="DZ46" i="38" s="1"/>
  <c r="CP46" i="38" a="1"/>
  <c r="CP46" i="38" s="1"/>
  <c r="DY46" i="38" a="1"/>
  <c r="DY46" i="38" s="1"/>
  <c r="DW46" i="38"/>
  <c r="CC48" i="38" a="1"/>
  <c r="CC48" i="38" s="1"/>
  <c r="CB48" i="38" a="1"/>
  <c r="CB48" i="38" s="1"/>
  <c r="BU48" i="38"/>
  <c r="DS28" i="38" a="1"/>
  <c r="DS28" i="38" s="1"/>
  <c r="DQ28" i="38"/>
  <c r="CN28" i="38" a="1"/>
  <c r="CN28" i="38" s="1"/>
  <c r="DU28" i="38"/>
  <c r="DT28" i="38" a="1"/>
  <c r="DT28" i="38" s="1"/>
  <c r="EA28" i="38"/>
  <c r="CP28" i="38" a="1"/>
  <c r="CP28" i="38" s="1"/>
  <c r="DZ28" i="38" a="1"/>
  <c r="DZ28" i="38" s="1"/>
  <c r="DY28" i="38" a="1"/>
  <c r="DY28" i="38" s="1"/>
  <c r="DW28" i="38"/>
  <c r="DS32" i="38" a="1"/>
  <c r="DS32" i="38" s="1"/>
  <c r="DQ32" i="38"/>
  <c r="CN32" i="38" a="1"/>
  <c r="CN32" i="38" s="1"/>
  <c r="DU32" i="38"/>
  <c r="DT32" i="38" a="1"/>
  <c r="DT32" i="38" s="1"/>
  <c r="DY32" i="38" a="1"/>
  <c r="DY32" i="38" s="1"/>
  <c r="DW32" i="38"/>
  <c r="EA32" i="38"/>
  <c r="CP32" i="38" a="1"/>
  <c r="CP32" i="38" s="1"/>
  <c r="DZ32" i="38" a="1"/>
  <c r="DZ32" i="38" s="1"/>
  <c r="DY34" i="38" a="1"/>
  <c r="DY34" i="38" s="1"/>
  <c r="DW34" i="38"/>
  <c r="DZ34" i="38" a="1"/>
  <c r="DZ34" i="38" s="1"/>
  <c r="EA34" i="38"/>
  <c r="CP34" i="38" a="1"/>
  <c r="CP34" i="38" s="1"/>
  <c r="DU34" i="38"/>
  <c r="DQ34" i="38"/>
  <c r="DT34" i="38" a="1"/>
  <c r="DT34" i="38" s="1"/>
  <c r="DS34" i="38" a="1"/>
  <c r="DS34" i="38" s="1"/>
  <c r="CN34" i="38" a="1"/>
  <c r="CN34" i="38" s="1"/>
  <c r="DS40" i="38" l="1" a="1"/>
  <c r="DS40" i="38" s="1"/>
  <c r="DQ40" i="38"/>
  <c r="CN40" i="38" a="1"/>
  <c r="CN40" i="38" s="1"/>
  <c r="DT40" i="38" a="1"/>
  <c r="DT40" i="38" s="1"/>
  <c r="DU40" i="38"/>
  <c r="CP40" i="38" a="1"/>
  <c r="CP40" i="38" s="1"/>
  <c r="EA40" i="38"/>
  <c r="DZ40" i="38" a="1"/>
  <c r="DZ40" i="38" s="1"/>
  <c r="DY40" i="38" a="1"/>
  <c r="DY40" i="38" s="1"/>
  <c r="DW40" i="38"/>
  <c r="CP48" i="38" a="1"/>
  <c r="CP48" i="38" s="1"/>
  <c r="DZ48" i="38" a="1"/>
  <c r="DZ48" i="38" s="1"/>
  <c r="DY48" i="38" a="1"/>
  <c r="DY48" i="38" s="1"/>
  <c r="DW48" i="38"/>
  <c r="EA48" i="38"/>
  <c r="DQ48" i="38"/>
  <c r="CN48" i="38" a="1"/>
  <c r="CN48" i="38" s="1"/>
  <c r="DU48" i="38"/>
  <c r="DT48" i="38" a="1"/>
  <c r="DT48" i="38" s="1"/>
  <c r="DS48" i="38" a="1"/>
  <c r="DS48" i="38" s="1"/>
  <c r="CJ160" i="38" l="1"/>
  <c r="AT160" i="38" s="1" a="1"/>
  <c r="AT160" i="38" s="1"/>
  <c r="CI160" i="38"/>
  <c r="I160" i="38" s="1" a="1"/>
  <c r="I160" i="38" s="1"/>
  <c r="AK160" i="38"/>
  <c r="AF160" i="38"/>
  <c r="AA160" i="38"/>
  <c r="U160" i="38" a="1"/>
  <c r="U160" i="38" s="1"/>
  <c r="V160" i="38" s="1"/>
  <c r="Q160" i="38" a="1"/>
  <c r="Q160" i="38" s="1"/>
  <c r="P160" i="38" a="1"/>
  <c r="P160" i="38" s="1"/>
  <c r="R160" i="38" s="1"/>
  <c r="J160" i="38"/>
  <c r="I21" i="43"/>
  <c r="U21" i="43"/>
  <c r="AS160" i="38" l="1" a="1"/>
  <c r="AS160" i="38" s="1"/>
  <c r="AM160" i="38" a="1"/>
  <c r="AM160" i="38" s="1"/>
  <c r="AG160" i="38" a="1"/>
  <c r="AG160" i="38" s="1"/>
  <c r="AL160" i="38" s="1"/>
  <c r="AO160" i="38"/>
  <c r="AN160" i="38" a="1"/>
  <c r="AN160" i="38" s="1"/>
  <c r="AU160" i="38"/>
  <c r="AY160" i="38" a="1"/>
  <c r="AY160" i="38" s="1"/>
  <c r="AZ160" i="38" s="1"/>
  <c r="AP160" i="38" l="1"/>
  <c r="BM160" i="38"/>
  <c r="AV160" i="38" a="1"/>
  <c r="AV160" i="38" s="1"/>
  <c r="AX160" i="38" s="1"/>
  <c r="BD160" i="38" l="1"/>
  <c r="BK160" i="38"/>
  <c r="BA160" i="38"/>
  <c r="BF160" i="38" l="1"/>
  <c r="BB160" i="38"/>
  <c r="BE160" i="38" l="1" a="1"/>
  <c r="BE160" i="38" s="1"/>
  <c r="BL160" i="38" a="1"/>
  <c r="BL160" i="38" s="1"/>
  <c r="BC160" i="38" a="1"/>
  <c r="BC160" i="38" s="1"/>
  <c r="BJ160" i="38" a="1"/>
  <c r="BJ160" i="38" s="1"/>
  <c r="BG160" i="38" a="1"/>
  <c r="BG160" i="38" s="1"/>
  <c r="BH160" i="38" s="1"/>
  <c r="BN160" i="38" a="1"/>
  <c r="BN160" i="38" s="1"/>
  <c r="BO160" i="38" s="1"/>
  <c r="BI160" i="38" l="1"/>
  <c r="BP160" i="38" l="1" a="1"/>
  <c r="BP160" i="38" s="1"/>
  <c r="BR160" i="38" s="1"/>
  <c r="BS160" i="38" l="1"/>
  <c r="BT160" i="38" s="1"/>
  <c r="CB160" i="38" l="1" a="1"/>
  <c r="CB160" i="38" s="1"/>
  <c r="BU160" i="38"/>
  <c r="CC160" i="38" a="1"/>
  <c r="CC160" i="38" s="1"/>
  <c r="CN160" i="38" l="1" a="1"/>
  <c r="CN160" i="38" s="1"/>
  <c r="DU160" i="38"/>
  <c r="DT160" i="38" a="1"/>
  <c r="DT160" i="38" s="1"/>
  <c r="DS160" i="38" a="1"/>
  <c r="DS160" i="38" s="1"/>
  <c r="DQ160" i="38"/>
  <c r="DY160" i="38" a="1"/>
  <c r="DY160" i="38" s="1"/>
  <c r="DW160" i="38"/>
  <c r="EA160" i="38"/>
  <c r="CP160" i="38" a="1"/>
  <c r="CP160" i="38" s="1"/>
  <c r="DZ160" i="38" a="1"/>
  <c r="DZ160" i="38" s="1"/>
  <c r="F161" i="38" l="1"/>
  <c r="U7" i="44"/>
  <c r="V7" i="44"/>
  <c r="W7" i="44"/>
  <c r="AI7" i="44"/>
  <c r="AK7" i="44"/>
  <c r="CJ39" i="38" l="1"/>
  <c r="AT39" i="38" s="1" a="1"/>
  <c r="AT39" i="38" s="1"/>
  <c r="CI39" i="38"/>
  <c r="AM39" i="38" s="1" a="1"/>
  <c r="AM39" i="38" s="1"/>
  <c r="AK39" i="38"/>
  <c r="AF39" i="38"/>
  <c r="AA39" i="38"/>
  <c r="U39" i="38" a="1"/>
  <c r="U39" i="38" s="1"/>
  <c r="V39" i="38" s="1"/>
  <c r="Q39" i="38" a="1"/>
  <c r="Q39" i="38" s="1"/>
  <c r="P39" i="38" a="1"/>
  <c r="P39" i="38" s="1"/>
  <c r="R39" i="38" s="1"/>
  <c r="J39" i="38"/>
  <c r="CJ36" i="38"/>
  <c r="AT36" i="38" s="1" a="1"/>
  <c r="AT36" i="38" s="1"/>
  <c r="CI36" i="38"/>
  <c r="I36" i="38" s="1" a="1"/>
  <c r="I36" i="38" s="1"/>
  <c r="AK36" i="38"/>
  <c r="AF36" i="38"/>
  <c r="AA36" i="38"/>
  <c r="U36" i="38" a="1"/>
  <c r="U36" i="38" s="1"/>
  <c r="V36" i="38" s="1"/>
  <c r="Q36" i="38" a="1"/>
  <c r="Q36" i="38" s="1"/>
  <c r="P36" i="38" a="1"/>
  <c r="P36" i="38" s="1"/>
  <c r="R36" i="38" s="1"/>
  <c r="J36" i="38"/>
  <c r="CJ108" i="38"/>
  <c r="AT108" i="38" s="1" a="1"/>
  <c r="AT108" i="38" s="1"/>
  <c r="CI108" i="38"/>
  <c r="AK108" i="38"/>
  <c r="AF108" i="38"/>
  <c r="AA108" i="38"/>
  <c r="I20" i="43"/>
  <c r="U20" i="43"/>
  <c r="AR175" i="38"/>
  <c r="AR164" i="38"/>
  <c r="AR159" i="38"/>
  <c r="AR148" i="38"/>
  <c r="AR137" i="38"/>
  <c r="AR88" i="38"/>
  <c r="CE12" i="38" a="1"/>
  <c r="CE12" i="38" s="1"/>
  <c r="J13" i="38"/>
  <c r="P13" i="38" a="1"/>
  <c r="P13" i="38" s="1"/>
  <c r="R13" i="38" s="1"/>
  <c r="Q13" i="38" a="1"/>
  <c r="Q13" i="38" s="1"/>
  <c r="U13" i="38" a="1"/>
  <c r="U13" i="38" s="1"/>
  <c r="V13" i="38" s="1"/>
  <c r="AA13" i="38"/>
  <c r="AF13" i="38"/>
  <c r="AK13" i="38"/>
  <c r="CI13" i="38"/>
  <c r="I13" i="38" s="1" a="1"/>
  <c r="I13" i="38" s="1"/>
  <c r="J14" i="38"/>
  <c r="P14" i="38" a="1"/>
  <c r="P14" i="38" s="1"/>
  <c r="R14" i="38" s="1"/>
  <c r="Q14" i="38" a="1"/>
  <c r="Q14" i="38" s="1"/>
  <c r="U14" i="38" a="1"/>
  <c r="U14" i="38" s="1"/>
  <c r="V14" i="38" s="1"/>
  <c r="AA14" i="38"/>
  <c r="AF14" i="38"/>
  <c r="AK14" i="38"/>
  <c r="CI14" i="38"/>
  <c r="CJ14" i="38"/>
  <c r="AS14" i="38" s="1" a="1"/>
  <c r="AS14" i="38" s="1"/>
  <c r="CE15" i="38" a="1"/>
  <c r="CE15" i="38" s="1"/>
  <c r="J16" i="38"/>
  <c r="P16" i="38" a="1"/>
  <c r="P16" i="38" s="1"/>
  <c r="R16" i="38" s="1"/>
  <c r="Q16" i="38" a="1"/>
  <c r="Q16" i="38" s="1"/>
  <c r="U16" i="38" a="1"/>
  <c r="U16" i="38" s="1"/>
  <c r="V16" i="38" s="1"/>
  <c r="AA16" i="38"/>
  <c r="AF16" i="38"/>
  <c r="AK16" i="38"/>
  <c r="CI16" i="38"/>
  <c r="I16" i="38" s="1" a="1"/>
  <c r="I16" i="38" s="1"/>
  <c r="J17" i="38"/>
  <c r="P17" i="38" a="1"/>
  <c r="P17" i="38" s="1"/>
  <c r="R17" i="38" s="1"/>
  <c r="Q17" i="38" a="1"/>
  <c r="Q17" i="38" s="1"/>
  <c r="U17" i="38" a="1"/>
  <c r="U17" i="38" s="1"/>
  <c r="V17" i="38" s="1"/>
  <c r="AA17" i="38"/>
  <c r="AF17" i="38"/>
  <c r="AK17" i="38"/>
  <c r="CI17" i="38"/>
  <c r="AM17" i="38" s="1" a="1"/>
  <c r="AM17" i="38" s="1"/>
  <c r="J18" i="38"/>
  <c r="P18" i="38" a="1"/>
  <c r="P18" i="38" s="1"/>
  <c r="R18" i="38" s="1"/>
  <c r="Q18" i="38" a="1"/>
  <c r="Q18" i="38" s="1"/>
  <c r="U18" i="38" a="1"/>
  <c r="U18" i="38" s="1"/>
  <c r="V18" i="38" s="1"/>
  <c r="AA18" i="38"/>
  <c r="AF18" i="38"/>
  <c r="AK18" i="38"/>
  <c r="CI18" i="38"/>
  <c r="AM18" i="38" s="1" a="1"/>
  <c r="AM18" i="38" s="1"/>
  <c r="J19" i="38"/>
  <c r="P19" i="38" a="1"/>
  <c r="P19" i="38" s="1"/>
  <c r="R19" i="38" s="1"/>
  <c r="Q19" i="38" a="1"/>
  <c r="Q19" i="38" s="1"/>
  <c r="U19" i="38" a="1"/>
  <c r="U19" i="38" s="1"/>
  <c r="V19" i="38" s="1"/>
  <c r="AA19" i="38"/>
  <c r="AF19" i="38"/>
  <c r="AK19" i="38"/>
  <c r="CI19" i="38"/>
  <c r="I19" i="38" s="1" a="1"/>
  <c r="I19" i="38" s="1"/>
  <c r="CJ19" i="38"/>
  <c r="AT19" i="38" s="1" a="1"/>
  <c r="AT19" i="38" s="1"/>
  <c r="AY19" i="38" s="1" a="1"/>
  <c r="AY19" i="38" s="1"/>
  <c r="AZ19" i="38" s="1"/>
  <c r="AA20" i="38"/>
  <c r="AF20" i="38"/>
  <c r="AK20" i="38"/>
  <c r="CI20" i="38"/>
  <c r="CJ20" i="38"/>
  <c r="AT20" i="38" s="1" a="1"/>
  <c r="AT20" i="38" s="1"/>
  <c r="J24" i="38"/>
  <c r="P24" i="38" a="1"/>
  <c r="P24" i="38" s="1"/>
  <c r="R24" i="38" s="1"/>
  <c r="Q24" i="38" a="1"/>
  <c r="Q24" i="38" s="1"/>
  <c r="U24" i="38" a="1"/>
  <c r="U24" i="38" s="1"/>
  <c r="V24" i="38" s="1"/>
  <c r="AA24" i="38"/>
  <c r="AF24" i="38"/>
  <c r="AK24" i="38"/>
  <c r="CI24" i="38"/>
  <c r="I24" i="38" s="1" a="1"/>
  <c r="I24" i="38" s="1"/>
  <c r="CJ24" i="38"/>
  <c r="AS24" i="38" s="1" a="1"/>
  <c r="AS24" i="38" s="1"/>
  <c r="CE25" i="38" a="1"/>
  <c r="CE25" i="38" s="1"/>
  <c r="J26" i="38"/>
  <c r="P26" i="38" a="1"/>
  <c r="P26" i="38" s="1"/>
  <c r="R26" i="38" s="1"/>
  <c r="Q26" i="38" a="1"/>
  <c r="Q26" i="38" s="1"/>
  <c r="U26" i="38" a="1"/>
  <c r="U26" i="38" s="1"/>
  <c r="V26" i="38" s="1"/>
  <c r="AA26" i="38"/>
  <c r="AF26" i="38"/>
  <c r="AK26" i="38"/>
  <c r="CI26" i="38"/>
  <c r="AM26" i="38" s="1" a="1"/>
  <c r="AM26" i="38" s="1"/>
  <c r="J27" i="38"/>
  <c r="P27" i="38" a="1"/>
  <c r="P27" i="38" s="1"/>
  <c r="R27" i="38" s="1"/>
  <c r="Q27" i="38" a="1"/>
  <c r="Q27" i="38" s="1"/>
  <c r="U27" i="38" a="1"/>
  <c r="U27" i="38" s="1"/>
  <c r="V27" i="38" s="1"/>
  <c r="AA27" i="38"/>
  <c r="AF27" i="38"/>
  <c r="AK27" i="38"/>
  <c r="CI27" i="38"/>
  <c r="I27" i="38" s="1" a="1"/>
  <c r="I27" i="38" s="1"/>
  <c r="CJ27" i="38"/>
  <c r="AS27" i="38" s="1" a="1"/>
  <c r="AS27" i="38" s="1"/>
  <c r="CE37" i="38" a="1"/>
  <c r="CE37" i="38" s="1"/>
  <c r="J38" i="38"/>
  <c r="P38" i="38" a="1"/>
  <c r="P38" i="38" s="1"/>
  <c r="R38" i="38" s="1"/>
  <c r="Q38" i="38" a="1"/>
  <c r="Q38" i="38" s="1"/>
  <c r="U38" i="38" a="1"/>
  <c r="U38" i="38" s="1"/>
  <c r="V38" i="38" s="1"/>
  <c r="AA38" i="38"/>
  <c r="AF38" i="38"/>
  <c r="AK38" i="38"/>
  <c r="CI38" i="38"/>
  <c r="I38" i="38" s="1" a="1"/>
  <c r="I38" i="38" s="1"/>
  <c r="CE49" i="38" a="1"/>
  <c r="CE49" i="38" s="1"/>
  <c r="J50" i="38"/>
  <c r="P50" i="38" a="1"/>
  <c r="P50" i="38" s="1"/>
  <c r="R50" i="38" s="1"/>
  <c r="Q50" i="38" a="1"/>
  <c r="Q50" i="38" s="1"/>
  <c r="U50" i="38" a="1"/>
  <c r="U50" i="38" s="1"/>
  <c r="V50" i="38" s="1"/>
  <c r="AA50" i="38"/>
  <c r="AF50" i="38"/>
  <c r="AK50" i="38"/>
  <c r="CI50" i="38"/>
  <c r="J51" i="38"/>
  <c r="P51" i="38" a="1"/>
  <c r="P51" i="38" s="1"/>
  <c r="R51" i="38" s="1"/>
  <c r="Q51" i="38" a="1"/>
  <c r="Q51" i="38" s="1"/>
  <c r="U51" i="38" a="1"/>
  <c r="U51" i="38" s="1"/>
  <c r="V51" i="38" s="1"/>
  <c r="AA51" i="38"/>
  <c r="AF51" i="38"/>
  <c r="AK51" i="38"/>
  <c r="CI51" i="38"/>
  <c r="J52" i="38"/>
  <c r="P52" i="38" a="1"/>
  <c r="P52" i="38" s="1"/>
  <c r="R52" i="38" s="1"/>
  <c r="Q52" i="38" a="1"/>
  <c r="Q52" i="38" s="1"/>
  <c r="U52" i="38" a="1"/>
  <c r="U52" i="38" s="1"/>
  <c r="V52" i="38" s="1"/>
  <c r="AA52" i="38"/>
  <c r="AF52" i="38"/>
  <c r="AK52" i="38"/>
  <c r="CI52" i="38"/>
  <c r="AM52" i="38" s="1" a="1"/>
  <c r="AM52" i="38" s="1"/>
  <c r="J53" i="38"/>
  <c r="P53" i="38" a="1"/>
  <c r="P53" i="38" s="1"/>
  <c r="R53" i="38" s="1"/>
  <c r="Q53" i="38" a="1"/>
  <c r="Q53" i="38" s="1"/>
  <c r="U53" i="38" a="1"/>
  <c r="U53" i="38" s="1"/>
  <c r="V53" i="38" s="1"/>
  <c r="AA53" i="38"/>
  <c r="AF53" i="38"/>
  <c r="AK53" i="38"/>
  <c r="CI53" i="38"/>
  <c r="AM53" i="38" s="1" a="1"/>
  <c r="AM53" i="38" s="1"/>
  <c r="J54" i="38"/>
  <c r="P54" i="38" a="1"/>
  <c r="P54" i="38" s="1"/>
  <c r="R54" i="38" s="1"/>
  <c r="Q54" i="38" a="1"/>
  <c r="Q54" i="38" s="1"/>
  <c r="U54" i="38" a="1"/>
  <c r="U54" i="38" s="1"/>
  <c r="V54" i="38" s="1"/>
  <c r="AA54" i="38"/>
  <c r="AF54" i="38"/>
  <c r="AK54" i="38"/>
  <c r="CI54" i="38"/>
  <c r="AM54" i="38" s="1" a="1"/>
  <c r="AM54" i="38" s="1"/>
  <c r="J55" i="38"/>
  <c r="P55" i="38" a="1"/>
  <c r="P55" i="38" s="1"/>
  <c r="R55" i="38" s="1"/>
  <c r="Q55" i="38" a="1"/>
  <c r="Q55" i="38" s="1"/>
  <c r="U55" i="38" a="1"/>
  <c r="U55" i="38" s="1"/>
  <c r="V55" i="38" s="1"/>
  <c r="AA55" i="38"/>
  <c r="AF55" i="38"/>
  <c r="AK55" i="38"/>
  <c r="CI55" i="38"/>
  <c r="AM55" i="38" s="1" a="1"/>
  <c r="AM55" i="38" s="1"/>
  <c r="J56" i="38"/>
  <c r="P56" i="38" a="1"/>
  <c r="P56" i="38" s="1"/>
  <c r="R56" i="38" s="1"/>
  <c r="Q56" i="38" a="1"/>
  <c r="Q56" i="38" s="1"/>
  <c r="U56" i="38" a="1"/>
  <c r="U56" i="38" s="1"/>
  <c r="V56" i="38" s="1"/>
  <c r="AA56" i="38"/>
  <c r="AF56" i="38"/>
  <c r="AK56" i="38"/>
  <c r="CI56" i="38"/>
  <c r="AM56" i="38" s="1" a="1"/>
  <c r="AM56" i="38" s="1"/>
  <c r="J57" i="38"/>
  <c r="P57" i="38" a="1"/>
  <c r="P57" i="38" s="1"/>
  <c r="R57" i="38" s="1"/>
  <c r="Q57" i="38" a="1"/>
  <c r="Q57" i="38" s="1"/>
  <c r="U57" i="38" a="1"/>
  <c r="U57" i="38" s="1"/>
  <c r="V57" i="38" s="1"/>
  <c r="AA57" i="38"/>
  <c r="AF57" i="38"/>
  <c r="AK57" i="38"/>
  <c r="CI57" i="38"/>
  <c r="AM57" i="38" s="1" a="1"/>
  <c r="AM57" i="38" s="1"/>
  <c r="J58" i="38"/>
  <c r="P58" i="38" a="1"/>
  <c r="P58" i="38" s="1"/>
  <c r="R58" i="38" s="1"/>
  <c r="Q58" i="38" a="1"/>
  <c r="Q58" i="38" s="1"/>
  <c r="U58" i="38" a="1"/>
  <c r="U58" i="38" s="1"/>
  <c r="V58" i="38" s="1"/>
  <c r="AA58" i="38"/>
  <c r="AF58" i="38"/>
  <c r="AK58" i="38"/>
  <c r="CI58" i="38"/>
  <c r="AM58" i="38" s="1" a="1"/>
  <c r="AM58" i="38" s="1"/>
  <c r="J59" i="38"/>
  <c r="P59" i="38" a="1"/>
  <c r="P59" i="38" s="1"/>
  <c r="R59" i="38" s="1"/>
  <c r="Q59" i="38" a="1"/>
  <c r="Q59" i="38" s="1"/>
  <c r="U59" i="38" a="1"/>
  <c r="U59" i="38" s="1"/>
  <c r="V59" i="38" s="1"/>
  <c r="AA59" i="38"/>
  <c r="AF59" i="38"/>
  <c r="AK59" i="38"/>
  <c r="CI59" i="38"/>
  <c r="I59" i="38" s="1" a="1"/>
  <c r="I59" i="38" s="1"/>
  <c r="J60" i="38"/>
  <c r="P60" i="38" a="1"/>
  <c r="P60" i="38" s="1"/>
  <c r="R60" i="38" s="1"/>
  <c r="Q60" i="38" a="1"/>
  <c r="Q60" i="38" s="1"/>
  <c r="U60" i="38" a="1"/>
  <c r="U60" i="38" s="1"/>
  <c r="V60" i="38" s="1"/>
  <c r="AA60" i="38"/>
  <c r="AF60" i="38"/>
  <c r="AK60" i="38"/>
  <c r="CI60" i="38"/>
  <c r="J61" i="38"/>
  <c r="P61" i="38" a="1"/>
  <c r="P61" i="38" s="1"/>
  <c r="R61" i="38" s="1"/>
  <c r="Q61" i="38" a="1"/>
  <c r="Q61" i="38" s="1"/>
  <c r="U61" i="38" a="1"/>
  <c r="U61" i="38" s="1"/>
  <c r="V61" i="38" s="1"/>
  <c r="AA61" i="38"/>
  <c r="AF61" i="38"/>
  <c r="AK61" i="38"/>
  <c r="CI61" i="38"/>
  <c r="J62" i="38"/>
  <c r="P62" i="38" a="1"/>
  <c r="P62" i="38" s="1"/>
  <c r="R62" i="38" s="1"/>
  <c r="Q62" i="38" a="1"/>
  <c r="Q62" i="38" s="1"/>
  <c r="U62" i="38" a="1"/>
  <c r="U62" i="38" s="1"/>
  <c r="V62" i="38" s="1"/>
  <c r="AA62" i="38"/>
  <c r="AF62" i="38"/>
  <c r="AK62" i="38"/>
  <c r="CI62" i="38"/>
  <c r="AM62" i="38" s="1" a="1"/>
  <c r="AM62" i="38" s="1"/>
  <c r="J63" i="38"/>
  <c r="P63" i="38" a="1"/>
  <c r="P63" i="38" s="1"/>
  <c r="R63" i="38" s="1"/>
  <c r="Q63" i="38" a="1"/>
  <c r="Q63" i="38" s="1"/>
  <c r="U63" i="38" a="1"/>
  <c r="U63" i="38" s="1"/>
  <c r="V63" i="38" s="1"/>
  <c r="AA63" i="38"/>
  <c r="AF63" i="38"/>
  <c r="AK63" i="38"/>
  <c r="CI63" i="38"/>
  <c r="AM63" i="38" s="1" a="1"/>
  <c r="AM63" i="38" s="1"/>
  <c r="J64" i="38"/>
  <c r="P64" i="38" a="1"/>
  <c r="P64" i="38" s="1"/>
  <c r="R64" i="38" s="1"/>
  <c r="Q64" i="38" a="1"/>
  <c r="Q64" i="38" s="1"/>
  <c r="U64" i="38" a="1"/>
  <c r="U64" i="38" s="1"/>
  <c r="V64" i="38" s="1"/>
  <c r="AA64" i="38"/>
  <c r="AF64" i="38"/>
  <c r="AK64" i="38"/>
  <c r="CI64" i="38"/>
  <c r="I64" i="38" s="1" a="1"/>
  <c r="I64" i="38" s="1"/>
  <c r="J65" i="38"/>
  <c r="P65" i="38" a="1"/>
  <c r="P65" i="38" s="1"/>
  <c r="R65" i="38" s="1"/>
  <c r="Q65" i="38" a="1"/>
  <c r="Q65" i="38" s="1"/>
  <c r="U65" i="38" a="1"/>
  <c r="U65" i="38" s="1"/>
  <c r="V65" i="38" s="1"/>
  <c r="AA65" i="38"/>
  <c r="AF65" i="38"/>
  <c r="AK65" i="38"/>
  <c r="CI65" i="38"/>
  <c r="AM65" i="38" s="1" a="1"/>
  <c r="AM65" i="38" s="1"/>
  <c r="CJ65" i="38"/>
  <c r="AS65" i="38" s="1" a="1"/>
  <c r="AS65" i="38" s="1"/>
  <c r="AA66" i="38"/>
  <c r="AF66" i="38"/>
  <c r="AK66" i="38"/>
  <c r="CI66" i="38"/>
  <c r="CJ66" i="38"/>
  <c r="AT66" i="38" s="1" a="1"/>
  <c r="AT66" i="38" s="1"/>
  <c r="AY66" i="38" s="1" a="1"/>
  <c r="AY66" i="38" s="1"/>
  <c r="AZ66" i="38" s="1"/>
  <c r="J67" i="38"/>
  <c r="P67" i="38" a="1"/>
  <c r="P67" i="38" s="1"/>
  <c r="R67" i="38" s="1"/>
  <c r="Q67" i="38" a="1"/>
  <c r="Q67" i="38" s="1"/>
  <c r="U67" i="38" a="1"/>
  <c r="U67" i="38" s="1"/>
  <c r="V67" i="38" s="1"/>
  <c r="AA67" i="38"/>
  <c r="AF67" i="38"/>
  <c r="AK67" i="38"/>
  <c r="CI67" i="38"/>
  <c r="I67" i="38" s="1" a="1"/>
  <c r="I67" i="38" s="1"/>
  <c r="CJ67" i="38"/>
  <c r="AS67" i="38" s="1" a="1"/>
  <c r="AS67" i="38" s="1"/>
  <c r="CE80" i="38" a="1"/>
  <c r="CE80" i="38" s="1"/>
  <c r="J81" i="38"/>
  <c r="P81" i="38" a="1"/>
  <c r="P81" i="38" s="1"/>
  <c r="R81" i="38" s="1"/>
  <c r="Q81" i="38" a="1"/>
  <c r="Q81" i="38" s="1"/>
  <c r="U81" i="38" a="1"/>
  <c r="U81" i="38" s="1"/>
  <c r="V81" i="38" s="1"/>
  <c r="AA81" i="38"/>
  <c r="AF81" i="38"/>
  <c r="AK81" i="38"/>
  <c r="CI81" i="38"/>
  <c r="AM81" i="38" s="1" a="1"/>
  <c r="AM81" i="38" s="1"/>
  <c r="J82" i="38"/>
  <c r="P82" i="38" a="1"/>
  <c r="P82" i="38" s="1"/>
  <c r="R82" i="38" s="1"/>
  <c r="Q82" i="38" a="1"/>
  <c r="Q82" i="38" s="1"/>
  <c r="U82" i="38" a="1"/>
  <c r="U82" i="38" s="1"/>
  <c r="V82" i="38" s="1"/>
  <c r="AA82" i="38"/>
  <c r="AF82" i="38"/>
  <c r="AK82" i="38"/>
  <c r="CI82" i="38"/>
  <c r="I82" i="38" s="1" a="1"/>
  <c r="I82" i="38" s="1"/>
  <c r="CJ82" i="38"/>
  <c r="AS82" i="38" s="1" a="1"/>
  <c r="AS82" i="38" s="1"/>
  <c r="J85" i="38"/>
  <c r="P85" i="38" a="1"/>
  <c r="P85" i="38" s="1"/>
  <c r="R85" i="38" s="1"/>
  <c r="Q85" i="38" a="1"/>
  <c r="Q85" i="38" s="1"/>
  <c r="U85" i="38" a="1"/>
  <c r="U85" i="38" s="1"/>
  <c r="V85" i="38" s="1"/>
  <c r="AA85" i="38"/>
  <c r="AF85" i="38"/>
  <c r="AK85" i="38"/>
  <c r="CI85" i="38"/>
  <c r="I85" i="38" s="1" a="1"/>
  <c r="I85" i="38" s="1"/>
  <c r="CJ85" i="38"/>
  <c r="AS85" i="38" s="1" a="1"/>
  <c r="AS85" i="38" s="1"/>
  <c r="J86" i="38"/>
  <c r="P86" i="38" a="1"/>
  <c r="P86" i="38" s="1"/>
  <c r="R86" i="38" s="1"/>
  <c r="Q86" i="38" a="1"/>
  <c r="Q86" i="38" s="1"/>
  <c r="U86" i="38" a="1"/>
  <c r="U86" i="38" s="1"/>
  <c r="V86" i="38" s="1"/>
  <c r="AA86" i="38"/>
  <c r="AF86" i="38"/>
  <c r="AK86" i="38"/>
  <c r="CI86" i="38"/>
  <c r="AM86" i="38" s="1" a="1"/>
  <c r="AM86" i="38" s="1"/>
  <c r="CJ86" i="38"/>
  <c r="AS86" i="38" s="1" a="1"/>
  <c r="AS86" i="38" s="1"/>
  <c r="CE87" i="38" a="1"/>
  <c r="CE87" i="38" s="1"/>
  <c r="J88" i="38"/>
  <c r="P88" i="38" a="1"/>
  <c r="P88" i="38" s="1"/>
  <c r="R88" i="38" s="1"/>
  <c r="Q88" i="38" a="1"/>
  <c r="Q88" i="38" s="1"/>
  <c r="U88" i="38" a="1"/>
  <c r="U88" i="38" s="1"/>
  <c r="V88" i="38" s="1"/>
  <c r="AA88" i="38"/>
  <c r="AF88" i="38"/>
  <c r="AK88" i="38"/>
  <c r="CI88" i="38"/>
  <c r="J89" i="38"/>
  <c r="P89" i="38" a="1"/>
  <c r="P89" i="38" s="1"/>
  <c r="R89" i="38" s="1"/>
  <c r="Q89" i="38" a="1"/>
  <c r="Q89" i="38" s="1"/>
  <c r="U89" i="38" a="1"/>
  <c r="U89" i="38" s="1"/>
  <c r="V89" i="38" s="1"/>
  <c r="AA89" i="38"/>
  <c r="AF89" i="38"/>
  <c r="AK89" i="38"/>
  <c r="CI89" i="38"/>
  <c r="AM89" i="38" s="1" a="1"/>
  <c r="AM89" i="38" s="1"/>
  <c r="CJ89" i="38"/>
  <c r="AT89" i="38" s="1" a="1"/>
  <c r="AT89" i="38" s="1"/>
  <c r="AA90" i="38"/>
  <c r="AF90" i="38"/>
  <c r="AK90" i="38"/>
  <c r="CI90" i="38"/>
  <c r="CJ90" i="38"/>
  <c r="J91" i="38"/>
  <c r="P91" i="38" a="1"/>
  <c r="P91" i="38" s="1"/>
  <c r="R91" i="38" s="1"/>
  <c r="Q91" i="38" a="1"/>
  <c r="Q91" i="38" s="1"/>
  <c r="U91" i="38" a="1"/>
  <c r="U91" i="38" s="1"/>
  <c r="V91" i="38" s="1"/>
  <c r="AA91" i="38"/>
  <c r="AF91" i="38"/>
  <c r="AK91" i="38"/>
  <c r="CI91" i="38"/>
  <c r="AM91" i="38" s="1" a="1"/>
  <c r="AM91" i="38" s="1"/>
  <c r="CJ91" i="38"/>
  <c r="CE92" i="38" a="1"/>
  <c r="CE92" i="38" s="1"/>
  <c r="J93" i="38"/>
  <c r="P93" i="38" a="1"/>
  <c r="P93" i="38" s="1"/>
  <c r="R93" i="38" s="1"/>
  <c r="Q93" i="38" a="1"/>
  <c r="Q93" i="38" s="1"/>
  <c r="U93" i="38" a="1"/>
  <c r="U93" i="38" s="1"/>
  <c r="V93" i="38" s="1"/>
  <c r="AA93" i="38"/>
  <c r="AF93" i="38"/>
  <c r="AK93" i="38"/>
  <c r="CI93" i="38"/>
  <c r="AM93" i="38" s="1" a="1"/>
  <c r="AM93" i="38" s="1"/>
  <c r="CJ93" i="38"/>
  <c r="J94" i="38"/>
  <c r="P94" i="38" a="1"/>
  <c r="P94" i="38" s="1"/>
  <c r="R94" i="38" s="1"/>
  <c r="Q94" i="38" a="1"/>
  <c r="Q94" i="38" s="1"/>
  <c r="U94" i="38" a="1"/>
  <c r="U94" i="38" s="1"/>
  <c r="V94" i="38" s="1"/>
  <c r="AA94" i="38"/>
  <c r="AF94" i="38"/>
  <c r="AK94" i="38"/>
  <c r="CI94" i="38"/>
  <c r="I94" i="38" s="1" a="1"/>
  <c r="I94" i="38" s="1"/>
  <c r="CJ94" i="38"/>
  <c r="J96" i="38"/>
  <c r="P96" i="38" a="1"/>
  <c r="P96" i="38" s="1"/>
  <c r="R96" i="38" s="1"/>
  <c r="Q96" i="38" a="1"/>
  <c r="Q96" i="38" s="1"/>
  <c r="U96" i="38" a="1"/>
  <c r="U96" i="38" s="1"/>
  <c r="V96" i="38" s="1"/>
  <c r="AA96" i="38"/>
  <c r="AF96" i="38"/>
  <c r="AK96" i="38"/>
  <c r="CI96" i="38"/>
  <c r="CJ96" i="38"/>
  <c r="AT96" i="38" s="1" a="1"/>
  <c r="AT96" i="38" s="1"/>
  <c r="J97" i="38"/>
  <c r="P97" i="38" a="1"/>
  <c r="P97" i="38" s="1"/>
  <c r="R97" i="38" s="1"/>
  <c r="Q97" i="38" a="1"/>
  <c r="Q97" i="38" s="1"/>
  <c r="U97" i="38" a="1"/>
  <c r="U97" i="38" s="1"/>
  <c r="V97" i="38" s="1"/>
  <c r="AA97" i="38"/>
  <c r="AF97" i="38"/>
  <c r="AK97" i="38"/>
  <c r="CI97" i="38"/>
  <c r="AM97" i="38" s="1" a="1"/>
  <c r="AM97" i="38" s="1"/>
  <c r="CJ97" i="38"/>
  <c r="CE98" i="38" a="1"/>
  <c r="CE98" i="38" s="1"/>
  <c r="J99" i="38"/>
  <c r="P99" i="38" a="1"/>
  <c r="P99" i="38" s="1"/>
  <c r="R99" i="38" s="1"/>
  <c r="Q99" i="38" a="1"/>
  <c r="Q99" i="38" s="1"/>
  <c r="U99" i="38" a="1"/>
  <c r="U99" i="38" s="1"/>
  <c r="V99" i="38" s="1"/>
  <c r="AA99" i="38"/>
  <c r="AF99" i="38"/>
  <c r="AK99" i="38"/>
  <c r="CI99" i="38"/>
  <c r="J100" i="38"/>
  <c r="P100" i="38" a="1"/>
  <c r="P100" i="38" s="1"/>
  <c r="R100" i="38" s="1"/>
  <c r="Q100" i="38" a="1"/>
  <c r="Q100" i="38" s="1"/>
  <c r="U100" i="38" a="1"/>
  <c r="U100" i="38" s="1"/>
  <c r="V100" i="38" s="1"/>
  <c r="AA100" i="38"/>
  <c r="AF100" i="38"/>
  <c r="AK100" i="38"/>
  <c r="CI100" i="38"/>
  <c r="I100" i="38" s="1" a="1"/>
  <c r="I100" i="38" s="1"/>
  <c r="CJ100" i="38"/>
  <c r="AS100" i="38" s="1" a="1"/>
  <c r="AS100" i="38" s="1"/>
  <c r="CE112" i="38" a="1"/>
  <c r="CE112" i="38" s="1"/>
  <c r="J113" i="38"/>
  <c r="P113" i="38" a="1"/>
  <c r="P113" i="38" s="1"/>
  <c r="R113" i="38" s="1"/>
  <c r="Q113" i="38" a="1"/>
  <c r="Q113" i="38" s="1"/>
  <c r="U113" i="38" a="1"/>
  <c r="U113" i="38" s="1"/>
  <c r="V113" i="38" s="1"/>
  <c r="AA113" i="38"/>
  <c r="AF113" i="38"/>
  <c r="AK113" i="38"/>
  <c r="CI113" i="38"/>
  <c r="J114" i="38"/>
  <c r="P114" i="38" a="1"/>
  <c r="P114" i="38" s="1"/>
  <c r="R114" i="38" s="1"/>
  <c r="Q114" i="38" a="1"/>
  <c r="Q114" i="38" s="1"/>
  <c r="U114" i="38" a="1"/>
  <c r="U114" i="38" s="1"/>
  <c r="V114" i="38" s="1"/>
  <c r="AA114" i="38"/>
  <c r="AF114" i="38"/>
  <c r="AK114" i="38"/>
  <c r="CI114" i="38"/>
  <c r="CJ114" i="38"/>
  <c r="AS114" i="38" s="1" a="1"/>
  <c r="AS114" i="38" s="1"/>
  <c r="J117" i="38"/>
  <c r="P117" i="38" a="1"/>
  <c r="P117" i="38" s="1"/>
  <c r="R117" i="38" s="1"/>
  <c r="Q117" i="38" a="1"/>
  <c r="Q117" i="38" s="1"/>
  <c r="U117" i="38" a="1"/>
  <c r="U117" i="38" s="1"/>
  <c r="V117" i="38" s="1"/>
  <c r="AA117" i="38"/>
  <c r="AF117" i="38"/>
  <c r="AK117" i="38"/>
  <c r="CI117" i="38"/>
  <c r="CJ117" i="38"/>
  <c r="AS117" i="38" s="1" a="1"/>
  <c r="AS117" i="38" s="1"/>
  <c r="CE118" i="38" a="1"/>
  <c r="CE118" i="38" s="1"/>
  <c r="J119" i="38"/>
  <c r="P119" i="38" a="1"/>
  <c r="P119" i="38" s="1"/>
  <c r="R119" i="38" s="1"/>
  <c r="Q119" i="38" a="1"/>
  <c r="Q119" i="38" s="1"/>
  <c r="U119" i="38" a="1"/>
  <c r="U119" i="38" s="1"/>
  <c r="V119" i="38" s="1"/>
  <c r="AA119" i="38"/>
  <c r="AF119" i="38"/>
  <c r="AK119" i="38"/>
  <c r="CI119" i="38"/>
  <c r="J120" i="38"/>
  <c r="P120" i="38" a="1"/>
  <c r="P120" i="38" s="1"/>
  <c r="R120" i="38" s="1"/>
  <c r="Q120" i="38" a="1"/>
  <c r="Q120" i="38" s="1"/>
  <c r="U120" i="38" a="1"/>
  <c r="U120" i="38" s="1"/>
  <c r="V120" i="38" s="1"/>
  <c r="AA120" i="38"/>
  <c r="AF120" i="38"/>
  <c r="AK120" i="38"/>
  <c r="CI120" i="38"/>
  <c r="AM120" i="38" s="1" a="1"/>
  <c r="AM120" i="38" s="1"/>
  <c r="CJ120" i="38"/>
  <c r="CE121" i="38" a="1"/>
  <c r="CE121" i="38" s="1"/>
  <c r="J122" i="38"/>
  <c r="P122" i="38" a="1"/>
  <c r="P122" i="38" s="1"/>
  <c r="R122" i="38" s="1"/>
  <c r="Q122" i="38" a="1"/>
  <c r="Q122" i="38" s="1"/>
  <c r="U122" i="38" a="1"/>
  <c r="U122" i="38" s="1"/>
  <c r="V122" i="38" s="1"/>
  <c r="AA122" i="38"/>
  <c r="AF122" i="38"/>
  <c r="AK122" i="38"/>
  <c r="CI122" i="38"/>
  <c r="J123" i="38"/>
  <c r="P123" i="38" a="1"/>
  <c r="P123" i="38" s="1"/>
  <c r="R123" i="38" s="1"/>
  <c r="Q123" i="38" a="1"/>
  <c r="Q123" i="38" s="1"/>
  <c r="U123" i="38" a="1"/>
  <c r="U123" i="38" s="1"/>
  <c r="V123" i="38" s="1"/>
  <c r="AA123" i="38"/>
  <c r="AF123" i="38"/>
  <c r="AK123" i="38"/>
  <c r="CI123" i="38"/>
  <c r="I123" i="38" s="1" a="1"/>
  <c r="I123" i="38" s="1"/>
  <c r="CJ123" i="38"/>
  <c r="AS123" i="38" s="1" a="1"/>
  <c r="AS123" i="38" s="1"/>
  <c r="J126" i="38"/>
  <c r="P126" i="38" a="1"/>
  <c r="P126" i="38" s="1"/>
  <c r="R126" i="38" s="1"/>
  <c r="Q126" i="38" a="1"/>
  <c r="Q126" i="38" s="1"/>
  <c r="U126" i="38" a="1"/>
  <c r="U126" i="38" s="1"/>
  <c r="V126" i="38" s="1"/>
  <c r="AA126" i="38"/>
  <c r="AF126" i="38"/>
  <c r="AK126" i="38"/>
  <c r="CI126" i="38"/>
  <c r="CJ126" i="38"/>
  <c r="CE127" i="38" a="1"/>
  <c r="CE127" i="38" s="1"/>
  <c r="J128" i="38"/>
  <c r="P128" i="38" a="1"/>
  <c r="P128" i="38" s="1"/>
  <c r="R128" i="38" s="1"/>
  <c r="Q128" i="38" a="1"/>
  <c r="Q128" i="38" s="1"/>
  <c r="U128" i="38" a="1"/>
  <c r="U128" i="38" s="1"/>
  <c r="V128" i="38" s="1"/>
  <c r="AA128" i="38"/>
  <c r="AF128" i="38"/>
  <c r="AK128" i="38"/>
  <c r="CI128" i="38"/>
  <c r="I128" i="38" s="1" a="1"/>
  <c r="I128" i="38" s="1"/>
  <c r="J129" i="38"/>
  <c r="P129" i="38" a="1"/>
  <c r="P129" i="38" s="1"/>
  <c r="R129" i="38" s="1"/>
  <c r="Q129" i="38" a="1"/>
  <c r="Q129" i="38" s="1"/>
  <c r="U129" i="38" a="1"/>
  <c r="U129" i="38" s="1"/>
  <c r="V129" i="38" s="1"/>
  <c r="AA129" i="38"/>
  <c r="AF129" i="38"/>
  <c r="AK129" i="38"/>
  <c r="CI129" i="38"/>
  <c r="CJ129" i="38"/>
  <c r="AS129" i="38" s="1" a="1"/>
  <c r="AS129" i="38" s="1"/>
  <c r="CE130" i="38" a="1"/>
  <c r="CE130" i="38" s="1"/>
  <c r="J131" i="38"/>
  <c r="P131" i="38" a="1"/>
  <c r="P131" i="38" s="1"/>
  <c r="R131" i="38" s="1"/>
  <c r="Q131" i="38" a="1"/>
  <c r="Q131" i="38" s="1"/>
  <c r="U131" i="38" a="1"/>
  <c r="U131" i="38" s="1"/>
  <c r="V131" i="38" s="1"/>
  <c r="AA131" i="38"/>
  <c r="AF131" i="38"/>
  <c r="AK131" i="38"/>
  <c r="CJ131" i="38"/>
  <c r="AS131" i="38" s="1" a="1"/>
  <c r="AS131" i="38" s="1"/>
  <c r="CI131" i="38"/>
  <c r="AM131" i="38" s="1" a="1"/>
  <c r="AM131" i="38" s="1"/>
  <c r="J132" i="38"/>
  <c r="P132" i="38" a="1"/>
  <c r="P132" i="38" s="1"/>
  <c r="R132" i="38" s="1"/>
  <c r="Q132" i="38" a="1"/>
  <c r="Q132" i="38" s="1"/>
  <c r="U132" i="38" a="1"/>
  <c r="U132" i="38" s="1"/>
  <c r="V132" i="38" s="1"/>
  <c r="AA132" i="38"/>
  <c r="AF132" i="38"/>
  <c r="AK132" i="38"/>
  <c r="CI132" i="38"/>
  <c r="I132" i="38" s="1" a="1"/>
  <c r="I132" i="38" s="1"/>
  <c r="CJ132" i="38"/>
  <c r="AS132" i="38" s="1" a="1"/>
  <c r="AS132" i="38" s="1"/>
  <c r="CE133" i="38" a="1"/>
  <c r="CE133" i="38" s="1"/>
  <c r="J134" i="38"/>
  <c r="P134" i="38" a="1"/>
  <c r="P134" i="38" s="1"/>
  <c r="R134" i="38" s="1"/>
  <c r="Q134" i="38" a="1"/>
  <c r="Q134" i="38" s="1"/>
  <c r="U134" i="38" a="1"/>
  <c r="U134" i="38" s="1"/>
  <c r="V134" i="38" s="1"/>
  <c r="AA134" i="38"/>
  <c r="AF134" i="38"/>
  <c r="AK134" i="38"/>
  <c r="CI134" i="38"/>
  <c r="I134" i="38" s="1" a="1"/>
  <c r="I134" i="38" s="1"/>
  <c r="J135" i="38"/>
  <c r="P135" i="38" a="1"/>
  <c r="P135" i="38" s="1"/>
  <c r="R135" i="38" s="1"/>
  <c r="Q135" i="38" a="1"/>
  <c r="Q135" i="38" s="1"/>
  <c r="U135" i="38" a="1"/>
  <c r="U135" i="38" s="1"/>
  <c r="V135" i="38" s="1"/>
  <c r="AA135" i="38"/>
  <c r="AF135" i="38"/>
  <c r="AK135" i="38"/>
  <c r="CI135" i="38"/>
  <c r="I135" i="38" s="1" a="1"/>
  <c r="I135" i="38" s="1"/>
  <c r="CJ135" i="38"/>
  <c r="AS135" i="38" s="1" a="1"/>
  <c r="AS135" i="38" s="1"/>
  <c r="CE136" i="38" a="1"/>
  <c r="CE136" i="38" s="1"/>
  <c r="J137" i="38"/>
  <c r="P137" i="38" a="1"/>
  <c r="P137" i="38" s="1"/>
  <c r="R137" i="38" s="1"/>
  <c r="Q137" i="38" a="1"/>
  <c r="Q137" i="38" s="1"/>
  <c r="U137" i="38" a="1"/>
  <c r="U137" i="38" s="1"/>
  <c r="V137" i="38" s="1"/>
  <c r="AA137" i="38"/>
  <c r="AF137" i="38"/>
  <c r="AK137" i="38"/>
  <c r="CI137" i="38"/>
  <c r="J138" i="38"/>
  <c r="P138" i="38" a="1"/>
  <c r="P138" i="38" s="1"/>
  <c r="R138" i="38" s="1"/>
  <c r="Q138" i="38" a="1"/>
  <c r="Q138" i="38" s="1"/>
  <c r="U138" i="38" a="1"/>
  <c r="U138" i="38" s="1"/>
  <c r="V138" i="38" s="1"/>
  <c r="AA138" i="38"/>
  <c r="AF138" i="38"/>
  <c r="AK138" i="38"/>
  <c r="CI138" i="38"/>
  <c r="I138" i="38" s="1" a="1"/>
  <c r="I138" i="38" s="1"/>
  <c r="CJ138" i="38"/>
  <c r="AA145" i="38"/>
  <c r="AF145" i="38"/>
  <c r="AK145" i="38"/>
  <c r="CI145" i="38"/>
  <c r="CJ145" i="38"/>
  <c r="AS145" i="38" s="1" a="1"/>
  <c r="AS145" i="38" s="1"/>
  <c r="CE147" i="38" a="1"/>
  <c r="CE147" i="38" s="1"/>
  <c r="J148" i="38"/>
  <c r="P148" i="38" a="1"/>
  <c r="P148" i="38" s="1"/>
  <c r="R148" i="38" s="1"/>
  <c r="Q148" i="38" a="1"/>
  <c r="Q148" i="38" s="1"/>
  <c r="U148" i="38" a="1"/>
  <c r="U148" i="38" s="1"/>
  <c r="V148" i="38" s="1"/>
  <c r="AA148" i="38"/>
  <c r="AF148" i="38"/>
  <c r="AK148" i="38"/>
  <c r="CI148" i="38"/>
  <c r="I148" i="38" s="1" a="1"/>
  <c r="I148" i="38" s="1"/>
  <c r="J149" i="38"/>
  <c r="P149" i="38" a="1"/>
  <c r="P149" i="38" s="1"/>
  <c r="R149" i="38" s="1"/>
  <c r="Q149" i="38" a="1"/>
  <c r="Q149" i="38" s="1"/>
  <c r="U149" i="38" a="1"/>
  <c r="U149" i="38" s="1"/>
  <c r="V149" i="38" s="1"/>
  <c r="AA149" i="38"/>
  <c r="AF149" i="38"/>
  <c r="AK149" i="38"/>
  <c r="CI149" i="38"/>
  <c r="AM149" i="38" s="1" a="1"/>
  <c r="AM149" i="38" s="1"/>
  <c r="CJ149" i="38"/>
  <c r="AT149" i="38" s="1" a="1"/>
  <c r="AT149" i="38" s="1"/>
  <c r="AA156" i="38"/>
  <c r="AF156" i="38"/>
  <c r="AK156" i="38"/>
  <c r="CI156" i="38"/>
  <c r="CJ156" i="38"/>
  <c r="AS156" i="38" s="1" a="1"/>
  <c r="AS156" i="38" s="1"/>
  <c r="J157" i="38"/>
  <c r="P157" i="38" a="1"/>
  <c r="P157" i="38" s="1"/>
  <c r="R157" i="38" s="1"/>
  <c r="Q157" i="38" a="1"/>
  <c r="Q157" i="38" s="1"/>
  <c r="U157" i="38" a="1"/>
  <c r="U157" i="38" s="1"/>
  <c r="V157" i="38" s="1"/>
  <c r="AA157" i="38"/>
  <c r="AF157" i="38"/>
  <c r="AK157" i="38"/>
  <c r="CI157" i="38"/>
  <c r="AM157" i="38" s="1" a="1"/>
  <c r="AM157" i="38" s="1"/>
  <c r="CJ157" i="38"/>
  <c r="CE158" i="38" a="1"/>
  <c r="CE158" i="38" s="1"/>
  <c r="J159" i="38"/>
  <c r="P159" i="38" a="1"/>
  <c r="P159" i="38" s="1"/>
  <c r="R159" i="38" s="1"/>
  <c r="Q159" i="38" a="1"/>
  <c r="Q159" i="38" s="1"/>
  <c r="U159" i="38" a="1"/>
  <c r="U159" i="38" s="1"/>
  <c r="V159" i="38" s="1"/>
  <c r="AA159" i="38"/>
  <c r="AF159" i="38"/>
  <c r="AK159" i="38"/>
  <c r="CI159" i="38"/>
  <c r="AA161" i="38"/>
  <c r="AF161" i="38"/>
  <c r="AK161" i="38"/>
  <c r="CI161" i="38"/>
  <c r="CJ161" i="38"/>
  <c r="AS161" i="38" s="1" a="1"/>
  <c r="AS161" i="38" s="1"/>
  <c r="J162" i="38"/>
  <c r="P162" i="38" a="1"/>
  <c r="P162" i="38" s="1"/>
  <c r="R162" i="38" s="1"/>
  <c r="Q162" i="38" a="1"/>
  <c r="Q162" i="38" s="1"/>
  <c r="U162" i="38" a="1"/>
  <c r="U162" i="38" s="1"/>
  <c r="V162" i="38" s="1"/>
  <c r="AA162" i="38"/>
  <c r="AF162" i="38"/>
  <c r="AK162" i="38"/>
  <c r="CI162" i="38"/>
  <c r="I162" i="38" s="1" a="1"/>
  <c r="I162" i="38" s="1"/>
  <c r="CJ162" i="38"/>
  <c r="CE163" i="38" a="1"/>
  <c r="CE163" i="38" s="1"/>
  <c r="J164" i="38"/>
  <c r="P164" i="38" a="1"/>
  <c r="P164" i="38" s="1"/>
  <c r="R164" i="38" s="1"/>
  <c r="Q164" i="38" a="1"/>
  <c r="Q164" i="38" s="1"/>
  <c r="U164" i="38" a="1"/>
  <c r="U164" i="38" s="1"/>
  <c r="V164" i="38" s="1"/>
  <c r="AA164" i="38"/>
  <c r="AF164" i="38"/>
  <c r="AK164" i="38"/>
  <c r="CI164" i="38"/>
  <c r="AM164" i="38" s="1" a="1"/>
  <c r="AM164" i="38" s="1"/>
  <c r="J167" i="38"/>
  <c r="P167" i="38" a="1"/>
  <c r="P167" i="38" s="1"/>
  <c r="R167" i="38" s="1"/>
  <c r="Q167" i="38" a="1"/>
  <c r="Q167" i="38" s="1"/>
  <c r="U167" i="38" a="1"/>
  <c r="U167" i="38" s="1"/>
  <c r="V167" i="38" s="1"/>
  <c r="AA167" i="38"/>
  <c r="AF167" i="38"/>
  <c r="AK167" i="38"/>
  <c r="CI167" i="38"/>
  <c r="AM167" i="38" s="1" a="1"/>
  <c r="AM167" i="38" s="1"/>
  <c r="CJ167" i="38"/>
  <c r="AA170" i="38"/>
  <c r="AF170" i="38"/>
  <c r="AK170" i="38"/>
  <c r="CI170" i="38"/>
  <c r="CJ170" i="38"/>
  <c r="AT170" i="38" s="1" a="1"/>
  <c r="AT170" i="38" s="1"/>
  <c r="AY170" i="38" s="1" a="1"/>
  <c r="AY170" i="38" s="1"/>
  <c r="AZ170" i="38" s="1"/>
  <c r="J171" i="38"/>
  <c r="P171" i="38" a="1"/>
  <c r="P171" i="38" s="1"/>
  <c r="R171" i="38" s="1"/>
  <c r="Q171" i="38" a="1"/>
  <c r="Q171" i="38" s="1"/>
  <c r="U171" i="38" a="1"/>
  <c r="U171" i="38" s="1"/>
  <c r="V171" i="38" s="1"/>
  <c r="AA171" i="38"/>
  <c r="AF171" i="38"/>
  <c r="AK171" i="38"/>
  <c r="CI171" i="38"/>
  <c r="I171" i="38" s="1" a="1"/>
  <c r="I171" i="38" s="1"/>
  <c r="CJ171" i="38"/>
  <c r="AT171" i="38" s="1" a="1"/>
  <c r="AT171" i="38" s="1"/>
  <c r="CE174" i="38" a="1"/>
  <c r="CE174" i="38" s="1"/>
  <c r="J175" i="38"/>
  <c r="P175" i="38" a="1"/>
  <c r="P175" i="38" s="1"/>
  <c r="R175" i="38" s="1"/>
  <c r="Q175" i="38" a="1"/>
  <c r="Q175" i="38" s="1"/>
  <c r="U175" i="38" a="1"/>
  <c r="U175" i="38" s="1"/>
  <c r="V175" i="38" s="1"/>
  <c r="AA175" i="38"/>
  <c r="AF175" i="38"/>
  <c r="AK175" i="38"/>
  <c r="CI175" i="38"/>
  <c r="J176" i="38"/>
  <c r="P176" i="38" a="1"/>
  <c r="P176" i="38" s="1"/>
  <c r="R176" i="38" s="1"/>
  <c r="Q176" i="38" a="1"/>
  <c r="Q176" i="38" s="1"/>
  <c r="U176" i="38" a="1"/>
  <c r="U176" i="38" s="1"/>
  <c r="V176" i="38" s="1"/>
  <c r="AA176" i="38"/>
  <c r="AF176" i="38"/>
  <c r="AK176" i="38"/>
  <c r="CI176" i="38"/>
  <c r="CJ176" i="38"/>
  <c r="AS176" i="38" s="1" a="1"/>
  <c r="AS176" i="38" s="1"/>
  <c r="AA177" i="38"/>
  <c r="AF177" i="38"/>
  <c r="AK177" i="38"/>
  <c r="CI177" i="38"/>
  <c r="CJ177" i="38"/>
  <c r="J184" i="38"/>
  <c r="P184" i="38" a="1"/>
  <c r="P184" i="38" s="1"/>
  <c r="R184" i="38" s="1"/>
  <c r="Q184" i="38" a="1"/>
  <c r="Q184" i="38" s="1"/>
  <c r="U184" i="38" a="1"/>
  <c r="U184" i="38" s="1"/>
  <c r="V184" i="38" s="1"/>
  <c r="AA184" i="38"/>
  <c r="AF184" i="38"/>
  <c r="AK184" i="38"/>
  <c r="CI184" i="38"/>
  <c r="CJ184" i="38"/>
  <c r="AT184" i="38" s="1" a="1"/>
  <c r="AT184" i="38" s="1"/>
  <c r="AU184" i="38" s="1"/>
  <c r="AV184" i="38" s="1" a="1"/>
  <c r="AV184" i="38" s="1"/>
  <c r="AX184" i="38" s="1"/>
  <c r="CD21" i="38" l="1"/>
  <c r="CD23" i="38"/>
  <c r="CD22" i="38"/>
  <c r="CD69" i="38"/>
  <c r="CD70" i="38"/>
  <c r="CD68" i="38"/>
  <c r="CD71" i="38"/>
  <c r="CD72" i="38"/>
  <c r="CD73" i="38"/>
  <c r="CD74" i="38"/>
  <c r="CD75" i="38"/>
  <c r="CD76" i="38"/>
  <c r="CD77" i="38"/>
  <c r="CD78" i="38"/>
  <c r="CD79" i="38"/>
  <c r="CD95" i="38"/>
  <c r="CD115" i="38"/>
  <c r="CD83" i="38"/>
  <c r="CD84" i="38"/>
  <c r="CD125" i="38"/>
  <c r="CD124" i="38"/>
  <c r="CD116" i="38"/>
  <c r="CD111" i="38"/>
  <c r="CD110" i="38"/>
  <c r="CD146" i="38"/>
  <c r="CD143" i="38"/>
  <c r="CD144" i="38"/>
  <c r="CD142" i="38"/>
  <c r="CD153" i="38"/>
  <c r="CD154" i="38"/>
  <c r="CD150" i="38"/>
  <c r="CD155" i="38"/>
  <c r="CD151" i="38"/>
  <c r="CD139" i="38"/>
  <c r="CD152" i="38"/>
  <c r="CD141" i="38"/>
  <c r="CD140" i="38"/>
  <c r="CD168" i="38"/>
  <c r="CD169" i="38"/>
  <c r="CD173" i="38"/>
  <c r="CD172" i="38"/>
  <c r="CD166" i="38"/>
  <c r="CD165" i="38"/>
  <c r="CD182" i="38"/>
  <c r="CD181" i="38"/>
  <c r="CD183" i="38"/>
  <c r="CD178" i="38"/>
  <c r="CD180" i="38"/>
  <c r="CD179" i="38"/>
  <c r="CD109" i="38"/>
  <c r="CD102" i="38"/>
  <c r="CD101" i="38"/>
  <c r="CD103" i="38"/>
  <c r="CD105" i="38"/>
  <c r="CD104" i="38"/>
  <c r="CD107" i="38"/>
  <c r="CD106" i="38"/>
  <c r="CD33" i="38"/>
  <c r="CD29" i="38"/>
  <c r="CD30" i="38"/>
  <c r="CD31" i="38"/>
  <c r="CD42" i="38"/>
  <c r="CD43" i="38"/>
  <c r="AS36" i="38" a="1"/>
  <c r="AS36" i="38" s="1"/>
  <c r="CD44" i="38"/>
  <c r="CD45" i="38"/>
  <c r="CD40" i="38"/>
  <c r="CD41" i="38"/>
  <c r="CD46" i="38"/>
  <c r="CD47" i="38"/>
  <c r="CD48" i="38"/>
  <c r="CD28" i="38"/>
  <c r="CD32" i="38"/>
  <c r="CD35" i="38"/>
  <c r="CD34" i="38"/>
  <c r="CD160" i="38"/>
  <c r="AS39" i="38" a="1"/>
  <c r="AS39" i="38" s="1"/>
  <c r="AN39" i="38" a="1"/>
  <c r="AN39" i="38" s="1"/>
  <c r="AG39" i="38" a="1"/>
  <c r="AG39" i="38" s="1"/>
  <c r="AL39" i="38" s="1"/>
  <c r="AO39" i="38"/>
  <c r="AY39" i="38" a="1"/>
  <c r="AY39" i="38" s="1"/>
  <c r="AZ39" i="38" s="1"/>
  <c r="AU39" i="38"/>
  <c r="AS108" i="38" a="1"/>
  <c r="AS108" i="38" s="1"/>
  <c r="I39" i="38" a="1"/>
  <c r="I39" i="38" s="1"/>
  <c r="I149" i="38" a="1"/>
  <c r="I149" i="38" s="1"/>
  <c r="CD39" i="38"/>
  <c r="I58" i="38" a="1"/>
  <c r="I58" i="38" s="1"/>
  <c r="I53" i="38" a="1"/>
  <c r="I53" i="38" s="1"/>
  <c r="I26" i="38" a="1"/>
  <c r="I26" i="38" s="1"/>
  <c r="AO36" i="38"/>
  <c r="AG36" i="38" a="1"/>
  <c r="AG36" i="38" s="1"/>
  <c r="AL36" i="38" s="1"/>
  <c r="AY36" i="38" a="1"/>
  <c r="AY36" i="38" s="1"/>
  <c r="AZ36" i="38" s="1"/>
  <c r="AU36" i="38"/>
  <c r="AM36" i="38" a="1"/>
  <c r="AM36" i="38" s="1"/>
  <c r="CJ88" i="38"/>
  <c r="AS88" i="38" s="1" a="1"/>
  <c r="AS88" i="38" s="1"/>
  <c r="AM19" i="38" a="1"/>
  <c r="AM19" i="38" s="1"/>
  <c r="AN36" i="38" a="1"/>
  <c r="AN36" i="38" s="1"/>
  <c r="CD36" i="38"/>
  <c r="I61" i="38" a="1"/>
  <c r="I61" i="38" s="1"/>
  <c r="AM61" i="38" a="1"/>
  <c r="AM61" i="38" s="1"/>
  <c r="I88" i="38" a="1"/>
  <c r="I88" i="38" s="1"/>
  <c r="AM88" i="38" a="1"/>
  <c r="AM88" i="38" s="1"/>
  <c r="I175" i="38" a="1"/>
  <c r="I175" i="38" s="1"/>
  <c r="AM175" i="38" a="1"/>
  <c r="AM175" i="38" s="1"/>
  <c r="I119" i="38" a="1"/>
  <c r="I119" i="38" s="1"/>
  <c r="AM119" i="38" a="1"/>
  <c r="AM119" i="38" s="1"/>
  <c r="AM132" i="38" a="1"/>
  <c r="AM132" i="38" s="1"/>
  <c r="AS96" i="38" a="1"/>
  <c r="AS96" i="38" s="1"/>
  <c r="AM64" i="38" a="1"/>
  <c r="AM64" i="38" s="1"/>
  <c r="AM16" i="38" a="1"/>
  <c r="AM16" i="38" s="1"/>
  <c r="I55" i="38" a="1"/>
  <c r="I55" i="38" s="1"/>
  <c r="AM27" i="38" a="1"/>
  <c r="AM27" i="38" s="1"/>
  <c r="I157" i="38" a="1"/>
  <c r="I157" i="38" s="1"/>
  <c r="AM24" i="38" a="1"/>
  <c r="AM24" i="38" s="1"/>
  <c r="I120" i="38" a="1"/>
  <c r="I120" i="38" s="1"/>
  <c r="I89" i="38" a="1"/>
  <c r="I89" i="38" s="1"/>
  <c r="AY108" i="38" a="1"/>
  <c r="AY108" i="38" s="1"/>
  <c r="AZ108" i="38" s="1"/>
  <c r="AU108" i="38"/>
  <c r="I56" i="38" a="1"/>
  <c r="I56" i="38" s="1"/>
  <c r="AM38" i="38" a="1"/>
  <c r="AM38" i="38" s="1"/>
  <c r="I97" i="38" a="1"/>
  <c r="I97" i="38" s="1"/>
  <c r="I81" i="38" a="1"/>
  <c r="I81" i="38" s="1"/>
  <c r="I52" i="38" a="1"/>
  <c r="I52" i="38" s="1"/>
  <c r="I54" i="38" a="1"/>
  <c r="I54" i="38" s="1"/>
  <c r="AM67" i="38" a="1"/>
  <c r="AM67" i="38" s="1"/>
  <c r="I63" i="38" a="1"/>
  <c r="I63" i="38" s="1"/>
  <c r="I62" i="38" a="1"/>
  <c r="I62" i="38" s="1"/>
  <c r="I93" i="38" a="1"/>
  <c r="I93" i="38" s="1"/>
  <c r="CD108" i="38"/>
  <c r="I113" i="38" a="1"/>
  <c r="I113" i="38" s="1"/>
  <c r="AM113" i="38" a="1"/>
  <c r="AM113" i="38" s="1"/>
  <c r="AM126" i="38" a="1"/>
  <c r="AM126" i="38" s="1"/>
  <c r="I126" i="38" a="1"/>
  <c r="I126" i="38" s="1"/>
  <c r="I184" i="38" a="1"/>
  <c r="I184" i="38" s="1"/>
  <c r="AM184" i="38" a="1"/>
  <c r="AM184" i="38" s="1"/>
  <c r="AM14" i="38" a="1"/>
  <c r="AM14" i="38" s="1"/>
  <c r="I14" i="38" a="1"/>
  <c r="I14" i="38" s="1"/>
  <c r="I114" i="38" a="1"/>
  <c r="I114" i="38" s="1"/>
  <c r="AM114" i="38" a="1"/>
  <c r="AM114" i="38" s="1"/>
  <c r="AM162" i="38" a="1"/>
  <c r="AM162" i="38" s="1"/>
  <c r="AY96" i="38" a="1"/>
  <c r="AY96" i="38" s="1"/>
  <c r="AZ96" i="38" s="1"/>
  <c r="AU96" i="38"/>
  <c r="AV96" i="38" s="1" a="1"/>
  <c r="AV96" i="38" s="1"/>
  <c r="AX96" i="38" s="1"/>
  <c r="AT126" i="38" a="1"/>
  <c r="AT126" i="38" s="1"/>
  <c r="AY126" i="38" s="1" a="1"/>
  <c r="AY126" i="38" s="1"/>
  <c r="AZ126" i="38" s="1"/>
  <c r="AS126" i="38" a="1"/>
  <c r="AS126" i="38" s="1"/>
  <c r="AM171" i="38" a="1"/>
  <c r="AM171" i="38" s="1"/>
  <c r="AM148" i="38" a="1"/>
  <c r="AM148" i="38" s="1"/>
  <c r="I57" i="38" a="1"/>
  <c r="I57" i="38" s="1"/>
  <c r="AM135" i="38" a="1"/>
  <c r="AM135" i="38" s="1"/>
  <c r="I65" i="38" a="1"/>
  <c r="I65" i="38" s="1"/>
  <c r="I18" i="38" a="1"/>
  <c r="I18" i="38" s="1"/>
  <c r="I86" i="38" a="1"/>
  <c r="I86" i="38" s="1"/>
  <c r="AT82" i="38" a="1"/>
  <c r="AT82" i="38" s="1"/>
  <c r="AM138" i="38" a="1"/>
  <c r="AM138" i="38" s="1"/>
  <c r="I131" i="38" a="1"/>
  <c r="I131" i="38" s="1"/>
  <c r="AM100" i="38" a="1"/>
  <c r="AM100" i="38" s="1"/>
  <c r="AM13" i="38" a="1"/>
  <c r="AM13" i="38" s="1"/>
  <c r="AM128" i="38" a="1"/>
  <c r="AM128" i="38" s="1"/>
  <c r="AM123" i="38" a="1"/>
  <c r="AM123" i="38" s="1"/>
  <c r="AT132" i="38" a="1"/>
  <c r="AT132" i="38" s="1"/>
  <c r="AY132" i="38" s="1" a="1"/>
  <c r="AY132" i="38" s="1"/>
  <c r="AZ132" i="38" s="1"/>
  <c r="AU66" i="38"/>
  <c r="BM66" i="38" s="1"/>
  <c r="AT67" i="38" a="1"/>
  <c r="AT67" i="38" s="1"/>
  <c r="AY67" i="38" s="1" a="1"/>
  <c r="AY67" i="38" s="1"/>
  <c r="AZ67" i="38" s="1"/>
  <c r="AT145" i="38" a="1"/>
  <c r="AT145" i="38" s="1"/>
  <c r="AU145" i="38" s="1"/>
  <c r="AS20" i="38" a="1"/>
  <c r="AS20" i="38" s="1"/>
  <c r="AT123" i="38" a="1"/>
  <c r="AT123" i="38" s="1"/>
  <c r="AT161" i="38" a="1"/>
  <c r="AT161" i="38" s="1"/>
  <c r="AY161" i="38" s="1" a="1"/>
  <c r="AY161" i="38" s="1"/>
  <c r="AZ161" i="38" s="1"/>
  <c r="AU171" i="38"/>
  <c r="BM171" i="38" s="1"/>
  <c r="AY171" i="38" a="1"/>
  <c r="AY171" i="38" s="1"/>
  <c r="AZ171" i="38" s="1"/>
  <c r="AU89" i="38"/>
  <c r="AV89" i="38" s="1" a="1"/>
  <c r="AV89" i="38" s="1"/>
  <c r="AX89" i="38" s="1"/>
  <c r="AY89" i="38" a="1"/>
  <c r="AY89" i="38" s="1"/>
  <c r="AZ89" i="38" s="1"/>
  <c r="AT14" i="38" a="1"/>
  <c r="AT14" i="38" s="1"/>
  <c r="AU14" i="38" s="1"/>
  <c r="AT65" i="38" a="1"/>
  <c r="AT65" i="38" s="1"/>
  <c r="AU65" i="38" s="1"/>
  <c r="AS89" i="38" a="1"/>
  <c r="AS89" i="38" s="1"/>
  <c r="AT135" i="38" a="1"/>
  <c r="AT135" i="38" s="1"/>
  <c r="AT129" i="38" a="1"/>
  <c r="AT129" i="38" s="1"/>
  <c r="AY129" i="38" s="1" a="1"/>
  <c r="AY129" i="38" s="1"/>
  <c r="AZ129" i="38" s="1"/>
  <c r="AT86" i="38" a="1"/>
  <c r="AT86" i="38" s="1"/>
  <c r="AU86" i="38" s="1"/>
  <c r="AT100" i="38" a="1"/>
  <c r="AT100" i="38" s="1"/>
  <c r="AT85" i="38" a="1"/>
  <c r="AT85" i="38" s="1"/>
  <c r="AT27" i="38" a="1"/>
  <c r="AT27" i="38" s="1"/>
  <c r="AY27" i="38" s="1" a="1"/>
  <c r="AY27" i="38" s="1"/>
  <c r="AZ27" i="38" s="1"/>
  <c r="AS184" i="38" a="1"/>
  <c r="AS184" i="38" s="1"/>
  <c r="AT176" i="38" a="1"/>
  <c r="AT176" i="38" s="1"/>
  <c r="AS171" i="38" a="1"/>
  <c r="AS171" i="38" s="1"/>
  <c r="AT117" i="38" a="1"/>
  <c r="AT117" i="38" s="1"/>
  <c r="AY117" i="38" s="1" a="1"/>
  <c r="AY117" i="38" s="1"/>
  <c r="AZ117" i="38" s="1"/>
  <c r="AS149" i="38" a="1"/>
  <c r="AS149" i="38" s="1"/>
  <c r="AU170" i="38"/>
  <c r="AS170" i="38" a="1"/>
  <c r="AS170" i="38" s="1"/>
  <c r="AT156" i="38" a="1"/>
  <c r="AT156" i="38" s="1"/>
  <c r="AY156" i="38" s="1" a="1"/>
  <c r="AY156" i="38" s="1"/>
  <c r="AZ156" i="38" s="1"/>
  <c r="AT114" i="38" a="1"/>
  <c r="AT114" i="38" s="1"/>
  <c r="AT24" i="38" a="1"/>
  <c r="AT24" i="38" s="1"/>
  <c r="AY24" i="38" s="1" a="1"/>
  <c r="AY24" i="38" s="1"/>
  <c r="AZ24" i="38" s="1"/>
  <c r="AO120" i="38"/>
  <c r="AO19" i="38"/>
  <c r="AO128" i="38"/>
  <c r="AN113" i="38" a="1"/>
  <c r="AN113" i="38" s="1"/>
  <c r="AN88" i="38" a="1"/>
  <c r="AN88" i="38" s="1"/>
  <c r="AG167" i="38" a="1"/>
  <c r="AG167" i="38" s="1"/>
  <c r="AL167" i="38" s="1"/>
  <c r="AG113" i="38" a="1"/>
  <c r="AG113" i="38" s="1"/>
  <c r="AL113" i="38" s="1"/>
  <c r="AN64" i="38" a="1"/>
  <c r="AN64" i="38" s="1"/>
  <c r="AO13" i="38"/>
  <c r="AG82" i="38" a="1"/>
  <c r="AG82" i="38" s="1"/>
  <c r="AL82" i="38" s="1"/>
  <c r="AO53" i="38"/>
  <c r="AO60" i="38"/>
  <c r="AG157" i="38" a="1"/>
  <c r="AG157" i="38" s="1"/>
  <c r="AL157" i="38" s="1"/>
  <c r="CD59" i="38"/>
  <c r="AN93" i="38" a="1"/>
  <c r="AN93" i="38" s="1"/>
  <c r="AN62" i="38" a="1"/>
  <c r="AN62" i="38" s="1"/>
  <c r="AG162" i="38" a="1"/>
  <c r="AG162" i="38" s="1"/>
  <c r="AL162" i="38" s="1"/>
  <c r="AN17" i="38" a="1"/>
  <c r="AN17" i="38" s="1"/>
  <c r="AG131" i="38" a="1"/>
  <c r="AG131" i="38" s="1"/>
  <c r="AL131" i="38" s="1"/>
  <c r="AO114" i="38"/>
  <c r="AN56" i="38" a="1"/>
  <c r="AN56" i="38" s="1"/>
  <c r="AO148" i="38"/>
  <c r="AO82" i="38"/>
  <c r="AO38" i="38"/>
  <c r="AN82" i="38" a="1"/>
  <c r="AN82" i="38" s="1"/>
  <c r="AN16" i="38" a="1"/>
  <c r="AN16" i="38" s="1"/>
  <c r="CD100" i="38"/>
  <c r="AG62" i="38" a="1"/>
  <c r="AG62" i="38" s="1"/>
  <c r="AL62" i="38" s="1"/>
  <c r="AN134" i="38" a="1"/>
  <c r="AN134" i="38" s="1"/>
  <c r="AN175" i="38" a="1"/>
  <c r="AN175" i="38" s="1"/>
  <c r="AG93" i="38" a="1"/>
  <c r="AG93" i="38" s="1"/>
  <c r="AL93" i="38" s="1"/>
  <c r="AO65" i="38"/>
  <c r="AO184" i="38"/>
  <c r="AO138" i="38"/>
  <c r="AN27" i="38" a="1"/>
  <c r="AN27" i="38" s="1"/>
  <c r="CD120" i="38"/>
  <c r="AO14" i="38"/>
  <c r="AN59" i="38" a="1"/>
  <c r="AN59" i="38" s="1"/>
  <c r="CD159" i="38"/>
  <c r="AN162" i="38" a="1"/>
  <c r="AN162" i="38" s="1"/>
  <c r="AN157" i="38" a="1"/>
  <c r="AN157" i="38" s="1"/>
  <c r="CD123" i="38"/>
  <c r="CD38" i="38"/>
  <c r="AG59" i="38" a="1"/>
  <c r="AG59" i="38" s="1"/>
  <c r="AL59" i="38" s="1"/>
  <c r="AG56" i="38" a="1"/>
  <c r="AG56" i="38" s="1"/>
  <c r="AL56" i="38" s="1"/>
  <c r="CD94" i="38"/>
  <c r="CD55" i="38"/>
  <c r="CD99" i="38"/>
  <c r="AO93" i="38"/>
  <c r="AG86" i="38" a="1"/>
  <c r="AG86" i="38" s="1"/>
  <c r="AL86" i="38" s="1"/>
  <c r="AG137" i="38" a="1"/>
  <c r="AG137" i="38" s="1"/>
  <c r="AL137" i="38" s="1"/>
  <c r="AO137" i="38"/>
  <c r="AN176" i="38" a="1"/>
  <c r="AN176" i="38" s="1"/>
  <c r="AO176" i="38"/>
  <c r="CD157" i="38"/>
  <c r="AG132" i="38" a="1"/>
  <c r="AG132" i="38" s="1"/>
  <c r="AL132" i="38" s="1"/>
  <c r="I176" i="38" a="1"/>
  <c r="I176" i="38" s="1"/>
  <c r="AM176" i="38" a="1"/>
  <c r="AM176" i="38" s="1"/>
  <c r="I167" i="38" a="1"/>
  <c r="I167" i="38" s="1"/>
  <c r="AG164" i="38" a="1"/>
  <c r="AG164" i="38" s="1"/>
  <c r="AL164" i="38" s="1"/>
  <c r="AN164" i="38" a="1"/>
  <c r="AN164" i="38" s="1"/>
  <c r="AM85" i="38" a="1"/>
  <c r="AM85" i="38" s="1"/>
  <c r="AN135" i="38" a="1"/>
  <c r="AN135" i="38" s="1"/>
  <c r="AO86" i="38"/>
  <c r="CD90" i="38"/>
  <c r="AN86" i="38" a="1"/>
  <c r="AN86" i="38" s="1"/>
  <c r="AM51" i="38" a="1"/>
  <c r="AM51" i="38" s="1"/>
  <c r="I51" i="38" a="1"/>
  <c r="I51" i="38" s="1"/>
  <c r="CD145" i="38"/>
  <c r="AO126" i="38"/>
  <c r="AN97" i="38" a="1"/>
  <c r="AN97" i="38" s="1"/>
  <c r="AN96" i="38" a="1"/>
  <c r="AN96" i="38" s="1"/>
  <c r="AS93" i="38" a="1"/>
  <c r="AS93" i="38" s="1"/>
  <c r="AT93" i="38" a="1"/>
  <c r="AT93" i="38" s="1"/>
  <c r="AO63" i="38"/>
  <c r="AG63" i="38" a="1"/>
  <c r="AG63" i="38" s="1"/>
  <c r="AL63" i="38" s="1"/>
  <c r="AM122" i="38" a="1"/>
  <c r="AM122" i="38" s="1"/>
  <c r="I122" i="38" a="1"/>
  <c r="I122" i="38" s="1"/>
  <c r="AN89" i="38" a="1"/>
  <c r="AN89" i="38" s="1"/>
  <c r="AG89" i="38" a="1"/>
  <c r="AG89" i="38" s="1"/>
  <c r="AL89" i="38" s="1"/>
  <c r="AO164" i="38"/>
  <c r="AN184" i="38" a="1"/>
  <c r="AN184" i="38" s="1"/>
  <c r="AN167" i="38" a="1"/>
  <c r="AN167" i="38" s="1"/>
  <c r="AO132" i="38"/>
  <c r="AM134" i="38" a="1"/>
  <c r="AM134" i="38" s="1"/>
  <c r="AN114" i="38" a="1"/>
  <c r="AN114" i="38" s="1"/>
  <c r="AG114" i="38" a="1"/>
  <c r="AG114" i="38" s="1"/>
  <c r="AL114" i="38" s="1"/>
  <c r="AN54" i="38" a="1"/>
  <c r="AN54" i="38" s="1"/>
  <c r="CD176" i="38"/>
  <c r="AO171" i="38"/>
  <c r="AT177" i="38" a="1"/>
  <c r="AT177" i="38" s="1"/>
  <c r="AS177" i="38" a="1"/>
  <c r="AS177" i="38" s="1"/>
  <c r="AN117" i="38" a="1"/>
  <c r="AN117" i="38" s="1"/>
  <c r="AG117" i="38" a="1"/>
  <c r="AG117" i="38" s="1"/>
  <c r="AL117" i="38" s="1"/>
  <c r="AO175" i="38"/>
  <c r="AG175" i="38" a="1"/>
  <c r="AG175" i="38" s="1"/>
  <c r="AL175" i="38" s="1"/>
  <c r="AG19" i="38" a="1"/>
  <c r="AG19" i="38" s="1"/>
  <c r="AL19" i="38" s="1"/>
  <c r="CD175" i="38"/>
  <c r="AN159" i="38" a="1"/>
  <c r="AN159" i="38" s="1"/>
  <c r="AG159" i="38" a="1"/>
  <c r="AG159" i="38" s="1"/>
  <c r="AL159" i="38" s="1"/>
  <c r="AU149" i="38"/>
  <c r="AY149" i="38" a="1"/>
  <c r="AY149" i="38" s="1"/>
  <c r="AZ149" i="38" s="1"/>
  <c r="AN138" i="38" a="1"/>
  <c r="AN138" i="38" s="1"/>
  <c r="CD170" i="38"/>
  <c r="CD91" i="38"/>
  <c r="AN63" i="38" a="1"/>
  <c r="AN63" i="38" s="1"/>
  <c r="AS162" i="38" a="1"/>
  <c r="AS162" i="38" s="1"/>
  <c r="AT162" i="38" a="1"/>
  <c r="AT162" i="38" s="1"/>
  <c r="CD148" i="38"/>
  <c r="AN171" i="38" a="1"/>
  <c r="AN171" i="38" s="1"/>
  <c r="AO159" i="38"/>
  <c r="AT138" i="38" a="1"/>
  <c r="AT138" i="38" s="1"/>
  <c r="AS138" i="38" a="1"/>
  <c r="AS138" i="38" s="1"/>
  <c r="AG138" i="38" a="1"/>
  <c r="AG138" i="38" s="1"/>
  <c r="AL138" i="38" s="1"/>
  <c r="AG134" i="38" a="1"/>
  <c r="AG134" i="38" s="1"/>
  <c r="AL134" i="38" s="1"/>
  <c r="AO134" i="38"/>
  <c r="CD126" i="38"/>
  <c r="AT97" i="38" a="1"/>
  <c r="AT97" i="38" s="1"/>
  <c r="AS97" i="38" a="1"/>
  <c r="AS97" i="38" s="1"/>
  <c r="CD164" i="38"/>
  <c r="AN137" i="38" a="1"/>
  <c r="AN137" i="38" s="1"/>
  <c r="AN132" i="38" a="1"/>
  <c r="AN132" i="38" s="1"/>
  <c r="AN129" i="38" a="1"/>
  <c r="AN129" i="38" s="1"/>
  <c r="AN123" i="38" a="1"/>
  <c r="AN123" i="38" s="1"/>
  <c r="AO123" i="38"/>
  <c r="AG123" i="38" a="1"/>
  <c r="AG123" i="38" s="1"/>
  <c r="AL123" i="38" s="1"/>
  <c r="AO167" i="38"/>
  <c r="CD162" i="38"/>
  <c r="AG135" i="38" a="1"/>
  <c r="AG135" i="38" s="1"/>
  <c r="AL135" i="38" s="1"/>
  <c r="I129" i="38" a="1"/>
  <c r="I129" i="38" s="1"/>
  <c r="AM129" i="38" a="1"/>
  <c r="AM129" i="38" s="1"/>
  <c r="CD128" i="38"/>
  <c r="CD97" i="38"/>
  <c r="AG97" i="38" a="1"/>
  <c r="AG97" i="38" s="1"/>
  <c r="AL97" i="38" s="1"/>
  <c r="AN91" i="38" a="1"/>
  <c r="AN91" i="38" s="1"/>
  <c r="AN81" i="38" a="1"/>
  <c r="AN81" i="38" s="1"/>
  <c r="AO81" i="38"/>
  <c r="AS167" i="38" a="1"/>
  <c r="AS167" i="38" s="1"/>
  <c r="AT167" i="38" a="1"/>
  <c r="AT167" i="38" s="1"/>
  <c r="I159" i="38" a="1"/>
  <c r="I159" i="38" s="1"/>
  <c r="AM159" i="38" a="1"/>
  <c r="AM159" i="38" s="1"/>
  <c r="AS157" i="38" a="1"/>
  <c r="AS157" i="38" s="1"/>
  <c r="AT157" i="38" a="1"/>
  <c r="AT157" i="38" s="1"/>
  <c r="AM137" i="38" a="1"/>
  <c r="AM137" i="38" s="1"/>
  <c r="I137" i="38" a="1"/>
  <c r="I137" i="38" s="1"/>
  <c r="AG128" i="38" a="1"/>
  <c r="AG128" i="38" s="1"/>
  <c r="AL128" i="38" s="1"/>
  <c r="AN122" i="38" a="1"/>
  <c r="AN122" i="38" s="1"/>
  <c r="AG122" i="38" a="1"/>
  <c r="AG122" i="38" s="1"/>
  <c r="AL122" i="38" s="1"/>
  <c r="AO122" i="38"/>
  <c r="AS120" i="38" a="1"/>
  <c r="AS120" i="38" s="1"/>
  <c r="AT120" i="38" a="1"/>
  <c r="AT120" i="38" s="1"/>
  <c r="CD119" i="38"/>
  <c r="I99" i="38" a="1"/>
  <c r="I99" i="38" s="1"/>
  <c r="AM99" i="38" a="1"/>
  <c r="AM99" i="38" s="1"/>
  <c r="AO97" i="38"/>
  <c r="I96" i="38" a="1"/>
  <c r="I96" i="38" s="1"/>
  <c r="AM96" i="38" a="1"/>
  <c r="AM96" i="38" s="1"/>
  <c r="AT94" i="38" a="1"/>
  <c r="AT94" i="38" s="1"/>
  <c r="AS94" i="38" a="1"/>
  <c r="AS94" i="38" s="1"/>
  <c r="AY20" i="38" a="1"/>
  <c r="AY20" i="38" s="1"/>
  <c r="AZ20" i="38" s="1"/>
  <c r="AU20" i="38"/>
  <c r="AG126" i="38" a="1"/>
  <c r="AG126" i="38" s="1"/>
  <c r="AL126" i="38" s="1"/>
  <c r="AO117" i="38"/>
  <c r="AO100" i="38"/>
  <c r="AN94" i="38" a="1"/>
  <c r="AN94" i="38" s="1"/>
  <c r="AG81" i="38" a="1"/>
  <c r="AG81" i="38" s="1"/>
  <c r="AL81" i="38" s="1"/>
  <c r="AO58" i="38"/>
  <c r="AN58" i="38" a="1"/>
  <c r="AN58" i="38" s="1"/>
  <c r="CD19" i="38"/>
  <c r="CD20" i="38"/>
  <c r="CD52" i="38"/>
  <c r="CD16" i="38"/>
  <c r="CD18" i="38"/>
  <c r="CD26" i="38"/>
  <c r="CD56" i="38"/>
  <c r="CD62" i="38"/>
  <c r="CD66" i="38"/>
  <c r="CD17" i="38"/>
  <c r="CD13" i="38"/>
  <c r="CD50" i="38"/>
  <c r="CD51" i="38"/>
  <c r="CD58" i="38"/>
  <c r="CD60" i="38"/>
  <c r="CD113" i="38"/>
  <c r="CD117" i="38"/>
  <c r="CD54" i="38"/>
  <c r="CD63" i="38"/>
  <c r="CD27" i="38"/>
  <c r="CD64" i="38"/>
  <c r="CD122" i="38"/>
  <c r="CD156" i="38"/>
  <c r="CD24" i="38"/>
  <c r="CD86" i="38"/>
  <c r="CD57" i="38"/>
  <c r="CD67" i="38"/>
  <c r="CD81" i="38"/>
  <c r="CD82" i="38"/>
  <c r="CD132" i="38"/>
  <c r="CD135" i="38"/>
  <c r="CD171" i="38"/>
  <c r="CD53" i="38"/>
  <c r="CD93" i="38"/>
  <c r="CD61" i="38"/>
  <c r="CD149" i="38"/>
  <c r="CD129" i="38"/>
  <c r="CD177" i="38"/>
  <c r="CD88" i="38"/>
  <c r="CD96" i="38"/>
  <c r="CD114" i="38"/>
  <c r="CD131" i="38"/>
  <c r="CD65" i="38"/>
  <c r="AG184" i="38" a="1"/>
  <c r="AG184" i="38" s="1"/>
  <c r="AL184" i="38" s="1"/>
  <c r="CD167" i="38"/>
  <c r="CD138" i="38"/>
  <c r="CD137" i="38"/>
  <c r="CD89" i="38"/>
  <c r="AM82" i="38" a="1"/>
  <c r="AM82" i="38" s="1"/>
  <c r="AO18" i="38"/>
  <c r="BM184" i="38"/>
  <c r="AO162" i="38"/>
  <c r="AO149" i="38"/>
  <c r="AN149" i="38" a="1"/>
  <c r="AN149" i="38" s="1"/>
  <c r="AN148" i="38" a="1"/>
  <c r="AN148" i="38" s="1"/>
  <c r="CD134" i="38"/>
  <c r="AO129" i="38"/>
  <c r="AG100" i="38" a="1"/>
  <c r="AG100" i="38" s="1"/>
  <c r="AL100" i="38" s="1"/>
  <c r="AO85" i="38"/>
  <c r="AN85" i="38" a="1"/>
  <c r="AN85" i="38" s="1"/>
  <c r="AG85" i="38" a="1"/>
  <c r="AG85" i="38" s="1"/>
  <c r="AL85" i="38" s="1"/>
  <c r="AY184" i="38" a="1"/>
  <c r="AY184" i="38" s="1"/>
  <c r="AZ184" i="38" s="1"/>
  <c r="AN131" i="38" a="1"/>
  <c r="AN131" i="38" s="1"/>
  <c r="AO131" i="38"/>
  <c r="AO99" i="38"/>
  <c r="AG99" i="38" a="1"/>
  <c r="AG99" i="38" s="1"/>
  <c r="AL99" i="38" s="1"/>
  <c r="CD85" i="38"/>
  <c r="AS66" i="38" a="1"/>
  <c r="AS66" i="38" s="1"/>
  <c r="CD14" i="38"/>
  <c r="CD184" i="38"/>
  <c r="I164" i="38" a="1"/>
  <c r="I164" i="38" s="1"/>
  <c r="CD161" i="38"/>
  <c r="AO157" i="38"/>
  <c r="AG149" i="38" a="1"/>
  <c r="AG149" i="38" s="1"/>
  <c r="AL149" i="38" s="1"/>
  <c r="AG148" i="38" a="1"/>
  <c r="AG148" i="38" s="1"/>
  <c r="AL148" i="38" s="1"/>
  <c r="AG129" i="38" a="1"/>
  <c r="AG129" i="38" s="1"/>
  <c r="AL129" i="38" s="1"/>
  <c r="AN100" i="38" a="1"/>
  <c r="AN100" i="38" s="1"/>
  <c r="AN99" i="38" a="1"/>
  <c r="AN99" i="38" s="1"/>
  <c r="AN52" i="38" a="1"/>
  <c r="AN52" i="38" s="1"/>
  <c r="AG52" i="38" a="1"/>
  <c r="AG52" i="38" s="1"/>
  <c r="AL52" i="38" s="1"/>
  <c r="AN38" i="38" a="1"/>
  <c r="AN38" i="38" s="1"/>
  <c r="AG38" i="38" a="1"/>
  <c r="AG38" i="38" s="1"/>
  <c r="AL38" i="38" s="1"/>
  <c r="AG17" i="38" a="1"/>
  <c r="AG17" i="38" s="1"/>
  <c r="AL17" i="38" s="1"/>
  <c r="AG65" i="38" a="1"/>
  <c r="AG65" i="38" s="1"/>
  <c r="AL65" i="38" s="1"/>
  <c r="AN65" i="38" a="1"/>
  <c r="AN65" i="38" s="1"/>
  <c r="AO50" i="38"/>
  <c r="AG50" i="38" a="1"/>
  <c r="AG50" i="38" s="1"/>
  <c r="AL50" i="38" s="1"/>
  <c r="AN50" i="38" a="1"/>
  <c r="AN50" i="38" s="1"/>
  <c r="AG94" i="38" a="1"/>
  <c r="AG94" i="38" s="1"/>
  <c r="AL94" i="38" s="1"/>
  <c r="AO94" i="38"/>
  <c r="AG64" i="38" a="1"/>
  <c r="AG64" i="38" s="1"/>
  <c r="AL64" i="38" s="1"/>
  <c r="AO64" i="38"/>
  <c r="AN61" i="38" a="1"/>
  <c r="AN61" i="38" s="1"/>
  <c r="AO61" i="38"/>
  <c r="AO59" i="38"/>
  <c r="AG54" i="38" a="1"/>
  <c r="AG54" i="38" s="1"/>
  <c r="AL54" i="38" s="1"/>
  <c r="AO54" i="38"/>
  <c r="AN26" i="38" a="1"/>
  <c r="AN26" i="38" s="1"/>
  <c r="AO26" i="38"/>
  <c r="AG176" i="38" a="1"/>
  <c r="AG176" i="38" s="1"/>
  <c r="AL176" i="38" s="1"/>
  <c r="AG119" i="38" a="1"/>
  <c r="AG119" i="38" s="1"/>
  <c r="AL119" i="38" s="1"/>
  <c r="AN119" i="38" a="1"/>
  <c r="AN119" i="38" s="1"/>
  <c r="AO119" i="38"/>
  <c r="AM117" i="38" a="1"/>
  <c r="AM117" i="38" s="1"/>
  <c r="I117" i="38" a="1"/>
  <c r="I117" i="38" s="1"/>
  <c r="AO96" i="38"/>
  <c r="AG96" i="38" a="1"/>
  <c r="AG96" i="38" s="1"/>
  <c r="AL96" i="38" s="1"/>
  <c r="AM94" i="38" a="1"/>
  <c r="AM94" i="38" s="1"/>
  <c r="AG60" i="38" a="1"/>
  <c r="AG60" i="38" s="1"/>
  <c r="AL60" i="38" s="1"/>
  <c r="AN60" i="38" a="1"/>
  <c r="AN60" i="38" s="1"/>
  <c r="AM50" i="38" a="1"/>
  <c r="AM50" i="38" s="1"/>
  <c r="I50" i="38" a="1"/>
  <c r="I50" i="38" s="1"/>
  <c r="AN24" i="38" a="1"/>
  <c r="AN24" i="38" s="1"/>
  <c r="AG24" i="38" a="1"/>
  <c r="AG24" i="38" s="1"/>
  <c r="AL24" i="38" s="1"/>
  <c r="AG61" i="38" a="1"/>
  <c r="AG61" i="38" s="1"/>
  <c r="AL61" i="38" s="1"/>
  <c r="AM60" i="38" a="1"/>
  <c r="AM60" i="38" s="1"/>
  <c r="I60" i="38" a="1"/>
  <c r="I60" i="38" s="1"/>
  <c r="AG26" i="38" a="1"/>
  <c r="AG26" i="38" s="1"/>
  <c r="AL26" i="38" s="1"/>
  <c r="AN14" i="38" a="1"/>
  <c r="AN14" i="38" s="1"/>
  <c r="AN120" i="38" a="1"/>
  <c r="AN120" i="38" s="1"/>
  <c r="AO55" i="38"/>
  <c r="AN55" i="38" a="1"/>
  <c r="AN55" i="38" s="1"/>
  <c r="AG55" i="38" a="1"/>
  <c r="AG55" i="38" s="1"/>
  <c r="AL55" i="38" s="1"/>
  <c r="AN53" i="38" a="1"/>
  <c r="AN53" i="38" s="1"/>
  <c r="AG171" i="38" a="1"/>
  <c r="AG171" i="38" s="1"/>
  <c r="AL171" i="38" s="1"/>
  <c r="AO135" i="38"/>
  <c r="AN128" i="38" a="1"/>
  <c r="AN128" i="38" s="1"/>
  <c r="AN126" i="38" a="1"/>
  <c r="AN126" i="38" s="1"/>
  <c r="AG91" i="38" a="1"/>
  <c r="AG91" i="38" s="1"/>
  <c r="AL91" i="38" s="1"/>
  <c r="AO91" i="38"/>
  <c r="AO89" i="38"/>
  <c r="AO88" i="38"/>
  <c r="AG88" i="38" a="1"/>
  <c r="AG88" i="38" s="1"/>
  <c r="AL88" i="38" s="1"/>
  <c r="AU19" i="38"/>
  <c r="AG120" i="38" a="1"/>
  <c r="AG120" i="38" s="1"/>
  <c r="AL120" i="38" s="1"/>
  <c r="I91" i="38" a="1"/>
  <c r="I91" i="38" s="1"/>
  <c r="AN67" i="38" a="1"/>
  <c r="AN67" i="38" s="1"/>
  <c r="AO67" i="38"/>
  <c r="AG67" i="38" a="1"/>
  <c r="AG67" i="38" s="1"/>
  <c r="AL67" i="38" s="1"/>
  <c r="AS19" i="38" a="1"/>
  <c r="AS19" i="38" s="1"/>
  <c r="AN57" i="38" a="1"/>
  <c r="AN57" i="38" s="1"/>
  <c r="AO57" i="38"/>
  <c r="AG57" i="38" a="1"/>
  <c r="AG57" i="38" s="1"/>
  <c r="AL57" i="38" s="1"/>
  <c r="AO113" i="38"/>
  <c r="AT91" i="38" a="1"/>
  <c r="AT91" i="38" s="1"/>
  <c r="AS91" i="38" a="1"/>
  <c r="AS91" i="38" s="1"/>
  <c r="AS90" i="38" a="1"/>
  <c r="AS90" i="38" s="1"/>
  <c r="AT90" i="38" a="1"/>
  <c r="AT90" i="38" s="1"/>
  <c r="AN51" i="38" a="1"/>
  <c r="AN51" i="38" s="1"/>
  <c r="AG51" i="38" a="1"/>
  <c r="AG51" i="38" s="1"/>
  <c r="AL51" i="38" s="1"/>
  <c r="AO51" i="38"/>
  <c r="AO27" i="38"/>
  <c r="AG27" i="38" a="1"/>
  <c r="AG27" i="38" s="1"/>
  <c r="AL27" i="38" s="1"/>
  <c r="I17" i="38" a="1"/>
  <c r="I17" i="38" s="1"/>
  <c r="AN13" i="38" a="1"/>
  <c r="AN13" i="38" s="1"/>
  <c r="AG13" i="38" a="1"/>
  <c r="AG13" i="38" s="1"/>
  <c r="AL13" i="38" s="1"/>
  <c r="AO56" i="38"/>
  <c r="AN18" i="38" a="1"/>
  <c r="AN18" i="38" s="1"/>
  <c r="AG18" i="38" a="1"/>
  <c r="AG18" i="38" s="1"/>
  <c r="AL18" i="38" s="1"/>
  <c r="AO17" i="38"/>
  <c r="AG16" i="38" a="1"/>
  <c r="AG16" i="38" s="1"/>
  <c r="AL16" i="38" s="1"/>
  <c r="AO16" i="38"/>
  <c r="AG53" i="38" a="1"/>
  <c r="AG53" i="38" s="1"/>
  <c r="AL53" i="38" s="1"/>
  <c r="AN19" i="38" a="1"/>
  <c r="AN19" i="38" s="1"/>
  <c r="AO62" i="38"/>
  <c r="AM59" i="38" a="1"/>
  <c r="AM59" i="38" s="1"/>
  <c r="AO52" i="38"/>
  <c r="AG14" i="38" a="1"/>
  <c r="AG14" i="38" s="1"/>
  <c r="AL14" i="38" s="1"/>
  <c r="AG58" i="38" a="1"/>
  <c r="AG58" i="38" s="1"/>
  <c r="AL58" i="38" s="1"/>
  <c r="AO24" i="38"/>
  <c r="BA96" i="38" l="1"/>
  <c r="BF96" i="38" s="1"/>
  <c r="AY86" i="38" a="1"/>
  <c r="AY86" i="38" s="1"/>
  <c r="AZ86" i="38" s="1"/>
  <c r="AU132" i="38"/>
  <c r="AV132" i="38" s="1" a="1"/>
  <c r="AV132" i="38" s="1"/>
  <c r="AX132" i="38" s="1"/>
  <c r="AP39" i="38"/>
  <c r="BK39" i="38" s="1"/>
  <c r="AV39" i="38" a="1"/>
  <c r="AV39" i="38" s="1"/>
  <c r="AX39" i="38" s="1"/>
  <c r="BA39" i="38" s="1"/>
  <c r="BM39" i="38"/>
  <c r="AU129" i="38"/>
  <c r="AV129" i="38" s="1" a="1"/>
  <c r="AV129" i="38" s="1"/>
  <c r="AX129" i="38" s="1"/>
  <c r="AP36" i="38"/>
  <c r="AU126" i="38"/>
  <c r="AV126" i="38" s="1" a="1"/>
  <c r="AV126" i="38" s="1"/>
  <c r="AX126" i="38" s="1"/>
  <c r="BM36" i="38"/>
  <c r="AV36" i="38" a="1"/>
  <c r="AV36" i="38" s="1"/>
  <c r="AX36" i="38" s="1"/>
  <c r="AV66" i="38" a="1"/>
  <c r="AV66" i="38" s="1"/>
  <c r="AX66" i="38" s="1"/>
  <c r="BA66" i="38" s="1"/>
  <c r="BF66" i="38" s="1"/>
  <c r="AU117" i="38"/>
  <c r="AV117" i="38" s="1" a="1"/>
  <c r="AV117" i="38" s="1"/>
  <c r="AX117" i="38" s="1"/>
  <c r="BA117" i="38" s="1"/>
  <c r="AV108" i="38" a="1"/>
  <c r="AV108" i="38" s="1"/>
  <c r="AX108" i="38" s="1"/>
  <c r="BA108" i="38" s="1"/>
  <c r="BM108" i="38"/>
  <c r="BM96" i="38"/>
  <c r="AY82" i="38" a="1"/>
  <c r="AY82" i="38" s="1"/>
  <c r="AZ82" i="38" s="1"/>
  <c r="BM89" i="38"/>
  <c r="AU67" i="38"/>
  <c r="AV67" i="38" s="1" a="1"/>
  <c r="AV67" i="38" s="1"/>
  <c r="AX67" i="38" s="1"/>
  <c r="BA67" i="38" s="1"/>
  <c r="BF67" i="38" s="1"/>
  <c r="AU161" i="38"/>
  <c r="AV161" i="38" s="1" a="1"/>
  <c r="AV161" i="38" s="1"/>
  <c r="AX161" i="38" s="1"/>
  <c r="BM145" i="38"/>
  <c r="AV145" i="38" a="1"/>
  <c r="AV145" i="38" s="1"/>
  <c r="AX145" i="38" s="1"/>
  <c r="AY65" i="38" a="1"/>
  <c r="AY65" i="38" s="1"/>
  <c r="AZ65" i="38" s="1"/>
  <c r="AV171" i="38" a="1"/>
  <c r="AV171" i="38" s="1"/>
  <c r="AX171" i="38" s="1"/>
  <c r="BA171" i="38" s="1"/>
  <c r="AU156" i="38"/>
  <c r="AV156" i="38" s="1" a="1"/>
  <c r="AV156" i="38" s="1"/>
  <c r="AX156" i="38" s="1"/>
  <c r="BA156" i="38" s="1"/>
  <c r="AY145" i="38" a="1"/>
  <c r="AY145" i="38" s="1"/>
  <c r="AZ145" i="38" s="1"/>
  <c r="AU27" i="38"/>
  <c r="BM27" i="38" s="1"/>
  <c r="AU100" i="38"/>
  <c r="AP171" i="38"/>
  <c r="BK171" i="38" s="1"/>
  <c r="AY114" i="38" a="1"/>
  <c r="AY114" i="38" s="1"/>
  <c r="AZ114" i="38" s="1"/>
  <c r="AY176" i="38" a="1"/>
  <c r="AY176" i="38" s="1"/>
  <c r="AZ176" i="38" s="1"/>
  <c r="AU176" i="38"/>
  <c r="AU24" i="38"/>
  <c r="AV24" i="38" s="1" a="1"/>
  <c r="AV24" i="38" s="1"/>
  <c r="AX24" i="38" s="1"/>
  <c r="AU135" i="38"/>
  <c r="AY135" i="38" a="1"/>
  <c r="AY135" i="38" s="1"/>
  <c r="AZ135" i="38" s="1"/>
  <c r="BM170" i="38"/>
  <c r="AV170" i="38" a="1"/>
  <c r="AV170" i="38" s="1"/>
  <c r="AX170" i="38" s="1"/>
  <c r="BA170" i="38" s="1"/>
  <c r="BF170" i="38" s="1"/>
  <c r="AY14" i="38" a="1"/>
  <c r="AY14" i="38" s="1"/>
  <c r="AZ14" i="38" s="1"/>
  <c r="AP128" i="38"/>
  <c r="BD128" i="38" s="1"/>
  <c r="AP19" i="38"/>
  <c r="BD19" i="38" s="1"/>
  <c r="AY85" i="38" a="1"/>
  <c r="AY85" i="38" s="1"/>
  <c r="AZ85" i="38" s="1"/>
  <c r="AU85" i="38"/>
  <c r="AP63" i="38"/>
  <c r="BK63" i="38" s="1"/>
  <c r="AP175" i="38"/>
  <c r="BD175" i="38" s="1"/>
  <c r="AP113" i="38"/>
  <c r="BD113" i="38" s="1"/>
  <c r="AP60" i="38"/>
  <c r="BK60" i="38" s="1"/>
  <c r="AP82" i="38"/>
  <c r="BD82" i="38" s="1"/>
  <c r="AP162" i="38"/>
  <c r="BK162" i="38" s="1"/>
  <c r="AP138" i="38"/>
  <c r="BD138" i="38" s="1"/>
  <c r="AP157" i="38"/>
  <c r="BK157" i="38" s="1"/>
  <c r="AP149" i="38"/>
  <c r="BK149" i="38" s="1"/>
  <c r="AP56" i="38"/>
  <c r="BK56" i="38" s="1"/>
  <c r="AP131" i="38"/>
  <c r="BD131" i="38" s="1"/>
  <c r="AP164" i="38"/>
  <c r="BK164" i="38" s="1"/>
  <c r="AP62" i="38"/>
  <c r="BD62" i="38" s="1"/>
  <c r="AP184" i="38"/>
  <c r="BK184" i="38" s="1"/>
  <c r="AP17" i="38"/>
  <c r="BK17" i="38" s="1"/>
  <c r="AP117" i="38"/>
  <c r="BK117" i="38" s="1"/>
  <c r="AP93" i="38"/>
  <c r="BK93" i="38" s="1"/>
  <c r="AP99" i="38"/>
  <c r="BK99" i="38" s="1"/>
  <c r="AP135" i="38"/>
  <c r="BD135" i="38" s="1"/>
  <c r="AP67" i="38"/>
  <c r="AP134" i="38"/>
  <c r="BD134" i="38" s="1"/>
  <c r="AP126" i="38"/>
  <c r="BD126" i="38" s="1"/>
  <c r="AP96" i="38"/>
  <c r="BK96" i="38" s="1"/>
  <c r="AP54" i="38"/>
  <c r="BD54" i="38" s="1"/>
  <c r="AP88" i="38"/>
  <c r="AP159" i="38"/>
  <c r="AP53" i="38"/>
  <c r="AP57" i="38"/>
  <c r="AP91" i="38"/>
  <c r="AP94" i="38"/>
  <c r="AP114" i="38"/>
  <c r="AP123" i="38"/>
  <c r="AP61" i="38"/>
  <c r="AP50" i="38"/>
  <c r="AP148" i="38"/>
  <c r="AP137" i="38"/>
  <c r="AP59" i="38"/>
  <c r="AP129" i="38"/>
  <c r="AP27" i="38"/>
  <c r="AV19" i="38" a="1"/>
  <c r="AV19" i="38" s="1"/>
  <c r="AX19" i="38" s="1"/>
  <c r="BA19" i="38" s="1"/>
  <c r="BM19" i="38"/>
  <c r="AP14" i="38"/>
  <c r="AU120" i="38"/>
  <c r="AY120" i="38" a="1"/>
  <c r="AY120" i="38" s="1"/>
  <c r="AZ120" i="38" s="1"/>
  <c r="AU93" i="38"/>
  <c r="AU90" i="38"/>
  <c r="AY90" i="38" a="1"/>
  <c r="AY90" i="38" s="1"/>
  <c r="AZ90" i="38" s="1"/>
  <c r="AP85" i="38"/>
  <c r="AY177" i="38" a="1"/>
  <c r="AY177" i="38" s="1"/>
  <c r="AZ177" i="38" s="1"/>
  <c r="AU177" i="38"/>
  <c r="AP55" i="38"/>
  <c r="AP24" i="38"/>
  <c r="AP100" i="38"/>
  <c r="AP58" i="38"/>
  <c r="AU91" i="38"/>
  <c r="AY91" i="38" a="1"/>
  <c r="AY91" i="38" s="1"/>
  <c r="AZ91" i="38" s="1"/>
  <c r="AP38" i="38"/>
  <c r="AP132" i="38"/>
  <c r="BM149" i="38"/>
  <c r="AV149" i="38" a="1"/>
  <c r="AV149" i="38" s="1"/>
  <c r="AX149" i="38" s="1"/>
  <c r="BA149" i="38" s="1"/>
  <c r="BM86" i="38"/>
  <c r="AV86" i="38" a="1"/>
  <c r="AV86" i="38" s="1"/>
  <c r="AX86" i="38" s="1"/>
  <c r="AP89" i="38"/>
  <c r="AP18" i="38"/>
  <c r="AV20" i="38" a="1"/>
  <c r="AV20" i="38" s="1"/>
  <c r="AX20" i="38" s="1"/>
  <c r="BA20" i="38" s="1"/>
  <c r="BM20" i="38"/>
  <c r="AU94" i="38"/>
  <c r="AY94" i="38" a="1"/>
  <c r="AY94" i="38" s="1"/>
  <c r="AZ94" i="38" s="1"/>
  <c r="AP13" i="38"/>
  <c r="AY167" i="38" a="1"/>
  <c r="AY167" i="38" s="1"/>
  <c r="AZ167" i="38" s="1"/>
  <c r="AU167" i="38"/>
  <c r="BM65" i="38"/>
  <c r="AV65" i="38" a="1"/>
  <c r="AV65" i="38" s="1"/>
  <c r="AX65" i="38" s="1"/>
  <c r="AP86" i="38"/>
  <c r="AP51" i="38"/>
  <c r="AP119" i="38"/>
  <c r="AU97" i="38"/>
  <c r="AY97" i="38" a="1"/>
  <c r="AY97" i="38" s="1"/>
  <c r="AZ97" i="38" s="1"/>
  <c r="AP167" i="38"/>
  <c r="AP16" i="38"/>
  <c r="AP64" i="38"/>
  <c r="AP120" i="38"/>
  <c r="BA184" i="38"/>
  <c r="AP97" i="38"/>
  <c r="AU162" i="38"/>
  <c r="AY162" i="38" a="1"/>
  <c r="AY162" i="38" s="1"/>
  <c r="AZ162" i="38" s="1"/>
  <c r="BM14" i="38"/>
  <c r="AV14" i="38" a="1"/>
  <c r="AV14" i="38" s="1"/>
  <c r="AX14" i="38" s="1"/>
  <c r="AP65" i="38"/>
  <c r="AY157" i="38" a="1"/>
  <c r="AY157" i="38" s="1"/>
  <c r="AZ157" i="38" s="1"/>
  <c r="AU157" i="38"/>
  <c r="BA89" i="38"/>
  <c r="AP81" i="38"/>
  <c r="AP26" i="38"/>
  <c r="AP52" i="38"/>
  <c r="AU138" i="38"/>
  <c r="AY138" i="38" a="1"/>
  <c r="AY138" i="38" s="1"/>
  <c r="AZ138" i="38" s="1"/>
  <c r="AP122" i="38"/>
  <c r="AP176" i="38"/>
  <c r="I19" i="43"/>
  <c r="AT131" i="38" s="1" a="1"/>
  <c r="AT131" i="38" s="1"/>
  <c r="U19" i="43"/>
  <c r="BM129" i="38" l="1"/>
  <c r="BM132" i="38"/>
  <c r="BD39" i="38"/>
  <c r="BF39" i="38"/>
  <c r="BB39" i="38"/>
  <c r="BM126" i="38"/>
  <c r="BD36" i="38"/>
  <c r="BK36" i="38"/>
  <c r="BA36" i="38"/>
  <c r="BM156" i="38"/>
  <c r="BM117" i="38"/>
  <c r="BF108" i="38"/>
  <c r="BM24" i="38"/>
  <c r="BM161" i="38"/>
  <c r="BM67" i="38"/>
  <c r="BD171" i="38"/>
  <c r="BD63" i="38"/>
  <c r="BK54" i="38"/>
  <c r="BK175" i="38"/>
  <c r="BK19" i="38"/>
  <c r="AV27" i="38" a="1"/>
  <c r="AV27" i="38" s="1"/>
  <c r="AX27" i="38" s="1"/>
  <c r="BA27" i="38" s="1"/>
  <c r="BF27" i="38" s="1"/>
  <c r="BA145" i="38"/>
  <c r="BF145" i="38" s="1"/>
  <c r="BK128" i="38"/>
  <c r="BM85" i="38"/>
  <c r="AV85" i="38" a="1"/>
  <c r="AV85" i="38" s="1"/>
  <c r="AX85" i="38" s="1"/>
  <c r="BA85" i="38" s="1"/>
  <c r="BF85" i="38" s="1"/>
  <c r="AV176" i="38" a="1"/>
  <c r="AV176" i="38" s="1"/>
  <c r="AX176" i="38" s="1"/>
  <c r="BA176" i="38" s="1"/>
  <c r="BB176" i="38" s="1"/>
  <c r="BM176" i="38"/>
  <c r="BM135" i="38"/>
  <c r="AV135" i="38" a="1"/>
  <c r="AV135" i="38" s="1"/>
  <c r="AX135" i="38" s="1"/>
  <c r="BA135" i="38" s="1"/>
  <c r="BF135" i="38" s="1"/>
  <c r="BB171" i="38"/>
  <c r="BL171" i="38" s="1" a="1"/>
  <c r="BL171" i="38" s="1"/>
  <c r="BD162" i="38"/>
  <c r="BK82" i="38"/>
  <c r="BB67" i="38"/>
  <c r="BN67" i="38" s="1" a="1"/>
  <c r="BN67" i="38" s="1"/>
  <c r="BO67" i="38" s="1"/>
  <c r="BK113" i="38"/>
  <c r="BD67" i="38"/>
  <c r="BD60" i="38"/>
  <c r="BB149" i="38"/>
  <c r="BE149" i="38" s="1" a="1"/>
  <c r="BE149" i="38" s="1"/>
  <c r="BK67" i="38"/>
  <c r="BD56" i="38"/>
  <c r="BD157" i="38"/>
  <c r="BK131" i="38"/>
  <c r="BK138" i="38"/>
  <c r="BD149" i="38"/>
  <c r="BD184" i="38"/>
  <c r="BD117" i="38"/>
  <c r="BD17" i="38"/>
  <c r="BK135" i="38"/>
  <c r="BK134" i="38"/>
  <c r="BD99" i="38"/>
  <c r="BD164" i="38"/>
  <c r="BK62" i="38"/>
  <c r="BB96" i="38"/>
  <c r="BC96" i="38" s="1" a="1"/>
  <c r="BC96" i="38" s="1"/>
  <c r="BB117" i="38"/>
  <c r="BG117" i="38" s="1" a="1"/>
  <c r="BG117" i="38" s="1"/>
  <c r="BH117" i="38" s="1"/>
  <c r="BD93" i="38"/>
  <c r="BD96" i="38"/>
  <c r="BK126" i="38"/>
  <c r="BA86" i="38"/>
  <c r="BB86" i="38" s="1"/>
  <c r="BF19" i="38"/>
  <c r="BB19" i="38"/>
  <c r="AV167" i="38" a="1"/>
  <c r="AV167" i="38" s="1"/>
  <c r="AX167" i="38" s="1"/>
  <c r="BM167" i="38"/>
  <c r="BK50" i="38"/>
  <c r="BD50" i="38"/>
  <c r="BA14" i="38"/>
  <c r="BB14" i="38" s="1"/>
  <c r="BD65" i="38"/>
  <c r="BK65" i="38"/>
  <c r="BA132" i="38"/>
  <c r="BB132" i="38" s="1"/>
  <c r="BK119" i="38"/>
  <c r="BD119" i="38"/>
  <c r="BD94" i="38"/>
  <c r="BK94" i="38"/>
  <c r="BD122" i="38"/>
  <c r="BK122" i="38"/>
  <c r="BD13" i="38"/>
  <c r="BK13" i="38"/>
  <c r="BF20" i="38"/>
  <c r="BF149" i="38"/>
  <c r="BK38" i="38"/>
  <c r="BD38" i="38"/>
  <c r="BK24" i="38"/>
  <c r="BD24" i="38"/>
  <c r="AV177" i="38" a="1"/>
  <c r="AV177" i="38" s="1"/>
  <c r="AX177" i="38" s="1"/>
  <c r="BM177" i="38"/>
  <c r="AV90" i="38" a="1"/>
  <c r="AV90" i="38" s="1"/>
  <c r="AX90" i="38" s="1"/>
  <c r="BM90" i="38"/>
  <c r="BD27" i="38"/>
  <c r="BK27" i="38"/>
  <c r="BK114" i="38"/>
  <c r="BD114" i="38"/>
  <c r="BD52" i="38"/>
  <c r="BK52" i="38"/>
  <c r="BF156" i="38"/>
  <c r="BF89" i="38"/>
  <c r="BD97" i="38"/>
  <c r="BK97" i="38"/>
  <c r="BD85" i="38"/>
  <c r="BK85" i="38"/>
  <c r="BM157" i="38"/>
  <c r="AV157" i="38" a="1"/>
  <c r="AV157" i="38" s="1"/>
  <c r="AX157" i="38" s="1"/>
  <c r="BF184" i="38"/>
  <c r="BA161" i="38"/>
  <c r="BM94" i="38"/>
  <c r="AV94" i="38" a="1"/>
  <c r="AV94" i="38" s="1"/>
  <c r="AX94" i="38" s="1"/>
  <c r="BK120" i="38"/>
  <c r="BD120" i="38"/>
  <c r="BD167" i="38"/>
  <c r="BK167" i="38"/>
  <c r="BD51" i="38"/>
  <c r="BK51" i="38"/>
  <c r="BK86" i="38"/>
  <c r="BD86" i="38"/>
  <c r="BB184" i="38"/>
  <c r="BK129" i="38"/>
  <c r="BD129" i="38"/>
  <c r="BA129" i="38"/>
  <c r="BD26" i="38"/>
  <c r="BK26" i="38"/>
  <c r="BD91" i="38"/>
  <c r="BK91" i="38"/>
  <c r="BK159" i="38"/>
  <c r="BD159" i="38"/>
  <c r="BF171" i="38"/>
  <c r="BK64" i="38"/>
  <c r="BD64" i="38"/>
  <c r="BM91" i="38"/>
  <c r="AV91" i="38" a="1"/>
  <c r="AV91" i="38" s="1"/>
  <c r="AX91" i="38" s="1"/>
  <c r="BK14" i="38"/>
  <c r="BD14" i="38"/>
  <c r="BK148" i="38"/>
  <c r="BD148" i="38"/>
  <c r="BA24" i="38"/>
  <c r="BB24" i="38" s="1"/>
  <c r="BA126" i="38"/>
  <c r="BK137" i="38"/>
  <c r="BD137" i="38"/>
  <c r="BK61" i="38"/>
  <c r="BD61" i="38"/>
  <c r="BD57" i="38"/>
  <c r="BK57" i="38"/>
  <c r="BK81" i="38"/>
  <c r="BD81" i="38"/>
  <c r="BD18" i="38"/>
  <c r="BK18" i="38"/>
  <c r="BK100" i="38"/>
  <c r="BD100" i="38"/>
  <c r="BK59" i="38"/>
  <c r="BD59" i="38"/>
  <c r="BK88" i="38"/>
  <c r="BD88" i="38"/>
  <c r="BK176" i="38"/>
  <c r="BD176" i="38"/>
  <c r="BM138" i="38"/>
  <c r="AV138" i="38" a="1"/>
  <c r="AV138" i="38" s="1"/>
  <c r="AX138" i="38" s="1"/>
  <c r="BK16" i="38"/>
  <c r="BD16" i="38"/>
  <c r="BM97" i="38"/>
  <c r="AV97" i="38" a="1"/>
  <c r="AV97" i="38" s="1"/>
  <c r="AX97" i="38" s="1"/>
  <c r="BD58" i="38"/>
  <c r="BK58" i="38"/>
  <c r="BK55" i="38"/>
  <c r="BD55" i="38"/>
  <c r="BF117" i="38"/>
  <c r="BD123" i="38"/>
  <c r="BK123" i="38"/>
  <c r="BD53" i="38"/>
  <c r="BK53" i="38"/>
  <c r="BM162" i="38"/>
  <c r="AV162" i="38" a="1"/>
  <c r="AV162" i="38" s="1"/>
  <c r="AX162" i="38" s="1"/>
  <c r="BA65" i="38"/>
  <c r="BB65" i="38" s="1"/>
  <c r="BB89" i="38"/>
  <c r="BD89" i="38"/>
  <c r="BK89" i="38"/>
  <c r="BK132" i="38"/>
  <c r="BD132" i="38"/>
  <c r="BM120" i="38"/>
  <c r="AV120" i="38" a="1"/>
  <c r="AV120" i="38" s="1"/>
  <c r="AX120" i="38" s="1"/>
  <c r="I18" i="43"/>
  <c r="U18" i="43"/>
  <c r="I17" i="43"/>
  <c r="AT88" i="38" s="1" a="1"/>
  <c r="AT88" i="38" s="1"/>
  <c r="AU88" i="38" s="1"/>
  <c r="U17" i="43"/>
  <c r="BG39" i="38" l="1" a="1"/>
  <c r="BG39" i="38" s="1"/>
  <c r="BH39" i="38" s="1"/>
  <c r="BN39" i="38" a="1"/>
  <c r="BN39" i="38" s="1"/>
  <c r="BO39" i="38" s="1"/>
  <c r="BL39" i="38" a="1"/>
  <c r="BL39" i="38" s="1"/>
  <c r="BC39" i="38" a="1"/>
  <c r="BC39" i="38" s="1"/>
  <c r="BE39" i="38" a="1"/>
  <c r="BE39" i="38" s="1"/>
  <c r="BJ39" i="38" a="1"/>
  <c r="BJ39" i="38" s="1"/>
  <c r="BF36" i="38"/>
  <c r="BB36" i="38"/>
  <c r="BE171" i="38" a="1"/>
  <c r="BE171" i="38" s="1"/>
  <c r="BC171" i="38" a="1"/>
  <c r="BC171" i="38" s="1"/>
  <c r="BJ67" i="38" a="1"/>
  <c r="BJ67" i="38" s="1"/>
  <c r="BG67" i="38" a="1"/>
  <c r="BG67" i="38" s="1"/>
  <c r="BH67" i="38" s="1"/>
  <c r="BC67" i="38" a="1"/>
  <c r="BC67" i="38" s="1"/>
  <c r="BB85" i="38"/>
  <c r="BG85" i="38" s="1" a="1"/>
  <c r="BG85" i="38" s="1"/>
  <c r="BH85" i="38" s="1"/>
  <c r="BI85" i="38" s="1"/>
  <c r="BE67" i="38" a="1"/>
  <c r="BE67" i="38" s="1"/>
  <c r="BL67" i="38" a="1"/>
  <c r="BL67" i="38" s="1"/>
  <c r="BG171" i="38" a="1"/>
  <c r="BG171" i="38" s="1"/>
  <c r="BH171" i="38" s="1"/>
  <c r="BI171" i="38" s="1"/>
  <c r="BJ171" i="38" a="1"/>
  <c r="BJ171" i="38" s="1"/>
  <c r="BN171" i="38" a="1"/>
  <c r="BN171" i="38" s="1"/>
  <c r="BO171" i="38" s="1"/>
  <c r="BB27" i="38"/>
  <c r="BJ27" i="38" s="1" a="1"/>
  <c r="BJ27" i="38" s="1"/>
  <c r="BF176" i="38"/>
  <c r="BB135" i="38"/>
  <c r="BE135" i="38" s="1" a="1"/>
  <c r="BE135" i="38" s="1"/>
  <c r="BC149" i="38" a="1"/>
  <c r="BC149" i="38" s="1"/>
  <c r="BN96" i="38" a="1"/>
  <c r="BN96" i="38" s="1"/>
  <c r="BO96" i="38" s="1"/>
  <c r="BL96" i="38" a="1"/>
  <c r="BL96" i="38" s="1"/>
  <c r="BJ96" i="38" a="1"/>
  <c r="BJ96" i="38" s="1"/>
  <c r="BG149" i="38" a="1"/>
  <c r="BG149" i="38" s="1"/>
  <c r="BH149" i="38" s="1"/>
  <c r="BJ149" i="38" a="1"/>
  <c r="BJ149" i="38" s="1"/>
  <c r="BG96" i="38" a="1"/>
  <c r="BG96" i="38" s="1"/>
  <c r="BH96" i="38" s="1"/>
  <c r="BL149" i="38" a="1"/>
  <c r="BL149" i="38" s="1"/>
  <c r="BN149" i="38" a="1"/>
  <c r="BN149" i="38" s="1"/>
  <c r="BO149" i="38" s="1"/>
  <c r="BE96" i="38" a="1"/>
  <c r="BE96" i="38" s="1"/>
  <c r="BE117" i="38" a="1"/>
  <c r="BE117" i="38" s="1"/>
  <c r="BC117" i="38" a="1"/>
  <c r="BC117" i="38" s="1"/>
  <c r="BL117" i="38" a="1"/>
  <c r="BL117" i="38" s="1"/>
  <c r="BA157" i="38"/>
  <c r="BF157" i="38" s="1"/>
  <c r="BA120" i="38"/>
  <c r="BF120" i="38" s="1"/>
  <c r="BJ117" i="38" a="1"/>
  <c r="BJ117" i="38" s="1"/>
  <c r="BN117" i="38" a="1"/>
  <c r="BN117" i="38" s="1"/>
  <c r="BO117" i="38" s="1"/>
  <c r="BF86" i="38"/>
  <c r="BA138" i="38"/>
  <c r="BA177" i="38"/>
  <c r="BA91" i="38"/>
  <c r="BA97" i="38"/>
  <c r="BB97" i="38" s="1"/>
  <c r="BL24" i="38" a="1"/>
  <c r="BL24" i="38" s="1"/>
  <c r="BE24" i="38" a="1"/>
  <c r="BE24" i="38" s="1"/>
  <c r="BC24" i="38" a="1"/>
  <c r="BC24" i="38" s="1"/>
  <c r="BG24" i="38" a="1"/>
  <c r="BG24" i="38" s="1"/>
  <c r="BH24" i="38" s="1"/>
  <c r="BN24" i="38" a="1"/>
  <c r="BN24" i="38" s="1"/>
  <c r="BO24" i="38" s="1"/>
  <c r="BJ24" i="38" a="1"/>
  <c r="BJ24" i="38" s="1"/>
  <c r="BG14" i="38" a="1"/>
  <c r="BG14" i="38" s="1"/>
  <c r="BH14" i="38" s="1"/>
  <c r="BE14" i="38" a="1"/>
  <c r="BE14" i="38" s="1"/>
  <c r="BJ14" i="38" a="1"/>
  <c r="BJ14" i="38" s="1"/>
  <c r="BL14" i="38" a="1"/>
  <c r="BL14" i="38" s="1"/>
  <c r="BN14" i="38" a="1"/>
  <c r="BN14" i="38" s="1"/>
  <c r="BO14" i="38" s="1"/>
  <c r="BC14" i="38" a="1"/>
  <c r="BC14" i="38" s="1"/>
  <c r="BF129" i="38"/>
  <c r="BF65" i="38"/>
  <c r="BA90" i="38"/>
  <c r="BA162" i="38"/>
  <c r="BA94" i="38"/>
  <c r="BF132" i="38"/>
  <c r="BC19" i="38" a="1"/>
  <c r="BC19" i="38" s="1"/>
  <c r="BE19" i="38" a="1"/>
  <c r="BE19" i="38" s="1"/>
  <c r="BG19" i="38" a="1"/>
  <c r="BG19" i="38" s="1"/>
  <c r="BH19" i="38" s="1"/>
  <c r="BL19" i="38" a="1"/>
  <c r="BL19" i="38" s="1"/>
  <c r="BJ19" i="38" a="1"/>
  <c r="BJ19" i="38" s="1"/>
  <c r="BN19" i="38" a="1"/>
  <c r="BN19" i="38" s="1"/>
  <c r="BO19" i="38" s="1"/>
  <c r="BJ132" i="38" a="1"/>
  <c r="BJ132" i="38" s="1"/>
  <c r="BC132" i="38" a="1"/>
  <c r="BC132" i="38" s="1"/>
  <c r="BE132" i="38" a="1"/>
  <c r="BE132" i="38" s="1"/>
  <c r="BG132" i="38" a="1"/>
  <c r="BG132" i="38" s="1"/>
  <c r="BH132" i="38" s="1"/>
  <c r="BL132" i="38" a="1"/>
  <c r="BL132" i="38" s="1"/>
  <c r="BN132" i="38" a="1"/>
  <c r="BN132" i="38" s="1"/>
  <c r="BO132" i="38" s="1"/>
  <c r="BE65" i="38" a="1"/>
  <c r="BE65" i="38" s="1"/>
  <c r="BG65" i="38" a="1"/>
  <c r="BG65" i="38" s="1"/>
  <c r="BH65" i="38" s="1"/>
  <c r="BJ65" i="38" a="1"/>
  <c r="BJ65" i="38" s="1"/>
  <c r="BN65" i="38" a="1"/>
  <c r="BN65" i="38" s="1"/>
  <c r="BO65" i="38" s="1"/>
  <c r="BC65" i="38" a="1"/>
  <c r="BC65" i="38" s="1"/>
  <c r="BL65" i="38" a="1"/>
  <c r="BL65" i="38" s="1"/>
  <c r="BC176" i="38" a="1"/>
  <c r="BC176" i="38" s="1"/>
  <c r="BE176" i="38" a="1"/>
  <c r="BE176" i="38" s="1"/>
  <c r="BN176" i="38" a="1"/>
  <c r="BN176" i="38" s="1"/>
  <c r="BO176" i="38" s="1"/>
  <c r="BJ176" i="38" a="1"/>
  <c r="BJ176" i="38" s="1"/>
  <c r="BL176" i="38" a="1"/>
  <c r="BL176" i="38" s="1"/>
  <c r="BG176" i="38" a="1"/>
  <c r="BG176" i="38" s="1"/>
  <c r="BH176" i="38" s="1"/>
  <c r="BB129" i="38"/>
  <c r="BF14" i="38"/>
  <c r="BG86" i="38" a="1"/>
  <c r="BG86" i="38" s="1"/>
  <c r="BH86" i="38" s="1"/>
  <c r="BC86" i="38" a="1"/>
  <c r="BC86" i="38" s="1"/>
  <c r="BL86" i="38" a="1"/>
  <c r="BL86" i="38" s="1"/>
  <c r="BE86" i="38" a="1"/>
  <c r="BE86" i="38" s="1"/>
  <c r="BJ86" i="38" a="1"/>
  <c r="BJ86" i="38" s="1"/>
  <c r="BN86" i="38" a="1"/>
  <c r="BN86" i="38" s="1"/>
  <c r="BO86" i="38" s="1"/>
  <c r="BJ89" i="38" a="1"/>
  <c r="BJ89" i="38" s="1"/>
  <c r="BC89" i="38" a="1"/>
  <c r="BC89" i="38" s="1"/>
  <c r="BN89" i="38" a="1"/>
  <c r="BN89" i="38" s="1"/>
  <c r="BO89" i="38" s="1"/>
  <c r="BE89" i="38" a="1"/>
  <c r="BE89" i="38" s="1"/>
  <c r="BG89" i="38" a="1"/>
  <c r="BG89" i="38" s="1"/>
  <c r="BH89" i="38" s="1"/>
  <c r="BI89" i="38" s="1"/>
  <c r="BL89" i="38" a="1"/>
  <c r="BL89" i="38" s="1"/>
  <c r="BI117" i="38"/>
  <c r="BE184" i="38" a="1"/>
  <c r="BE184" i="38" s="1"/>
  <c r="BN184" i="38" a="1"/>
  <c r="BN184" i="38" s="1"/>
  <c r="BO184" i="38" s="1"/>
  <c r="BG184" i="38" a="1"/>
  <c r="BG184" i="38" s="1"/>
  <c r="BH184" i="38" s="1"/>
  <c r="BI184" i="38" s="1"/>
  <c r="BL184" i="38" a="1"/>
  <c r="BL184" i="38" s="1"/>
  <c r="BC184" i="38" a="1"/>
  <c r="BC184" i="38" s="1"/>
  <c r="BJ184" i="38" a="1"/>
  <c r="BJ184" i="38" s="1"/>
  <c r="BF126" i="38"/>
  <c r="BB126" i="38"/>
  <c r="BF24" i="38"/>
  <c r="BF161" i="38"/>
  <c r="BA167" i="38"/>
  <c r="I16" i="43"/>
  <c r="U16" i="43"/>
  <c r="BI39" i="38" l="1"/>
  <c r="BL36" i="38" a="1"/>
  <c r="BL36" i="38" s="1"/>
  <c r="BC36" i="38" a="1"/>
  <c r="BC36" i="38" s="1"/>
  <c r="BG36" i="38" a="1"/>
  <c r="BG36" i="38" s="1"/>
  <c r="BH36" i="38" s="1"/>
  <c r="BE36" i="38" a="1"/>
  <c r="BE36" i="38" s="1"/>
  <c r="BJ36" i="38" a="1"/>
  <c r="BJ36" i="38" s="1"/>
  <c r="BN36" i="38" a="1"/>
  <c r="BN36" i="38" s="1"/>
  <c r="BO36" i="38" s="1"/>
  <c r="BJ85" i="38" a="1"/>
  <c r="BJ85" i="38" s="1"/>
  <c r="BI67" i="38"/>
  <c r="BP67" i="38" s="1" a="1"/>
  <c r="BP67" i="38" s="1"/>
  <c r="BR67" i="38" s="1"/>
  <c r="BC85" i="38" a="1"/>
  <c r="BC85" i="38" s="1"/>
  <c r="BE85" i="38" a="1"/>
  <c r="BE85" i="38" s="1"/>
  <c r="BL85" i="38" a="1"/>
  <c r="BL85" i="38" s="1"/>
  <c r="BN85" i="38" a="1"/>
  <c r="BN85" i="38" s="1"/>
  <c r="BO85" i="38" s="1"/>
  <c r="BJ135" i="38" a="1"/>
  <c r="BJ135" i="38" s="1"/>
  <c r="BE27" i="38" a="1"/>
  <c r="BE27" i="38" s="1"/>
  <c r="BL135" i="38" a="1"/>
  <c r="BL135" i="38" s="1"/>
  <c r="BN27" i="38" a="1"/>
  <c r="BN27" i="38" s="1"/>
  <c r="BO27" i="38" s="1"/>
  <c r="BG27" i="38" a="1"/>
  <c r="BG27" i="38" s="1"/>
  <c r="BH27" i="38" s="1"/>
  <c r="BC135" i="38" a="1"/>
  <c r="BC135" i="38" s="1"/>
  <c r="BL27" i="38" a="1"/>
  <c r="BL27" i="38" s="1"/>
  <c r="BC27" i="38" a="1"/>
  <c r="BC27" i="38" s="1"/>
  <c r="BN135" i="38" a="1"/>
  <c r="BN135" i="38" s="1"/>
  <c r="BO135" i="38" s="1"/>
  <c r="BG135" i="38" a="1"/>
  <c r="BG135" i="38" s="1"/>
  <c r="BH135" i="38" s="1"/>
  <c r="BI149" i="38"/>
  <c r="BP149" i="38" s="1" a="1"/>
  <c r="BP149" i="38" s="1"/>
  <c r="BR149" i="38" s="1"/>
  <c r="BI96" i="38"/>
  <c r="BP96" i="38" s="1" a="1"/>
  <c r="BP96" i="38" s="1"/>
  <c r="BR96" i="38" s="1"/>
  <c r="BB157" i="38"/>
  <c r="BE157" i="38" s="1" a="1"/>
  <c r="BE157" i="38" s="1"/>
  <c r="BB120" i="38"/>
  <c r="BG120" i="38" s="1" a="1"/>
  <c r="BG120" i="38" s="1"/>
  <c r="BH120" i="38" s="1"/>
  <c r="BF177" i="38"/>
  <c r="BB138" i="38"/>
  <c r="BG138" i="38" s="1" a="1"/>
  <c r="BG138" i="38" s="1"/>
  <c r="BH138" i="38" s="1"/>
  <c r="BN97" i="38" a="1"/>
  <c r="BN97" i="38" s="1"/>
  <c r="BO97" i="38" s="1"/>
  <c r="BF138" i="38"/>
  <c r="BC97" i="38" a="1"/>
  <c r="BC97" i="38" s="1"/>
  <c r="BG97" i="38" a="1"/>
  <c r="BG97" i="38" s="1"/>
  <c r="BH97" i="38" s="1"/>
  <c r="BJ97" i="38" a="1"/>
  <c r="BJ97" i="38" s="1"/>
  <c r="BL97" i="38" a="1"/>
  <c r="BL97" i="38" s="1"/>
  <c r="BF97" i="38"/>
  <c r="BE97" i="38" a="1"/>
  <c r="BE97" i="38" s="1"/>
  <c r="BB91" i="38"/>
  <c r="BJ91" i="38" s="1" a="1"/>
  <c r="BJ91" i="38" s="1"/>
  <c r="BI132" i="38"/>
  <c r="BP132" i="38" s="1" a="1"/>
  <c r="BP132" i="38" s="1"/>
  <c r="BR132" i="38" s="1"/>
  <c r="BF91" i="38"/>
  <c r="BI24" i="38"/>
  <c r="BP24" i="38" s="1" a="1"/>
  <c r="BP24" i="38" s="1"/>
  <c r="BR24" i="38" s="1"/>
  <c r="BS24" i="38" s="1"/>
  <c r="BT24" i="38" s="1"/>
  <c r="BI86" i="38"/>
  <c r="BP86" i="38" s="1" a="1"/>
  <c r="BP86" i="38" s="1"/>
  <c r="BR86" i="38" s="1"/>
  <c r="BP184" i="38" a="1"/>
  <c r="BP184" i="38" s="1"/>
  <c r="BR184" i="38" s="1"/>
  <c r="BC129" i="38" a="1"/>
  <c r="BC129" i="38" s="1"/>
  <c r="BL129" i="38" a="1"/>
  <c r="BL129" i="38" s="1"/>
  <c r="BN129" i="38" a="1"/>
  <c r="BN129" i="38" s="1"/>
  <c r="BO129" i="38" s="1"/>
  <c r="BE129" i="38" a="1"/>
  <c r="BE129" i="38" s="1"/>
  <c r="BG129" i="38" a="1"/>
  <c r="BG129" i="38" s="1"/>
  <c r="BH129" i="38" s="1"/>
  <c r="BJ129" i="38" a="1"/>
  <c r="BJ129" i="38" s="1"/>
  <c r="BI14" i="38"/>
  <c r="BI19" i="38"/>
  <c r="BF94" i="38"/>
  <c r="BB94" i="38"/>
  <c r="BF162" i="38"/>
  <c r="BB162" i="38"/>
  <c r="BI176" i="38"/>
  <c r="BI65" i="38"/>
  <c r="BP117" i="38" a="1"/>
  <c r="BP117" i="38" s="1"/>
  <c r="BR117" i="38" s="1"/>
  <c r="BF90" i="38"/>
  <c r="BF167" i="38"/>
  <c r="BB167" i="38"/>
  <c r="BP85" i="38" a="1"/>
  <c r="BP85" i="38" s="1"/>
  <c r="BP171" i="38" a="1"/>
  <c r="BP171" i="38" s="1"/>
  <c r="BR171" i="38" s="1"/>
  <c r="BS171" i="38" s="1"/>
  <c r="BT171" i="38" s="1"/>
  <c r="BP89" i="38" a="1"/>
  <c r="BP89" i="38" s="1"/>
  <c r="BR89" i="38" s="1"/>
  <c r="BJ126" i="38" a="1"/>
  <c r="BJ126" i="38" s="1"/>
  <c r="BN126" i="38" a="1"/>
  <c r="BN126" i="38" s="1"/>
  <c r="BO126" i="38" s="1"/>
  <c r="BE126" i="38" a="1"/>
  <c r="BE126" i="38" s="1"/>
  <c r="BC126" i="38" a="1"/>
  <c r="BC126" i="38" s="1"/>
  <c r="BL126" i="38" a="1"/>
  <c r="BL126" i="38" s="1"/>
  <c r="BG126" i="38" a="1"/>
  <c r="BG126" i="38" s="1"/>
  <c r="BH126" i="38" s="1"/>
  <c r="G44" i="204"/>
  <c r="G43" i="204"/>
  <c r="G42" i="204"/>
  <c r="G41" i="204"/>
  <c r="G40" i="204"/>
  <c r="G39" i="204"/>
  <c r="G38" i="204"/>
  <c r="G37" i="204"/>
  <c r="G36" i="204"/>
  <c r="G35" i="204"/>
  <c r="G34" i="204"/>
  <c r="G33" i="204"/>
  <c r="G32" i="204"/>
  <c r="G31" i="204"/>
  <c r="G30" i="204"/>
  <c r="G29" i="204"/>
  <c r="G28" i="204"/>
  <c r="G27" i="204"/>
  <c r="G26" i="204"/>
  <c r="G25" i="204"/>
  <c r="G24" i="204"/>
  <c r="G23" i="204"/>
  <c r="G22" i="204"/>
  <c r="G21" i="204"/>
  <c r="G20" i="204"/>
  <c r="G19" i="204"/>
  <c r="G18" i="204"/>
  <c r="G17" i="204"/>
  <c r="G16" i="204"/>
  <c r="G15" i="204"/>
  <c r="G14" i="204"/>
  <c r="G13" i="204"/>
  <c r="G12" i="204"/>
  <c r="G11" i="204"/>
  <c r="G10" i="204"/>
  <c r="G9" i="204"/>
  <c r="BP39" i="38" l="1" a="1"/>
  <c r="BP39" i="38" s="1"/>
  <c r="BR39" i="38" s="1"/>
  <c r="BI36" i="38"/>
  <c r="BR85" i="38"/>
  <c r="BI135" i="38"/>
  <c r="BP135" i="38" s="1" a="1"/>
  <c r="BP135" i="38" s="1"/>
  <c r="BR135" i="38" s="1"/>
  <c r="BI27" i="38"/>
  <c r="BP27" i="38" s="1" a="1"/>
  <c r="BP27" i="38" s="1"/>
  <c r="BR27" i="38" s="1"/>
  <c r="BL157" i="38" a="1"/>
  <c r="BL157" i="38" s="1"/>
  <c r="BG157" i="38" a="1"/>
  <c r="BG157" i="38" s="1"/>
  <c r="BH157" i="38" s="1"/>
  <c r="BJ157" i="38" a="1"/>
  <c r="BJ157" i="38" s="1"/>
  <c r="BC157" i="38" a="1"/>
  <c r="BC157" i="38" s="1"/>
  <c r="BN157" i="38" a="1"/>
  <c r="BN157" i="38" s="1"/>
  <c r="BO157" i="38" s="1"/>
  <c r="BE120" i="38" a="1"/>
  <c r="BE120" i="38" s="1"/>
  <c r="BN120" i="38" a="1"/>
  <c r="BN120" i="38" s="1"/>
  <c r="BO120" i="38" s="1"/>
  <c r="BJ120" i="38" a="1"/>
  <c r="BJ120" i="38" s="1"/>
  <c r="BE138" i="38" a="1"/>
  <c r="BE138" i="38" s="1"/>
  <c r="BL138" i="38" a="1"/>
  <c r="BL138" i="38" s="1"/>
  <c r="BL120" i="38" a="1"/>
  <c r="BL120" i="38" s="1"/>
  <c r="BC120" i="38" a="1"/>
  <c r="BC120" i="38" s="1"/>
  <c r="BI138" i="38"/>
  <c r="BP138" i="38" s="1" a="1"/>
  <c r="BP138" i="38" s="1"/>
  <c r="BC91" i="38" a="1"/>
  <c r="BC91" i="38" s="1"/>
  <c r="BL91" i="38" a="1"/>
  <c r="BL91" i="38" s="1"/>
  <c r="BC138" i="38" a="1"/>
  <c r="BC138" i="38" s="1"/>
  <c r="BN138" i="38" a="1"/>
  <c r="BN138" i="38" s="1"/>
  <c r="BO138" i="38" s="1"/>
  <c r="BJ138" i="38" a="1"/>
  <c r="BJ138" i="38" s="1"/>
  <c r="BI97" i="38"/>
  <c r="BP97" i="38" s="1" a="1"/>
  <c r="BP97" i="38" s="1"/>
  <c r="BR97" i="38" s="1"/>
  <c r="BN91" i="38" a="1"/>
  <c r="BN91" i="38" s="1"/>
  <c r="BO91" i="38" s="1"/>
  <c r="BE91" i="38" a="1"/>
  <c r="BE91" i="38" s="1"/>
  <c r="BI129" i="38"/>
  <c r="BP129" i="38" s="1" a="1"/>
  <c r="BP129" i="38" s="1"/>
  <c r="BR129" i="38" s="1"/>
  <c r="BG91" i="38" a="1"/>
  <c r="BG91" i="38" s="1"/>
  <c r="BH91" i="38" s="1"/>
  <c r="BI120" i="38"/>
  <c r="BP120" i="38" s="1" a="1"/>
  <c r="BP120" i="38" s="1"/>
  <c r="BS149" i="38"/>
  <c r="BT149" i="38" s="1"/>
  <c r="BS96" i="38"/>
  <c r="BT96" i="38" s="1"/>
  <c r="BS184" i="38"/>
  <c r="BT184" i="38" s="1"/>
  <c r="BS86" i="38"/>
  <c r="BT86" i="38" s="1"/>
  <c r="BS132" i="38"/>
  <c r="BT132" i="38" s="1"/>
  <c r="BC162" i="38" a="1"/>
  <c r="BC162" i="38" s="1"/>
  <c r="BL162" i="38" a="1"/>
  <c r="BL162" i="38" s="1"/>
  <c r="BE162" i="38" a="1"/>
  <c r="BE162" i="38" s="1"/>
  <c r="BG162" i="38" a="1"/>
  <c r="BG162" i="38" s="1"/>
  <c r="BH162" i="38" s="1"/>
  <c r="BJ162" i="38" a="1"/>
  <c r="BJ162" i="38" s="1"/>
  <c r="BN162" i="38" a="1"/>
  <c r="BN162" i="38" s="1"/>
  <c r="BO162" i="38" s="1"/>
  <c r="CC171" i="38" a="1"/>
  <c r="CC171" i="38" s="1"/>
  <c r="BU171" i="38"/>
  <c r="CB171" i="38" a="1"/>
  <c r="CB171" i="38" s="1"/>
  <c r="BC167" i="38" a="1"/>
  <c r="BC167" i="38" s="1"/>
  <c r="BL167" i="38" a="1"/>
  <c r="BL167" i="38" s="1"/>
  <c r="BE167" i="38" a="1"/>
  <c r="BE167" i="38" s="1"/>
  <c r="BJ167" i="38" a="1"/>
  <c r="BJ167" i="38" s="1"/>
  <c r="BG167" i="38" a="1"/>
  <c r="BG167" i="38" s="1"/>
  <c r="BH167" i="38" s="1"/>
  <c r="BN167" i="38" a="1"/>
  <c r="BN167" i="38" s="1"/>
  <c r="BO167" i="38" s="1"/>
  <c r="BL94" i="38" a="1"/>
  <c r="BL94" i="38" s="1"/>
  <c r="BC94" i="38" a="1"/>
  <c r="BC94" i="38" s="1"/>
  <c r="BG94" i="38" a="1"/>
  <c r="BG94" i="38" s="1"/>
  <c r="BH94" i="38" s="1"/>
  <c r="BJ94" i="38" a="1"/>
  <c r="BJ94" i="38" s="1"/>
  <c r="BN94" i="38" a="1"/>
  <c r="BN94" i="38" s="1"/>
  <c r="BO94" i="38" s="1"/>
  <c r="BE94" i="38" a="1"/>
  <c r="BE94" i="38" s="1"/>
  <c r="BS117" i="38"/>
  <c r="BT117" i="38" s="1"/>
  <c r="BP14" i="38" a="1"/>
  <c r="BP14" i="38" s="1"/>
  <c r="BR14" i="38" s="1"/>
  <c r="BP19" i="38" a="1"/>
  <c r="BP19" i="38" s="1"/>
  <c r="BR19" i="38" s="1"/>
  <c r="BS67" i="38"/>
  <c r="BT67" i="38" s="1"/>
  <c r="CC24" i="38" a="1"/>
  <c r="CC24" i="38" s="1"/>
  <c r="BU24" i="38"/>
  <c r="CB24" i="38" a="1"/>
  <c r="CB24" i="38" s="1"/>
  <c r="BS89" i="38"/>
  <c r="BT89" i="38" s="1"/>
  <c r="BP65" i="38" a="1"/>
  <c r="BP65" i="38" s="1"/>
  <c r="BR65" i="38" s="1"/>
  <c r="BS65" i="38" s="1"/>
  <c r="BT65" i="38" s="1"/>
  <c r="BI126" i="38"/>
  <c r="BP176" i="38" a="1"/>
  <c r="BP176" i="38" s="1"/>
  <c r="BR176" i="38" s="1"/>
  <c r="I12" i="43"/>
  <c r="U12" i="43"/>
  <c r="BS39" i="38" l="1"/>
  <c r="BT39" i="38" s="1"/>
  <c r="BP36" i="38" a="1"/>
  <c r="BP36" i="38" s="1"/>
  <c r="BR36" i="38" s="1"/>
  <c r="BS85" i="38"/>
  <c r="BT85" i="38" s="1"/>
  <c r="CB85" i="38" s="1" a="1"/>
  <c r="CB85" i="38" s="1"/>
  <c r="DQ85" i="38" s="1"/>
  <c r="BI157" i="38"/>
  <c r="BP157" i="38" s="1" a="1"/>
  <c r="BP157" i="38" s="1"/>
  <c r="BR157" i="38" s="1"/>
  <c r="BS27" i="38"/>
  <c r="BT27" i="38" s="1"/>
  <c r="BU27" i="38" s="1"/>
  <c r="BS135" i="38"/>
  <c r="BT135" i="38" s="1"/>
  <c r="CC135" i="38" s="1" a="1"/>
  <c r="CC135" i="38" s="1"/>
  <c r="BR120" i="38"/>
  <c r="BS120" i="38" s="1"/>
  <c r="BT120" i="38" s="1"/>
  <c r="CC120" i="38" s="1" a="1"/>
  <c r="CC120" i="38" s="1"/>
  <c r="BI167" i="38"/>
  <c r="BP167" i="38" s="1" a="1"/>
  <c r="BP167" i="38" s="1"/>
  <c r="BR138" i="38"/>
  <c r="BS138" i="38" s="1"/>
  <c r="BT138" i="38" s="1"/>
  <c r="BI94" i="38"/>
  <c r="BP94" i="38" s="1" a="1"/>
  <c r="BP94" i="38" s="1"/>
  <c r="BI91" i="38"/>
  <c r="BI162" i="38"/>
  <c r="BP162" i="38" s="1" a="1"/>
  <c r="BP162" i="38" s="1"/>
  <c r="BS97" i="38"/>
  <c r="BT97" i="38" s="1"/>
  <c r="BS129" i="38"/>
  <c r="BT129" i="38" s="1"/>
  <c r="BS14" i="38"/>
  <c r="BT14" i="38" s="1"/>
  <c r="CB67" i="38" a="1"/>
  <c r="CB67" i="38" s="1"/>
  <c r="BU67" i="38"/>
  <c r="CC67" i="38" a="1"/>
  <c r="CC67" i="38" s="1"/>
  <c r="DQ24" i="38"/>
  <c r="DT24" i="38" a="1"/>
  <c r="DT24" i="38" s="1"/>
  <c r="DS24" i="38" a="1"/>
  <c r="DS24" i="38" s="1"/>
  <c r="CN24" i="38" a="1"/>
  <c r="CN24" i="38" s="1"/>
  <c r="DU24" i="38"/>
  <c r="CB149" i="38" a="1"/>
  <c r="CB149" i="38" s="1"/>
  <c r="BU149" i="38"/>
  <c r="CC149" i="38" a="1"/>
  <c r="CC149" i="38" s="1"/>
  <c r="CC89" i="38" a="1"/>
  <c r="CC89" i="38" s="1"/>
  <c r="BU89" i="38"/>
  <c r="CB89" i="38" a="1"/>
  <c r="CB89" i="38" s="1"/>
  <c r="BS19" i="38"/>
  <c r="BT19" i="38" s="1"/>
  <c r="CC184" i="38" a="1"/>
  <c r="CC184" i="38" s="1"/>
  <c r="BU184" i="38"/>
  <c r="CB184" i="38" a="1"/>
  <c r="CB184" i="38" s="1"/>
  <c r="BU132" i="38"/>
  <c r="CB132" i="38" a="1"/>
  <c r="CB132" i="38" s="1"/>
  <c r="CC132" i="38" a="1"/>
  <c r="CC132" i="38" s="1"/>
  <c r="CB117" i="38" a="1"/>
  <c r="CB117" i="38" s="1"/>
  <c r="BU117" i="38"/>
  <c r="CC117" i="38" a="1"/>
  <c r="CC117" i="38" s="1"/>
  <c r="BU86" i="38"/>
  <c r="CB86" i="38" a="1"/>
  <c r="CB86" i="38" s="1"/>
  <c r="CC86" i="38" a="1"/>
  <c r="CC86" i="38" s="1"/>
  <c r="DZ24" i="38" a="1"/>
  <c r="DZ24" i="38" s="1"/>
  <c r="DY24" i="38" a="1"/>
  <c r="DY24" i="38" s="1"/>
  <c r="DW24" i="38"/>
  <c r="CP24" i="38" a="1"/>
  <c r="CP24" i="38" s="1"/>
  <c r="EA24" i="38"/>
  <c r="DU171" i="38"/>
  <c r="DQ171" i="38"/>
  <c r="DT171" i="38" a="1"/>
  <c r="DT171" i="38" s="1"/>
  <c r="DS171" i="38" a="1"/>
  <c r="DS171" i="38" s="1"/>
  <c r="CN171" i="38" a="1"/>
  <c r="CN171" i="38" s="1"/>
  <c r="DW171" i="38"/>
  <c r="DY171" i="38" a="1"/>
  <c r="DY171" i="38" s="1"/>
  <c r="CP171" i="38" a="1"/>
  <c r="CP171" i="38" s="1"/>
  <c r="EA171" i="38"/>
  <c r="DZ171" i="38" a="1"/>
  <c r="DZ171" i="38" s="1"/>
  <c r="BP126" i="38" a="1"/>
  <c r="BP126" i="38" s="1"/>
  <c r="BR126" i="38" s="1"/>
  <c r="BS176" i="38"/>
  <c r="BT176" i="38" s="1"/>
  <c r="CB65" i="38" a="1"/>
  <c r="CB65" i="38" s="1"/>
  <c r="BU65" i="38"/>
  <c r="CC65" i="38" a="1"/>
  <c r="CC65" i="38" s="1"/>
  <c r="CC96" i="38" a="1"/>
  <c r="CC96" i="38" s="1"/>
  <c r="CB96" i="38" a="1"/>
  <c r="CB96" i="38" s="1"/>
  <c r="BU96" i="38"/>
  <c r="I11" i="43"/>
  <c r="U11" i="43"/>
  <c r="CC39" i="38" l="1" a="1"/>
  <c r="CC39" i="38" s="1"/>
  <c r="BU39" i="38"/>
  <c r="CB39" i="38" a="1"/>
  <c r="CB39" i="38" s="1"/>
  <c r="BU85" i="38"/>
  <c r="BS36" i="38"/>
  <c r="BT36" i="38" s="1"/>
  <c r="DS85" i="38" a="1"/>
  <c r="DS85" i="38" s="1"/>
  <c r="CN85" i="38" a="1"/>
  <c r="CN85" i="38" s="1"/>
  <c r="CB27" i="38" a="1"/>
  <c r="CB27" i="38" s="1"/>
  <c r="DU27" i="38" s="1"/>
  <c r="DU85" i="38"/>
  <c r="CC85" i="38" a="1"/>
  <c r="CC85" i="38" s="1"/>
  <c r="DW85" i="38" s="1"/>
  <c r="DT85" i="38" a="1"/>
  <c r="DT85" i="38" s="1"/>
  <c r="CB135" i="38" a="1"/>
  <c r="CB135" i="38" s="1"/>
  <c r="DU135" i="38" s="1"/>
  <c r="CC27" i="38" a="1"/>
  <c r="CC27" i="38" s="1"/>
  <c r="DY27" i="38" s="1" a="1"/>
  <c r="DY27" i="38" s="1"/>
  <c r="BU135" i="38"/>
  <c r="BU120" i="38"/>
  <c r="CB120" i="38" a="1"/>
  <c r="CB120" i="38" s="1"/>
  <c r="DQ120" i="38" s="1"/>
  <c r="BR167" i="38"/>
  <c r="BS167" i="38" s="1"/>
  <c r="BT167" i="38" s="1"/>
  <c r="CC167" i="38" s="1" a="1"/>
  <c r="CC167" i="38" s="1"/>
  <c r="CB138" i="38" a="1"/>
  <c r="CB138" i="38" s="1"/>
  <c r="DT138" i="38" s="1" a="1"/>
  <c r="DT138" i="38" s="1"/>
  <c r="BU138" i="38"/>
  <c r="CC138" i="38" a="1"/>
  <c r="CC138" i="38" s="1"/>
  <c r="CP138" i="38" s="1" a="1"/>
  <c r="CP138" i="38" s="1"/>
  <c r="BR94" i="38"/>
  <c r="BP91" i="38" a="1"/>
  <c r="BP91" i="38" s="1"/>
  <c r="BR91" i="38" s="1"/>
  <c r="BR162" i="38"/>
  <c r="BS162" i="38" s="1"/>
  <c r="BT162" i="38" s="1"/>
  <c r="BS157" i="38"/>
  <c r="BT157" i="38" s="1"/>
  <c r="BS126" i="38"/>
  <c r="BT126" i="38" s="1"/>
  <c r="DS117" i="38" a="1"/>
  <c r="DS117" i="38" s="1"/>
  <c r="DT117" i="38" a="1"/>
  <c r="DT117" i="38" s="1"/>
  <c r="CN117" i="38" a="1"/>
  <c r="CN117" i="38" s="1"/>
  <c r="DU117" i="38"/>
  <c r="DQ117" i="38"/>
  <c r="DU132" i="38"/>
  <c r="DS132" i="38" a="1"/>
  <c r="DS132" i="38" s="1"/>
  <c r="CN132" i="38" a="1"/>
  <c r="CN132" i="38" s="1"/>
  <c r="DQ132" i="38"/>
  <c r="DT132" i="38" a="1"/>
  <c r="DT132" i="38" s="1"/>
  <c r="CN89" i="38" a="1"/>
  <c r="CN89" i="38" s="1"/>
  <c r="DQ89" i="38"/>
  <c r="DT89" i="38" a="1"/>
  <c r="DT89" i="38" s="1"/>
  <c r="DU89" i="38"/>
  <c r="DS89" i="38" a="1"/>
  <c r="DS89" i="38" s="1"/>
  <c r="DZ135" i="38" a="1"/>
  <c r="DZ135" i="38" s="1"/>
  <c r="DW135" i="38"/>
  <c r="EA135" i="38"/>
  <c r="CP135" i="38" a="1"/>
  <c r="CP135" i="38" s="1"/>
  <c r="DY135" i="38" a="1"/>
  <c r="DY135" i="38" s="1"/>
  <c r="CN67" i="38" a="1"/>
  <c r="CN67" i="38" s="1"/>
  <c r="DT67" i="38" a="1"/>
  <c r="DT67" i="38" s="1"/>
  <c r="DU67" i="38"/>
  <c r="DQ67" i="38"/>
  <c r="DS67" i="38" a="1"/>
  <c r="DS67" i="38" s="1"/>
  <c r="DU96" i="38"/>
  <c r="DQ96" i="38"/>
  <c r="DT96" i="38" a="1"/>
  <c r="DT96" i="38" s="1"/>
  <c r="CN96" i="38" a="1"/>
  <c r="CN96" i="38" s="1"/>
  <c r="DS96" i="38" a="1"/>
  <c r="DS96" i="38" s="1"/>
  <c r="CC14" i="38" a="1"/>
  <c r="CC14" i="38" s="1"/>
  <c r="CB14" i="38" a="1"/>
  <c r="CB14" i="38" s="1"/>
  <c r="BU14" i="38"/>
  <c r="CC97" i="38" a="1"/>
  <c r="CC97" i="38" s="1"/>
  <c r="CB97" i="38" a="1"/>
  <c r="CB97" i="38" s="1"/>
  <c r="BU97" i="38"/>
  <c r="CP89" i="38" a="1"/>
  <c r="CP89" i="38" s="1"/>
  <c r="DZ89" i="38" a="1"/>
  <c r="DZ89" i="38" s="1"/>
  <c r="DY89" i="38" a="1"/>
  <c r="DY89" i="38" s="1"/>
  <c r="DW89" i="38"/>
  <c r="EA89" i="38"/>
  <c r="DT184" i="38" a="1"/>
  <c r="DT184" i="38" s="1"/>
  <c r="DU184" i="38"/>
  <c r="DS184" i="38" a="1"/>
  <c r="DS184" i="38" s="1"/>
  <c r="CN184" i="38" a="1"/>
  <c r="CN184" i="38" s="1"/>
  <c r="DQ184" i="38"/>
  <c r="EA149" i="38"/>
  <c r="DZ149" i="38" a="1"/>
  <c r="DZ149" i="38" s="1"/>
  <c r="DW149" i="38"/>
  <c r="DY149" i="38" a="1"/>
  <c r="DY149" i="38" s="1"/>
  <c r="CP149" i="38" a="1"/>
  <c r="CP149" i="38" s="1"/>
  <c r="DW65" i="38"/>
  <c r="EA65" i="38"/>
  <c r="DZ65" i="38" a="1"/>
  <c r="DZ65" i="38" s="1"/>
  <c r="CP65" i="38" a="1"/>
  <c r="CP65" i="38" s="1"/>
  <c r="DY65" i="38" a="1"/>
  <c r="DY65" i="38" s="1"/>
  <c r="DW184" i="38"/>
  <c r="DY184" i="38" a="1"/>
  <c r="DY184" i="38" s="1"/>
  <c r="CP184" i="38" a="1"/>
  <c r="CP184" i="38" s="1"/>
  <c r="DZ184" i="38" a="1"/>
  <c r="DZ184" i="38" s="1"/>
  <c r="EA184" i="38"/>
  <c r="CN149" i="38" a="1"/>
  <c r="CN149" i="38" s="1"/>
  <c r="DQ149" i="38"/>
  <c r="DT149" i="38" a="1"/>
  <c r="DT149" i="38" s="1"/>
  <c r="DS149" i="38" a="1"/>
  <c r="DS149" i="38" s="1"/>
  <c r="DU149" i="38"/>
  <c r="CN65" i="38" a="1"/>
  <c r="CN65" i="38" s="1"/>
  <c r="DQ65" i="38"/>
  <c r="DT65" i="38" a="1"/>
  <c r="DT65" i="38" s="1"/>
  <c r="DU65" i="38"/>
  <c r="DS65" i="38" a="1"/>
  <c r="DS65" i="38" s="1"/>
  <c r="EA132" i="38"/>
  <c r="DZ132" i="38" a="1"/>
  <c r="DZ132" i="38" s="1"/>
  <c r="CP132" i="38" a="1"/>
  <c r="CP132" i="38" s="1"/>
  <c r="DW132" i="38"/>
  <c r="DY132" i="38" a="1"/>
  <c r="DY132" i="38" s="1"/>
  <c r="BU176" i="38"/>
  <c r="CC176" i="38" a="1"/>
  <c r="CC176" i="38" s="1"/>
  <c r="CB176" i="38" a="1"/>
  <c r="CB176" i="38" s="1"/>
  <c r="BU129" i="38"/>
  <c r="CB129" i="38" a="1"/>
  <c r="CB129" i="38" s="1"/>
  <c r="CC129" i="38" a="1"/>
  <c r="CC129" i="38" s="1"/>
  <c r="DY120" i="38" a="1"/>
  <c r="DY120" i="38" s="1"/>
  <c r="DZ120" i="38" a="1"/>
  <c r="DZ120" i="38" s="1"/>
  <c r="EA120" i="38"/>
  <c r="CP120" i="38" a="1"/>
  <c r="CP120" i="38" s="1"/>
  <c r="DW120" i="38"/>
  <c r="DY67" i="38" a="1"/>
  <c r="DY67" i="38" s="1"/>
  <c r="DZ67" i="38" a="1"/>
  <c r="DZ67" i="38" s="1"/>
  <c r="DW67" i="38"/>
  <c r="CP67" i="38" a="1"/>
  <c r="CP67" i="38" s="1"/>
  <c r="EA67" i="38"/>
  <c r="EA86" i="38"/>
  <c r="DZ86" i="38" a="1"/>
  <c r="DZ86" i="38" s="1"/>
  <c r="DW86" i="38"/>
  <c r="CP86" i="38" a="1"/>
  <c r="CP86" i="38" s="1"/>
  <c r="DY86" i="38" a="1"/>
  <c r="DY86" i="38" s="1"/>
  <c r="DS86" i="38" a="1"/>
  <c r="DS86" i="38" s="1"/>
  <c r="DQ86" i="38"/>
  <c r="CN86" i="38" a="1"/>
  <c r="CN86" i="38" s="1"/>
  <c r="DU86" i="38"/>
  <c r="DT86" i="38" a="1"/>
  <c r="DT86" i="38" s="1"/>
  <c r="EA96" i="38"/>
  <c r="CP96" i="38" a="1"/>
  <c r="CP96" i="38" s="1"/>
  <c r="DW96" i="38"/>
  <c r="DZ96" i="38" a="1"/>
  <c r="DZ96" i="38" s="1"/>
  <c r="DY96" i="38" a="1"/>
  <c r="DY96" i="38" s="1"/>
  <c r="CP117" i="38" a="1"/>
  <c r="CP117" i="38" s="1"/>
  <c r="DW117" i="38"/>
  <c r="DZ117" i="38" a="1"/>
  <c r="DZ117" i="38" s="1"/>
  <c r="DY117" i="38" a="1"/>
  <c r="DY117" i="38" s="1"/>
  <c r="EA117" i="38"/>
  <c r="BU19" i="38"/>
  <c r="CC19" i="38" a="1"/>
  <c r="CC19" i="38" s="1"/>
  <c r="CB19" i="38" a="1"/>
  <c r="CB19" i="38" s="1"/>
  <c r="P22" i="50" a="1"/>
  <c r="P22" i="50" s="1"/>
  <c r="A22" i="50"/>
  <c r="P12" i="50" a="1"/>
  <c r="P12" i="50" s="1"/>
  <c r="A12" i="50"/>
  <c r="A20" i="200"/>
  <c r="G20" i="200"/>
  <c r="U20" i="200" s="1" a="1"/>
  <c r="U20" i="200" s="1"/>
  <c r="T20" i="200"/>
  <c r="A18" i="200"/>
  <c r="G18" i="200"/>
  <c r="U18" i="200" s="1" a="1"/>
  <c r="U18" i="200" s="1"/>
  <c r="T18" i="200"/>
  <c r="T16" i="200"/>
  <c r="G16" i="200"/>
  <c r="U16" i="200" s="1" a="1"/>
  <c r="U16" i="200" s="1"/>
  <c r="A16" i="200"/>
  <c r="T13" i="200"/>
  <c r="G13" i="200"/>
  <c r="U13" i="200" s="1" a="1"/>
  <c r="U13" i="200" s="1"/>
  <c r="A13" i="200"/>
  <c r="T25" i="198"/>
  <c r="G25" i="198"/>
  <c r="U25" i="198" s="1" a="1"/>
  <c r="U25" i="198" s="1"/>
  <c r="A25" i="198"/>
  <c r="T23" i="198"/>
  <c r="G23" i="198"/>
  <c r="U23" i="198" s="1" a="1"/>
  <c r="U23" i="198" s="1"/>
  <c r="A23" i="198"/>
  <c r="T24" i="198"/>
  <c r="G24" i="198"/>
  <c r="U24" i="198" s="1" a="1"/>
  <c r="U24" i="198" s="1"/>
  <c r="A24" i="198"/>
  <c r="T26" i="198"/>
  <c r="G26" i="198"/>
  <c r="U26" i="198" s="1" a="1"/>
  <c r="U26" i="198" s="1"/>
  <c r="A26" i="198"/>
  <c r="T27" i="198"/>
  <c r="G27" i="198"/>
  <c r="U27" i="198" s="1" a="1"/>
  <c r="U27" i="198" s="1"/>
  <c r="A27" i="198"/>
  <c r="R46" i="204"/>
  <c r="T41" i="204"/>
  <c r="U41" i="204" a="1"/>
  <c r="U41" i="204" s="1"/>
  <c r="A41" i="204"/>
  <c r="T39" i="204"/>
  <c r="U39" i="204" a="1"/>
  <c r="U39" i="204" s="1"/>
  <c r="A39" i="204"/>
  <c r="T33" i="204"/>
  <c r="U33" i="204" a="1"/>
  <c r="U33" i="204" s="1"/>
  <c r="A33" i="204"/>
  <c r="T34" i="204"/>
  <c r="U34" i="204" a="1"/>
  <c r="U34" i="204" s="1"/>
  <c r="A34" i="204"/>
  <c r="T35" i="204"/>
  <c r="U35" i="204" a="1"/>
  <c r="U35" i="204" s="1"/>
  <c r="A35" i="204"/>
  <c r="T32" i="204"/>
  <c r="U32" i="204" a="1"/>
  <c r="U32" i="204" s="1"/>
  <c r="A32" i="204"/>
  <c r="T36" i="204"/>
  <c r="U36" i="204" a="1"/>
  <c r="U36" i="204" s="1"/>
  <c r="A36" i="204"/>
  <c r="T37" i="204"/>
  <c r="U37" i="204" a="1"/>
  <c r="U37" i="204" s="1"/>
  <c r="A37" i="204"/>
  <c r="T38" i="204"/>
  <c r="U38" i="204" a="1"/>
  <c r="U38" i="204" s="1"/>
  <c r="A38" i="204"/>
  <c r="T40" i="204"/>
  <c r="U40" i="204" a="1"/>
  <c r="U40" i="204" s="1"/>
  <c r="A40" i="204"/>
  <c r="T24" i="204"/>
  <c r="U24" i="204" a="1"/>
  <c r="U24" i="204" s="1"/>
  <c r="A24" i="204"/>
  <c r="T25" i="204"/>
  <c r="U25" i="204" a="1"/>
  <c r="U25" i="204" s="1"/>
  <c r="A25" i="204"/>
  <c r="T26" i="204"/>
  <c r="U26" i="204" a="1"/>
  <c r="U26" i="204" s="1"/>
  <c r="A26" i="204"/>
  <c r="T27" i="204"/>
  <c r="U27" i="204" a="1"/>
  <c r="U27" i="204" s="1"/>
  <c r="A27" i="204"/>
  <c r="T28" i="204"/>
  <c r="U28" i="204" a="1"/>
  <c r="U28" i="204" s="1"/>
  <c r="A28" i="204"/>
  <c r="T29" i="204"/>
  <c r="U29" i="204" a="1"/>
  <c r="U29" i="204" s="1"/>
  <c r="A29" i="204"/>
  <c r="T17" i="204"/>
  <c r="U17" i="204" a="1"/>
  <c r="U17" i="204" s="1"/>
  <c r="A17" i="204"/>
  <c r="T18" i="204"/>
  <c r="U18" i="204" a="1"/>
  <c r="U18" i="204" s="1"/>
  <c r="A18" i="204"/>
  <c r="T19" i="204"/>
  <c r="U19" i="204" a="1"/>
  <c r="U19" i="204" s="1"/>
  <c r="A19" i="204"/>
  <c r="T20" i="204"/>
  <c r="U20" i="204" a="1"/>
  <c r="U20" i="204" s="1"/>
  <c r="A20" i="204"/>
  <c r="T21" i="204"/>
  <c r="U21" i="204" a="1"/>
  <c r="U21" i="204" s="1"/>
  <c r="A21" i="204"/>
  <c r="T22" i="204"/>
  <c r="U22" i="204" a="1"/>
  <c r="U22" i="204" s="1"/>
  <c r="A22" i="204"/>
  <c r="U23" i="204" a="1"/>
  <c r="U23" i="204" s="1"/>
  <c r="A23" i="204"/>
  <c r="T9" i="204"/>
  <c r="U9" i="204" a="1"/>
  <c r="U9" i="204" s="1"/>
  <c r="A9" i="204"/>
  <c r="T10" i="204"/>
  <c r="U10" i="204" a="1"/>
  <c r="U10" i="204" s="1"/>
  <c r="A10" i="204"/>
  <c r="T11" i="204"/>
  <c r="U11" i="204" a="1"/>
  <c r="U11" i="204" s="1"/>
  <c r="A11" i="204"/>
  <c r="T12" i="204"/>
  <c r="U12" i="204" a="1"/>
  <c r="U12" i="204" s="1"/>
  <c r="A12" i="204"/>
  <c r="M3" i="204"/>
  <c r="C93" i="204"/>
  <c r="J75" i="204"/>
  <c r="I75" i="204"/>
  <c r="J74" i="204"/>
  <c r="I74" i="204"/>
  <c r="J70" i="204"/>
  <c r="I70" i="204"/>
  <c r="J69" i="204"/>
  <c r="I69" i="204"/>
  <c r="J68" i="204"/>
  <c r="I68" i="204"/>
  <c r="J61" i="204"/>
  <c r="I61" i="204"/>
  <c r="J60" i="204"/>
  <c r="I60" i="204"/>
  <c r="H56" i="204"/>
  <c r="I56" i="204" s="1"/>
  <c r="H55" i="204"/>
  <c r="J55" i="204" s="1"/>
  <c r="J54" i="204"/>
  <c r="I54" i="204"/>
  <c r="L52" i="204"/>
  <c r="I52" i="204"/>
  <c r="L51" i="204"/>
  <c r="I51" i="204"/>
  <c r="L50" i="204"/>
  <c r="I50" i="204"/>
  <c r="L49" i="204"/>
  <c r="I49" i="204"/>
  <c r="T45" i="204"/>
  <c r="G45" i="204"/>
  <c r="U45" i="204" s="1" a="1"/>
  <c r="U45" i="204" s="1"/>
  <c r="A45" i="204"/>
  <c r="T44" i="204"/>
  <c r="U44" i="204" a="1"/>
  <c r="U44" i="204" s="1"/>
  <c r="A44" i="204"/>
  <c r="T43" i="204"/>
  <c r="U43" i="204" a="1"/>
  <c r="U43" i="204" s="1"/>
  <c r="A43" i="204"/>
  <c r="T42" i="204"/>
  <c r="U42" i="204" a="1"/>
  <c r="U42" i="204" s="1"/>
  <c r="A42" i="204"/>
  <c r="T31" i="204"/>
  <c r="U31" i="204" a="1"/>
  <c r="U31" i="204" s="1"/>
  <c r="A31" i="204"/>
  <c r="T30" i="204"/>
  <c r="U30" i="204" a="1"/>
  <c r="U30" i="204" s="1"/>
  <c r="T16" i="204"/>
  <c r="U16" i="204" a="1"/>
  <c r="U16" i="204" s="1"/>
  <c r="A16" i="204"/>
  <c r="T15" i="204"/>
  <c r="U15" i="204" a="1"/>
  <c r="U15" i="204" s="1"/>
  <c r="A15" i="204"/>
  <c r="T14" i="204"/>
  <c r="U14" i="204" a="1"/>
  <c r="U14" i="204" s="1"/>
  <c r="A14" i="204"/>
  <c r="T13" i="204"/>
  <c r="U13" i="204" a="1"/>
  <c r="U13" i="204" s="1"/>
  <c r="A13" i="204"/>
  <c r="Y8" i="204"/>
  <c r="G8" i="204"/>
  <c r="U8" i="204" s="1" a="1"/>
  <c r="U8" i="204" s="1"/>
  <c r="V8" i="204" s="1"/>
  <c r="V7" i="204"/>
  <c r="G7" i="204"/>
  <c r="V6" i="204"/>
  <c r="U2" i="204" a="1"/>
  <c r="AQ64" i="38" l="1"/>
  <c r="B174" i="38"/>
  <c r="AQ54" i="38"/>
  <c r="B112" i="38"/>
  <c r="CN27" i="38" a="1"/>
  <c r="CN27" i="38" s="1"/>
  <c r="CN120" i="38" a="1"/>
  <c r="CN120" i="38" s="1"/>
  <c r="CN135" i="38" a="1"/>
  <c r="CN135" i="38" s="1"/>
  <c r="DZ85" i="38" a="1"/>
  <c r="DZ85" i="38" s="1"/>
  <c r="DY85" i="38" a="1"/>
  <c r="DY85" i="38" s="1"/>
  <c r="DS39" i="38" a="1"/>
  <c r="DS39" i="38" s="1"/>
  <c r="DQ39" i="38"/>
  <c r="CN39" i="38" a="1"/>
  <c r="CN39" i="38" s="1"/>
  <c r="DU39" i="38"/>
  <c r="DT39" i="38" a="1"/>
  <c r="DT39" i="38" s="1"/>
  <c r="EA39" i="38"/>
  <c r="CP39" i="38" a="1"/>
  <c r="CP39" i="38" s="1"/>
  <c r="DZ39" i="38" a="1"/>
  <c r="DZ39" i="38" s="1"/>
  <c r="DW39" i="38"/>
  <c r="DY39" i="38" a="1"/>
  <c r="DY39" i="38" s="1"/>
  <c r="DQ27" i="38"/>
  <c r="DT27" i="38" a="1"/>
  <c r="DT27" i="38" s="1"/>
  <c r="DS27" i="38" a="1"/>
  <c r="DS27" i="38" s="1"/>
  <c r="DT120" i="38" a="1"/>
  <c r="DT120" i="38" s="1"/>
  <c r="CB36" i="38" a="1"/>
  <c r="CB36" i="38" s="1"/>
  <c r="BU36" i="38"/>
  <c r="CC36" i="38" a="1"/>
  <c r="CC36" i="38" s="1"/>
  <c r="DU120" i="38"/>
  <c r="DS120" i="38" a="1"/>
  <c r="DS120" i="38" s="1"/>
  <c r="EA27" i="38"/>
  <c r="DW27" i="38"/>
  <c r="CP85" i="38" a="1"/>
  <c r="CP85" i="38" s="1"/>
  <c r="DZ27" i="38" a="1"/>
  <c r="DZ27" i="38" s="1"/>
  <c r="CP27" i="38" a="1"/>
  <c r="CP27" i="38" s="1"/>
  <c r="DS135" i="38" a="1"/>
  <c r="DS135" i="38" s="1"/>
  <c r="DQ135" i="38"/>
  <c r="DT135" i="38" a="1"/>
  <c r="DT135" i="38" s="1"/>
  <c r="EA85" i="38"/>
  <c r="CN138" i="38" a="1"/>
  <c r="CN138" i="38" s="1"/>
  <c r="DQ138" i="38"/>
  <c r="BU167" i="38"/>
  <c r="CB167" i="38" a="1"/>
  <c r="CB167" i="38" s="1"/>
  <c r="DQ167" i="38" s="1"/>
  <c r="DY138" i="38" a="1"/>
  <c r="DY138" i="38" s="1"/>
  <c r="DU138" i="38"/>
  <c r="EA138" i="38"/>
  <c r="DS138" i="38" a="1"/>
  <c r="DS138" i="38" s="1"/>
  <c r="DZ138" i="38" a="1"/>
  <c r="DZ138" i="38" s="1"/>
  <c r="DW138" i="38"/>
  <c r="BS94" i="38"/>
  <c r="BT94" i="38" s="1"/>
  <c r="CB94" i="38" s="1" a="1"/>
  <c r="CB94" i="38" s="1"/>
  <c r="CC162" i="38" a="1"/>
  <c r="CC162" i="38" s="1"/>
  <c r="CP162" i="38" s="1" a="1"/>
  <c r="CP162" i="38" s="1"/>
  <c r="CB162" i="38" a="1"/>
  <c r="CB162" i="38" s="1"/>
  <c r="CN162" i="38" s="1" a="1"/>
  <c r="CN162" i="38" s="1"/>
  <c r="BU162" i="38"/>
  <c r="BS91" i="38"/>
  <c r="BT91" i="38" s="1"/>
  <c r="CP167" i="38" a="1"/>
  <c r="CP167" i="38" s="1"/>
  <c r="DW167" i="38"/>
  <c r="DY167" i="38" a="1"/>
  <c r="DY167" i="38" s="1"/>
  <c r="DZ167" i="38" a="1"/>
  <c r="DZ167" i="38" s="1"/>
  <c r="EA167" i="38"/>
  <c r="DY97" i="38" a="1"/>
  <c r="DY97" i="38" s="1"/>
  <c r="EA97" i="38"/>
  <c r="DZ97" i="38" a="1"/>
  <c r="DZ97" i="38" s="1"/>
  <c r="CP97" i="38" a="1"/>
  <c r="CP97" i="38" s="1"/>
  <c r="DW97" i="38"/>
  <c r="DU19" i="38"/>
  <c r="CN19" i="38" a="1"/>
  <c r="CN19" i="38" s="1"/>
  <c r="DS19" i="38" a="1"/>
  <c r="DS19" i="38" s="1"/>
  <c r="DQ19" i="38"/>
  <c r="DT19" i="38" a="1"/>
  <c r="DT19" i="38" s="1"/>
  <c r="DY19" i="38" a="1"/>
  <c r="DY19" i="38" s="1"/>
  <c r="CP19" i="38" a="1"/>
  <c r="CP19" i="38" s="1"/>
  <c r="DW19" i="38"/>
  <c r="DZ19" i="38" a="1"/>
  <c r="DZ19" i="38" s="1"/>
  <c r="EA19" i="38"/>
  <c r="DS14" i="38" a="1"/>
  <c r="DS14" i="38" s="1"/>
  <c r="CN14" i="38" a="1"/>
  <c r="CN14" i="38" s="1"/>
  <c r="DU14" i="38"/>
  <c r="DT14" i="38" a="1"/>
  <c r="DT14" i="38" s="1"/>
  <c r="DQ14" i="38"/>
  <c r="CP14" i="38" a="1"/>
  <c r="CP14" i="38" s="1"/>
  <c r="DZ14" i="38" a="1"/>
  <c r="DZ14" i="38" s="1"/>
  <c r="DW14" i="38"/>
  <c r="EA14" i="38"/>
  <c r="DY14" i="38" a="1"/>
  <c r="DY14" i="38" s="1"/>
  <c r="DS176" i="38" a="1"/>
  <c r="DS176" i="38" s="1"/>
  <c r="DU176" i="38"/>
  <c r="DQ176" i="38"/>
  <c r="DT176" i="38" a="1"/>
  <c r="DT176" i="38" s="1"/>
  <c r="CN176" i="38" a="1"/>
  <c r="CN176" i="38" s="1"/>
  <c r="DW176" i="38"/>
  <c r="CP176" i="38" a="1"/>
  <c r="CP176" i="38" s="1"/>
  <c r="DY176" i="38" a="1"/>
  <c r="DY176" i="38" s="1"/>
  <c r="DZ176" i="38" a="1"/>
  <c r="DZ176" i="38" s="1"/>
  <c r="EA176" i="38"/>
  <c r="DW129" i="38"/>
  <c r="EA129" i="38"/>
  <c r="DZ129" i="38" a="1"/>
  <c r="DZ129" i="38" s="1"/>
  <c r="CP129" i="38" a="1"/>
  <c r="CP129" i="38" s="1"/>
  <c r="DY129" i="38" a="1"/>
  <c r="DY129" i="38" s="1"/>
  <c r="CB157" i="38" a="1"/>
  <c r="CB157" i="38" s="1"/>
  <c r="CC157" i="38" a="1"/>
  <c r="CC157" i="38" s="1"/>
  <c r="BU157" i="38"/>
  <c r="DQ129" i="38"/>
  <c r="CN129" i="38" a="1"/>
  <c r="CN129" i="38" s="1"/>
  <c r="DS129" i="38" a="1"/>
  <c r="DS129" i="38" s="1"/>
  <c r="DT129" i="38" a="1"/>
  <c r="DT129" i="38" s="1"/>
  <c r="DU129" i="38"/>
  <c r="DQ97" i="38"/>
  <c r="CN97" i="38" a="1"/>
  <c r="CN97" i="38" s="1"/>
  <c r="DS97" i="38" a="1"/>
  <c r="DS97" i="38" s="1"/>
  <c r="DT97" i="38" a="1"/>
  <c r="DT97" i="38" s="1"/>
  <c r="DU97" i="38"/>
  <c r="BU126" i="38"/>
  <c r="CB126" i="38" a="1"/>
  <c r="CB126" i="38" s="1"/>
  <c r="CC126" i="38" a="1"/>
  <c r="CC126" i="38" s="1"/>
  <c r="V25" i="198"/>
  <c r="X25" i="198" s="1"/>
  <c r="V41" i="204"/>
  <c r="X41" i="204" s="1"/>
  <c r="V20" i="200"/>
  <c r="W20" i="200" s="1"/>
  <c r="V24" i="198"/>
  <c r="X24" i="198" s="1"/>
  <c r="V16" i="200"/>
  <c r="W16" i="200" s="1"/>
  <c r="V18" i="200"/>
  <c r="W18" i="200" s="1"/>
  <c r="V13" i="200"/>
  <c r="X13" i="200" s="1"/>
  <c r="V23" i="198"/>
  <c r="X23" i="198" s="1"/>
  <c r="V26" i="198"/>
  <c r="X26" i="198" s="1"/>
  <c r="V27" i="198"/>
  <c r="X27" i="198" s="1"/>
  <c r="V39" i="204"/>
  <c r="W39" i="204" s="1"/>
  <c r="V40" i="204"/>
  <c r="W40" i="204" s="1"/>
  <c r="V32" i="204"/>
  <c r="W32" i="204" s="1"/>
  <c r="V34" i="204"/>
  <c r="W34" i="204" s="1"/>
  <c r="V33" i="204"/>
  <c r="W33" i="204" s="1"/>
  <c r="V13" i="204"/>
  <c r="X13" i="204" s="1"/>
  <c r="V35" i="204"/>
  <c r="X35" i="204" s="1"/>
  <c r="V37" i="204"/>
  <c r="W37" i="204" s="1"/>
  <c r="V36" i="204"/>
  <c r="W36" i="204" s="1"/>
  <c r="V38" i="204"/>
  <c r="W38" i="204" s="1"/>
  <c r="V24" i="204"/>
  <c r="W24" i="204" s="1"/>
  <c r="V25" i="204"/>
  <c r="X25" i="204" s="1"/>
  <c r="V26" i="204"/>
  <c r="X26" i="204" s="1"/>
  <c r="V28" i="204"/>
  <c r="X28" i="204" s="1"/>
  <c r="V27" i="204"/>
  <c r="X27" i="204" s="1"/>
  <c r="V29" i="204"/>
  <c r="W29" i="204" s="1"/>
  <c r="V22" i="204"/>
  <c r="W22" i="204" s="1"/>
  <c r="V18" i="204"/>
  <c r="X18" i="204" s="1"/>
  <c r="V9" i="204"/>
  <c r="W9" i="204" s="1"/>
  <c r="V21" i="204"/>
  <c r="X21" i="204" s="1"/>
  <c r="V17" i="204"/>
  <c r="X17" i="204" s="1"/>
  <c r="V20" i="204"/>
  <c r="X20" i="204" s="1"/>
  <c r="V19" i="204"/>
  <c r="W19" i="204" s="1"/>
  <c r="V31" i="204"/>
  <c r="X31" i="204" s="1"/>
  <c r="V12" i="204"/>
  <c r="W12" i="204" s="1"/>
  <c r="V23" i="204"/>
  <c r="X23" i="204" s="1"/>
  <c r="V42" i="204"/>
  <c r="X42" i="204" s="1"/>
  <c r="V45" i="204"/>
  <c r="X45" i="204" s="1"/>
  <c r="V11" i="204"/>
  <c r="W11" i="204" s="1"/>
  <c r="V43" i="204"/>
  <c r="W43" i="204" s="1"/>
  <c r="V10" i="204"/>
  <c r="W10" i="204" s="1"/>
  <c r="I59" i="204"/>
  <c r="I73" i="204"/>
  <c r="J73" i="204"/>
  <c r="J56" i="204"/>
  <c r="J57" i="204" s="1"/>
  <c r="J58" i="204" s="1"/>
  <c r="V14" i="204"/>
  <c r="X14" i="204" s="1"/>
  <c r="V30" i="204"/>
  <c r="X30" i="204" s="1"/>
  <c r="V16" i="204"/>
  <c r="X16" i="204" s="1"/>
  <c r="V44" i="204"/>
  <c r="X44" i="204" s="1"/>
  <c r="U2" i="204"/>
  <c r="I71" i="204"/>
  <c r="J71" i="204"/>
  <c r="O3" i="204"/>
  <c r="Y7" i="204" s="1"/>
  <c r="N3" i="204"/>
  <c r="X7" i="204"/>
  <c r="W7" i="204"/>
  <c r="V15" i="204"/>
  <c r="I55" i="204"/>
  <c r="X20" i="200" l="1"/>
  <c r="Y20" i="200" s="1"/>
  <c r="CJ64" i="38"/>
  <c r="CJ54" i="38"/>
  <c r="DY36" i="38" a="1"/>
  <c r="DY36" i="38" s="1"/>
  <c r="DW36" i="38"/>
  <c r="EA36" i="38"/>
  <c r="CP36" i="38" a="1"/>
  <c r="CP36" i="38" s="1"/>
  <c r="DZ36" i="38" a="1"/>
  <c r="DZ36" i="38" s="1"/>
  <c r="CN36" i="38" a="1"/>
  <c r="CN36" i="38" s="1"/>
  <c r="DS36" i="38" a="1"/>
  <c r="DS36" i="38" s="1"/>
  <c r="DT36" i="38" a="1"/>
  <c r="DT36" i="38" s="1"/>
  <c r="DQ36" i="38"/>
  <c r="DU36" i="38"/>
  <c r="DS167" i="38" a="1"/>
  <c r="DS167" i="38" s="1"/>
  <c r="CN167" i="38" a="1"/>
  <c r="CN167" i="38" s="1"/>
  <c r="DU162" i="38"/>
  <c r="BU94" i="38"/>
  <c r="DT167" i="38" a="1"/>
  <c r="DT167" i="38" s="1"/>
  <c r="DU167" i="38"/>
  <c r="DY162" i="38" a="1"/>
  <c r="DY162" i="38" s="1"/>
  <c r="CC94" i="38" a="1"/>
  <c r="CC94" i="38" s="1"/>
  <c r="EA94" i="38" s="1"/>
  <c r="DZ162" i="38" a="1"/>
  <c r="DZ162" i="38" s="1"/>
  <c r="DW162" i="38"/>
  <c r="DT162" i="38" a="1"/>
  <c r="DT162" i="38" s="1"/>
  <c r="DQ162" i="38"/>
  <c r="EA162" i="38"/>
  <c r="DS162" i="38" a="1"/>
  <c r="DS162" i="38" s="1"/>
  <c r="CC91" i="38" a="1"/>
  <c r="CC91" i="38" s="1"/>
  <c r="BU91" i="38"/>
  <c r="CB91" i="38" a="1"/>
  <c r="CB91" i="38" s="1"/>
  <c r="CN157" i="38" a="1"/>
  <c r="CN157" i="38" s="1"/>
  <c r="DS157" i="38" a="1"/>
  <c r="DS157" i="38" s="1"/>
  <c r="DQ157" i="38"/>
  <c r="DU157" i="38"/>
  <c r="DT157" i="38" a="1"/>
  <c r="DT157" i="38" s="1"/>
  <c r="DS94" i="38" a="1"/>
  <c r="DS94" i="38" s="1"/>
  <c r="DQ94" i="38"/>
  <c r="DT94" i="38" a="1"/>
  <c r="DT94" i="38" s="1"/>
  <c r="DU94" i="38"/>
  <c r="CN94" i="38" a="1"/>
  <c r="CN94" i="38" s="1"/>
  <c r="EA126" i="38"/>
  <c r="DY126" i="38" a="1"/>
  <c r="DY126" i="38" s="1"/>
  <c r="DZ126" i="38" a="1"/>
  <c r="DZ126" i="38" s="1"/>
  <c r="DW126" i="38"/>
  <c r="CP126" i="38" a="1"/>
  <c r="CP126" i="38" s="1"/>
  <c r="EA157" i="38"/>
  <c r="DY157" i="38" a="1"/>
  <c r="DY157" i="38" s="1"/>
  <c r="CP157" i="38" a="1"/>
  <c r="CP157" i="38" s="1"/>
  <c r="DW157" i="38"/>
  <c r="DZ157" i="38" a="1"/>
  <c r="DZ157" i="38" s="1"/>
  <c r="DU126" i="38"/>
  <c r="DQ126" i="38"/>
  <c r="DS126" i="38" a="1"/>
  <c r="DS126" i="38" s="1"/>
  <c r="CN126" i="38" a="1"/>
  <c r="CN126" i="38" s="1"/>
  <c r="DT126" i="38" a="1"/>
  <c r="DT126" i="38" s="1"/>
  <c r="X39" i="204"/>
  <c r="Y39" i="204" s="1"/>
  <c r="W41" i="204"/>
  <c r="Y41" i="204" s="1"/>
  <c r="W25" i="198"/>
  <c r="Y25" i="198" s="1"/>
  <c r="X16" i="200"/>
  <c r="Y16" i="200" s="1"/>
  <c r="X18" i="200"/>
  <c r="Y18" i="200" s="1"/>
  <c r="W24" i="198"/>
  <c r="Y24" i="198" s="1"/>
  <c r="X34" i="204"/>
  <c r="Y34" i="204" s="1"/>
  <c r="W13" i="200"/>
  <c r="Y13" i="200" s="1"/>
  <c r="W23" i="198"/>
  <c r="Y23" i="198" s="1"/>
  <c r="W27" i="198"/>
  <c r="Y27" i="198" s="1"/>
  <c r="W26" i="198"/>
  <c r="Y26" i="198" s="1"/>
  <c r="X33" i="204"/>
  <c r="Y33" i="204" s="1"/>
  <c r="X40" i="204"/>
  <c r="Y40" i="204" s="1"/>
  <c r="X32" i="204"/>
  <c r="Y32" i="204" s="1"/>
  <c r="W13" i="204"/>
  <c r="Y13" i="204" s="1"/>
  <c r="X36" i="204"/>
  <c r="Y36" i="204" s="1"/>
  <c r="W35" i="204"/>
  <c r="Y35" i="204" s="1"/>
  <c r="X37" i="204"/>
  <c r="Y37" i="204" s="1"/>
  <c r="X38" i="204"/>
  <c r="Y38" i="204" s="1"/>
  <c r="X24" i="204"/>
  <c r="Y24" i="204" s="1"/>
  <c r="W25" i="204"/>
  <c r="Y25" i="204" s="1"/>
  <c r="W26" i="204"/>
  <c r="Y26" i="204" s="1"/>
  <c r="W27" i="204"/>
  <c r="Y27" i="204" s="1"/>
  <c r="W28" i="204"/>
  <c r="Y28" i="204" s="1"/>
  <c r="X29" i="204"/>
  <c r="Y29" i="204" s="1"/>
  <c r="W17" i="204"/>
  <c r="Y17" i="204" s="1"/>
  <c r="X22" i="204"/>
  <c r="Y22" i="204" s="1"/>
  <c r="W18" i="204"/>
  <c r="Y18" i="204" s="1"/>
  <c r="X9" i="204"/>
  <c r="Y9" i="204" s="1"/>
  <c r="W21" i="204"/>
  <c r="Y21" i="204" s="1"/>
  <c r="X19" i="204"/>
  <c r="Y19" i="204" s="1"/>
  <c r="W20" i="204"/>
  <c r="Y20" i="204" s="1"/>
  <c r="W23" i="204"/>
  <c r="Y23" i="204" s="1"/>
  <c r="X12" i="204"/>
  <c r="Y12" i="204" s="1"/>
  <c r="W31" i="204"/>
  <c r="Y31" i="204" s="1"/>
  <c r="X10" i="204"/>
  <c r="Y10" i="204" s="1"/>
  <c r="X43" i="204"/>
  <c r="Y43" i="204" s="1"/>
  <c r="X11" i="204"/>
  <c r="Y11" i="204" s="1"/>
  <c r="W45" i="204"/>
  <c r="Y45" i="204" s="1"/>
  <c r="W42" i="204"/>
  <c r="Y42" i="204" s="1"/>
  <c r="W30" i="204"/>
  <c r="Y30" i="204" s="1"/>
  <c r="I72" i="204"/>
  <c r="J72" i="204"/>
  <c r="W16" i="204"/>
  <c r="Y16" i="204" s="1"/>
  <c r="W14" i="204"/>
  <c r="Y14" i="204" s="1"/>
  <c r="W44" i="204"/>
  <c r="Y44" i="204" s="1"/>
  <c r="I57" i="204"/>
  <c r="I58" i="204" s="1"/>
  <c r="X15" i="204"/>
  <c r="W15" i="204"/>
  <c r="AS64" i="38" l="1" a="1"/>
  <c r="AS64" i="38" s="1"/>
  <c r="AT64" i="38" a="1"/>
  <c r="AT64" i="38" s="1"/>
  <c r="AY64" i="38" s="1" a="1"/>
  <c r="AY64" i="38" s="1"/>
  <c r="AZ64" i="38" s="1"/>
  <c r="AT54" i="38" a="1"/>
  <c r="AT54" i="38" s="1"/>
  <c r="AY54" i="38" s="1" a="1"/>
  <c r="AY54" i="38" s="1"/>
  <c r="AZ54" i="38" s="1"/>
  <c r="AS54" i="38" a="1"/>
  <c r="AS54" i="38" s="1"/>
  <c r="DW94" i="38"/>
  <c r="DY94" i="38" a="1"/>
  <c r="DY94" i="38" s="1"/>
  <c r="CP94" i="38" a="1"/>
  <c r="CP94" i="38" s="1"/>
  <c r="DZ94" i="38" a="1"/>
  <c r="DZ94" i="38" s="1"/>
  <c r="CN91" i="38" a="1"/>
  <c r="CN91" i="38" s="1"/>
  <c r="DT91" i="38" a="1"/>
  <c r="DT91" i="38" s="1"/>
  <c r="DQ91" i="38"/>
  <c r="DS91" i="38" a="1"/>
  <c r="DS91" i="38" s="1"/>
  <c r="DU91" i="38"/>
  <c r="DZ91" i="38" a="1"/>
  <c r="DZ91" i="38" s="1"/>
  <c r="DW91" i="38"/>
  <c r="DY91" i="38" a="1"/>
  <c r="DY91" i="38" s="1"/>
  <c r="EA91" i="38"/>
  <c r="CP91" i="38" a="1"/>
  <c r="CP91" i="38" s="1"/>
  <c r="X46" i="204"/>
  <c r="W46" i="204"/>
  <c r="Y15" i="204"/>
  <c r="T17" i="200" l="1"/>
  <c r="G17" i="200"/>
  <c r="U17" i="200" s="1" a="1"/>
  <c r="U17" i="200" s="1"/>
  <c r="A17" i="200"/>
  <c r="V17" i="200" l="1"/>
  <c r="X17" i="200" s="1"/>
  <c r="W17" i="200" l="1"/>
  <c r="Y17" i="200" s="1"/>
  <c r="T12" i="198" l="1"/>
  <c r="G12" i="198"/>
  <c r="U12" i="198" s="1" a="1"/>
  <c r="U12" i="198" s="1"/>
  <c r="A12" i="198"/>
  <c r="T13" i="198"/>
  <c r="G13" i="198"/>
  <c r="U13" i="198" s="1" a="1"/>
  <c r="U13" i="198" s="1"/>
  <c r="A13" i="198"/>
  <c r="U14" i="198" a="1"/>
  <c r="U14" i="198" s="1"/>
  <c r="T14" i="198"/>
  <c r="G14" i="198"/>
  <c r="A14" i="198"/>
  <c r="T15" i="198"/>
  <c r="G15" i="198"/>
  <c r="U15" i="198" s="1" a="1"/>
  <c r="U15" i="198" s="1"/>
  <c r="A15" i="198"/>
  <c r="T16" i="198"/>
  <c r="G16" i="198"/>
  <c r="U16" i="198" s="1" a="1"/>
  <c r="U16" i="198" s="1"/>
  <c r="A16" i="198"/>
  <c r="T17" i="198"/>
  <c r="G17" i="198"/>
  <c r="U17" i="198" s="1" a="1"/>
  <c r="U17" i="198" s="1"/>
  <c r="A17" i="198"/>
  <c r="T18" i="198"/>
  <c r="G18" i="198"/>
  <c r="U18" i="198" s="1" a="1"/>
  <c r="U18" i="198" s="1"/>
  <c r="A18" i="198"/>
  <c r="V12" i="198" l="1"/>
  <c r="W12" i="198" s="1"/>
  <c r="V13" i="198"/>
  <c r="X13" i="198" s="1"/>
  <c r="V14" i="198"/>
  <c r="X14" i="198" s="1"/>
  <c r="V16" i="198"/>
  <c r="W16" i="198" s="1"/>
  <c r="V15" i="198"/>
  <c r="X15" i="198" s="1"/>
  <c r="V18" i="198"/>
  <c r="X18" i="198" s="1"/>
  <c r="V17" i="198"/>
  <c r="W17" i="198" s="1"/>
  <c r="W13" i="198" l="1"/>
  <c r="Y13" i="198" s="1"/>
  <c r="X12" i="198"/>
  <c r="Y12" i="198" s="1"/>
  <c r="X16" i="198"/>
  <c r="Y16" i="198" s="1"/>
  <c r="W15" i="198"/>
  <c r="Y15" i="198" s="1"/>
  <c r="W18" i="198"/>
  <c r="Y18" i="198" s="1"/>
  <c r="W14" i="198"/>
  <c r="Y14" i="198" s="1"/>
  <c r="X17" i="198"/>
  <c r="Y17" i="198" s="1"/>
  <c r="M3" i="200" l="1"/>
  <c r="U10" i="43"/>
  <c r="I10" i="43"/>
  <c r="M3" i="198" l="1"/>
  <c r="C69" i="200"/>
  <c r="J51" i="200"/>
  <c r="I51" i="200"/>
  <c r="J50" i="200"/>
  <c r="I50" i="200"/>
  <c r="J46" i="200"/>
  <c r="I46" i="200"/>
  <c r="J45" i="200"/>
  <c r="I45" i="200"/>
  <c r="J44" i="200"/>
  <c r="I44" i="200"/>
  <c r="J37" i="200"/>
  <c r="I37" i="200"/>
  <c r="J36" i="200"/>
  <c r="I36" i="200"/>
  <c r="H32" i="200"/>
  <c r="J32" i="200" s="1"/>
  <c r="H31" i="200"/>
  <c r="J31" i="200" s="1"/>
  <c r="J30" i="200"/>
  <c r="I30" i="200"/>
  <c r="L28" i="200"/>
  <c r="I28" i="200"/>
  <c r="L27" i="200"/>
  <c r="I27" i="200"/>
  <c r="L26" i="200"/>
  <c r="I26" i="200"/>
  <c r="L25" i="200"/>
  <c r="I25" i="200"/>
  <c r="R22" i="200"/>
  <c r="T21" i="200"/>
  <c r="G21" i="200"/>
  <c r="U21" i="200" s="1" a="1"/>
  <c r="U21" i="200" s="1"/>
  <c r="A21" i="200"/>
  <c r="T19" i="200"/>
  <c r="G19" i="200"/>
  <c r="U19" i="200" s="1" a="1"/>
  <c r="U19" i="200" s="1"/>
  <c r="T15" i="200"/>
  <c r="G15" i="200"/>
  <c r="U15" i="200" s="1" a="1"/>
  <c r="U15" i="200" s="1"/>
  <c r="A15" i="200"/>
  <c r="T14" i="200"/>
  <c r="G14" i="200"/>
  <c r="U14" i="200" s="1" a="1"/>
  <c r="U14" i="200" s="1"/>
  <c r="A14" i="200"/>
  <c r="T12" i="200"/>
  <c r="G12" i="200"/>
  <c r="U12" i="200" s="1" a="1"/>
  <c r="U12" i="200" s="1"/>
  <c r="A12" i="200"/>
  <c r="T11" i="200"/>
  <c r="G11" i="200"/>
  <c r="U11" i="200" s="1" a="1"/>
  <c r="U11" i="200" s="1"/>
  <c r="A11" i="200"/>
  <c r="T10" i="200"/>
  <c r="G10" i="200"/>
  <c r="U10" i="200" s="1" a="1"/>
  <c r="U10" i="200" s="1"/>
  <c r="A10" i="200"/>
  <c r="T9" i="200"/>
  <c r="G9" i="200"/>
  <c r="U9" i="200" s="1" a="1"/>
  <c r="U9" i="200" s="1"/>
  <c r="A9" i="200"/>
  <c r="Y8" i="200"/>
  <c r="G8" i="200"/>
  <c r="V7" i="200"/>
  <c r="W7" i="200" s="1"/>
  <c r="G7" i="200"/>
  <c r="V6" i="200"/>
  <c r="U2" i="200" a="1"/>
  <c r="V12" i="200" l="1"/>
  <c r="W12" i="200" s="1"/>
  <c r="V11" i="200"/>
  <c r="W11" i="200" s="1"/>
  <c r="V10" i="200"/>
  <c r="X10" i="200" s="1"/>
  <c r="I35" i="200"/>
  <c r="I49" i="200"/>
  <c r="J49" i="200"/>
  <c r="I47" i="200"/>
  <c r="V19" i="200"/>
  <c r="X19" i="200" s="1"/>
  <c r="V21" i="200"/>
  <c r="W21" i="200" s="1"/>
  <c r="O3" i="200"/>
  <c r="Y7" i="200" s="1"/>
  <c r="V15" i="200"/>
  <c r="W15" i="200" s="1"/>
  <c r="V14" i="200"/>
  <c r="W14" i="200" s="1"/>
  <c r="V9" i="200"/>
  <c r="W9" i="200" s="1"/>
  <c r="U2" i="200"/>
  <c r="J33" i="200"/>
  <c r="J34" i="200" s="1"/>
  <c r="X7" i="200"/>
  <c r="U8" i="200" a="1"/>
  <c r="U8" i="200" s="1"/>
  <c r="V8" i="200" s="1"/>
  <c r="I31" i="200"/>
  <c r="I32" i="200"/>
  <c r="J47" i="200"/>
  <c r="N3" i="200"/>
  <c r="X12" i="200" l="1"/>
  <c r="Y12" i="200" s="1"/>
  <c r="X11" i="200"/>
  <c r="Y11" i="200" s="1"/>
  <c r="I48" i="200"/>
  <c r="W10" i="200"/>
  <c r="Y10" i="200" s="1"/>
  <c r="X15" i="200"/>
  <c r="Y15" i="200" s="1"/>
  <c r="X21" i="200"/>
  <c r="Y21" i="200" s="1"/>
  <c r="J48" i="200"/>
  <c r="X14" i="200"/>
  <c r="Y14" i="200" s="1"/>
  <c r="W19" i="200"/>
  <c r="X9" i="200"/>
  <c r="Y9" i="200" s="1"/>
  <c r="I33" i="200"/>
  <c r="I34" i="200" s="1"/>
  <c r="W22" i="200" l="1"/>
  <c r="Y19" i="200"/>
  <c r="X22" i="200"/>
  <c r="C79" i="198"/>
  <c r="J61" i="198"/>
  <c r="I61" i="198"/>
  <c r="J60" i="198"/>
  <c r="I60" i="198"/>
  <c r="J56" i="198"/>
  <c r="I56" i="198"/>
  <c r="J55" i="198"/>
  <c r="I55" i="198"/>
  <c r="J54" i="198"/>
  <c r="I54" i="198"/>
  <c r="J47" i="198"/>
  <c r="I47" i="198"/>
  <c r="J46" i="198"/>
  <c r="I46" i="198"/>
  <c r="H42" i="198"/>
  <c r="I42" i="198" s="1"/>
  <c r="H41" i="198"/>
  <c r="J41" i="198" s="1"/>
  <c r="J40" i="198"/>
  <c r="I40" i="198"/>
  <c r="L38" i="198"/>
  <c r="I38" i="198"/>
  <c r="L37" i="198"/>
  <c r="I37" i="198"/>
  <c r="L36" i="198"/>
  <c r="I36" i="198"/>
  <c r="L35" i="198"/>
  <c r="I35" i="198"/>
  <c r="R32" i="198"/>
  <c r="T31" i="198"/>
  <c r="G31" i="198"/>
  <c r="U31" i="198" s="1" a="1"/>
  <c r="U31" i="198" s="1"/>
  <c r="A31" i="198"/>
  <c r="T30" i="198"/>
  <c r="G30" i="198"/>
  <c r="U30" i="198" s="1" a="1"/>
  <c r="U30" i="198" s="1"/>
  <c r="A30" i="198"/>
  <c r="T29" i="198"/>
  <c r="G29" i="198"/>
  <c r="U29" i="198" s="1" a="1"/>
  <c r="U29" i="198" s="1"/>
  <c r="A29" i="198"/>
  <c r="T28" i="198"/>
  <c r="G28" i="198"/>
  <c r="U28" i="198" s="1" a="1"/>
  <c r="U28" i="198" s="1"/>
  <c r="T22" i="198"/>
  <c r="G22" i="198"/>
  <c r="U22" i="198" s="1" a="1"/>
  <c r="U22" i="198" s="1"/>
  <c r="A22" i="198"/>
  <c r="T21" i="198"/>
  <c r="G21" i="198"/>
  <c r="U21" i="198" s="1" a="1"/>
  <c r="U21" i="198" s="1"/>
  <c r="A21" i="198"/>
  <c r="T20" i="198"/>
  <c r="G20" i="198"/>
  <c r="U20" i="198" s="1" a="1"/>
  <c r="U20" i="198" s="1"/>
  <c r="A20" i="198"/>
  <c r="T19" i="198"/>
  <c r="G19" i="198"/>
  <c r="U19" i="198" s="1" a="1"/>
  <c r="U19" i="198" s="1"/>
  <c r="A19" i="198"/>
  <c r="T11" i="198"/>
  <c r="G11" i="198"/>
  <c r="U11" i="198" s="1" a="1"/>
  <c r="U11" i="198" s="1"/>
  <c r="A11" i="198"/>
  <c r="U10" i="198" a="1"/>
  <c r="U10" i="198" s="1"/>
  <c r="T10" i="198"/>
  <c r="G10" i="198"/>
  <c r="A10" i="198"/>
  <c r="U9" i="198" a="1"/>
  <c r="U9" i="198" s="1"/>
  <c r="T9" i="198"/>
  <c r="G9" i="198"/>
  <c r="A9" i="198"/>
  <c r="Y8" i="198"/>
  <c r="G8" i="198"/>
  <c r="V7" i="198"/>
  <c r="X7" i="198" s="1"/>
  <c r="G7" i="198"/>
  <c r="V6" i="198"/>
  <c r="U2" i="198" a="1"/>
  <c r="V29" i="198" l="1"/>
  <c r="X29" i="198" s="1"/>
  <c r="V31" i="198"/>
  <c r="W31" i="198" s="1"/>
  <c r="V19" i="198"/>
  <c r="X19" i="198" s="1"/>
  <c r="V11" i="198"/>
  <c r="X11" i="198" s="1"/>
  <c r="V22" i="198"/>
  <c r="X22" i="198" s="1"/>
  <c r="V28" i="198"/>
  <c r="X28" i="198" s="1"/>
  <c r="J42" i="198"/>
  <c r="J43" i="198" s="1"/>
  <c r="J44" i="198" s="1"/>
  <c r="J59" i="198"/>
  <c r="V21" i="198"/>
  <c r="W21" i="198" s="1"/>
  <c r="I59" i="198"/>
  <c r="N3" i="198"/>
  <c r="O3" i="198"/>
  <c r="Y7" i="198" s="1"/>
  <c r="I57" i="198"/>
  <c r="I45" i="198"/>
  <c r="J57" i="198"/>
  <c r="V10" i="198"/>
  <c r="W10" i="198" s="1"/>
  <c r="V9" i="198"/>
  <c r="W9" i="198" s="1"/>
  <c r="V20" i="198"/>
  <c r="X20" i="198" s="1"/>
  <c r="V30" i="198"/>
  <c r="W30" i="198" s="1"/>
  <c r="U2" i="198"/>
  <c r="W7" i="198"/>
  <c r="U8" i="198" a="1"/>
  <c r="U8" i="198" s="1"/>
  <c r="V8" i="198" s="1"/>
  <c r="I41" i="198"/>
  <c r="X31" i="198" l="1"/>
  <c r="W29" i="198"/>
  <c r="W19" i="198"/>
  <c r="Y19" i="198" s="1"/>
  <c r="W11" i="198"/>
  <c r="Y11" i="198" s="1"/>
  <c r="X21" i="198"/>
  <c r="Y21" i="198" s="1"/>
  <c r="W28" i="198"/>
  <c r="Y28" i="198" s="1"/>
  <c r="W22" i="198"/>
  <c r="Y22" i="198" s="1"/>
  <c r="W20" i="198"/>
  <c r="Y20" i="198" s="1"/>
  <c r="J58" i="198"/>
  <c r="X30" i="198"/>
  <c r="Y30" i="198" s="1"/>
  <c r="X10" i="198"/>
  <c r="Y10" i="198" s="1"/>
  <c r="I58" i="198"/>
  <c r="Y31" i="198"/>
  <c r="X9" i="198"/>
  <c r="Y9" i="198" s="1"/>
  <c r="Y29" i="198"/>
  <c r="I43" i="198"/>
  <c r="I44" i="198" s="1"/>
  <c r="W32" i="198" l="1"/>
  <c r="X32" i="198"/>
  <c r="H23" i="197"/>
  <c r="J23" i="197" s="1"/>
  <c r="G23" i="197"/>
  <c r="I23" i="197" s="1"/>
  <c r="F23" i="197"/>
  <c r="E23" i="197"/>
  <c r="H22" i="197"/>
  <c r="J22" i="197" s="1"/>
  <c r="G22" i="197"/>
  <c r="I22" i="197" s="1"/>
  <c r="F22" i="197"/>
  <c r="E22" i="197"/>
  <c r="H21" i="197"/>
  <c r="J21" i="197" s="1"/>
  <c r="G21" i="197"/>
  <c r="I21" i="197" s="1"/>
  <c r="F21" i="197"/>
  <c r="E21" i="197"/>
  <c r="H20" i="197"/>
  <c r="J20" i="197" s="1"/>
  <c r="G20" i="197"/>
  <c r="I20" i="197" s="1"/>
  <c r="F20" i="197"/>
  <c r="E20" i="197"/>
  <c r="H19" i="197"/>
  <c r="J19" i="197" s="1"/>
  <c r="G19" i="197"/>
  <c r="I19" i="197" s="1"/>
  <c r="F19" i="197"/>
  <c r="E19" i="197"/>
  <c r="G7" i="197"/>
  <c r="H23" i="196"/>
  <c r="J23" i="196" s="1"/>
  <c r="G23" i="196"/>
  <c r="I23" i="196" s="1"/>
  <c r="F23" i="196"/>
  <c r="E23" i="196"/>
  <c r="H22" i="196"/>
  <c r="J22" i="196" s="1"/>
  <c r="G22" i="196"/>
  <c r="I22" i="196" s="1"/>
  <c r="F22" i="196"/>
  <c r="E22" i="196"/>
  <c r="H21" i="196"/>
  <c r="J21" i="196" s="1"/>
  <c r="G21" i="196"/>
  <c r="I21" i="196" s="1"/>
  <c r="F21" i="196"/>
  <c r="E21" i="196"/>
  <c r="H20" i="196"/>
  <c r="J20" i="196" s="1"/>
  <c r="G20" i="196"/>
  <c r="I20" i="196" s="1"/>
  <c r="F20" i="196"/>
  <c r="E20" i="196"/>
  <c r="H19" i="196"/>
  <c r="J19" i="196" s="1"/>
  <c r="G19" i="196"/>
  <c r="I19" i="196" s="1"/>
  <c r="F19" i="196"/>
  <c r="E19" i="196"/>
  <c r="G7" i="196"/>
  <c r="G7" i="195"/>
  <c r="E19" i="195"/>
  <c r="F19" i="195"/>
  <c r="G19" i="195"/>
  <c r="I19" i="195" s="1"/>
  <c r="L19" i="195" s="1"/>
  <c r="H19" i="195"/>
  <c r="J19" i="195" s="1"/>
  <c r="K19" i="195" s="1"/>
  <c r="E20" i="195"/>
  <c r="F20" i="195"/>
  <c r="G20" i="195"/>
  <c r="I20" i="195" s="1"/>
  <c r="N20" i="195" s="1"/>
  <c r="H20" i="195"/>
  <c r="J20" i="195" s="1"/>
  <c r="K20" i="195" s="1"/>
  <c r="E21" i="195"/>
  <c r="F21" i="195"/>
  <c r="G21" i="195"/>
  <c r="I21" i="195" s="1"/>
  <c r="L21" i="195" s="1"/>
  <c r="H21" i="195"/>
  <c r="J21" i="195" s="1"/>
  <c r="K21" i="195" s="1"/>
  <c r="E22" i="195"/>
  <c r="F22" i="195"/>
  <c r="G22" i="195"/>
  <c r="I22" i="195" s="1"/>
  <c r="N22" i="195" s="1"/>
  <c r="H22" i="195"/>
  <c r="J22" i="195" s="1"/>
  <c r="K22" i="195" s="1"/>
  <c r="E23" i="195"/>
  <c r="F23" i="195"/>
  <c r="G23" i="195"/>
  <c r="I23" i="195" s="1"/>
  <c r="L23" i="195" s="1"/>
  <c r="H23" i="195"/>
  <c r="J23" i="195" s="1"/>
  <c r="K23" i="195" s="1"/>
  <c r="M21" i="197" l="1"/>
  <c r="K21" i="197"/>
  <c r="L19" i="197"/>
  <c r="N19" i="197"/>
  <c r="M19" i="197"/>
  <c r="K19" i="197"/>
  <c r="M22" i="197"/>
  <c r="K22" i="197"/>
  <c r="L20" i="197"/>
  <c r="N20" i="197"/>
  <c r="N23" i="197"/>
  <c r="L23" i="197"/>
  <c r="L21" i="197"/>
  <c r="N21" i="197"/>
  <c r="L22" i="197"/>
  <c r="N22" i="197"/>
  <c r="M20" i="197"/>
  <c r="K20" i="197"/>
  <c r="M23" i="197"/>
  <c r="K23" i="197"/>
  <c r="M21" i="196"/>
  <c r="K21" i="196"/>
  <c r="N19" i="196"/>
  <c r="L19" i="196"/>
  <c r="M22" i="196"/>
  <c r="K22" i="196"/>
  <c r="L20" i="196"/>
  <c r="N20" i="196"/>
  <c r="L23" i="196"/>
  <c r="N23" i="196"/>
  <c r="N21" i="196"/>
  <c r="L21" i="196"/>
  <c r="L22" i="196"/>
  <c r="N22" i="196"/>
  <c r="M19" i="196"/>
  <c r="K19" i="196"/>
  <c r="K20" i="196"/>
  <c r="M20" i="196"/>
  <c r="M23" i="196"/>
  <c r="K23" i="196"/>
  <c r="N23" i="195"/>
  <c r="N21" i="195"/>
  <c r="N19" i="195"/>
  <c r="M21" i="195"/>
  <c r="L22" i="195"/>
  <c r="L20" i="195"/>
  <c r="M23" i="195"/>
  <c r="Q23" i="195" s="1"/>
  <c r="O23" i="195" s="1"/>
  <c r="M22" i="195"/>
  <c r="M20" i="195"/>
  <c r="M19" i="195"/>
  <c r="Q21" i="195" l="1"/>
  <c r="O21" i="195" s="1"/>
  <c r="Q19" i="196"/>
  <c r="O19" i="196" s="1"/>
  <c r="Q22" i="196"/>
  <c r="O22" i="196" s="1"/>
  <c r="Q21" i="197"/>
  <c r="O21" i="197" s="1"/>
  <c r="Q22" i="197"/>
  <c r="O22" i="197" s="1"/>
  <c r="Q20" i="195"/>
  <c r="O20" i="195" s="1"/>
  <c r="Q22" i="195"/>
  <c r="O22" i="195" s="1"/>
  <c r="Q19" i="195"/>
  <c r="O19" i="195" s="1"/>
  <c r="Q20" i="197"/>
  <c r="O20" i="197" s="1"/>
  <c r="Q23" i="197"/>
  <c r="O23" i="197" s="1"/>
  <c r="Q19" i="197"/>
  <c r="O19" i="197" s="1"/>
  <c r="Q20" i="196"/>
  <c r="O20" i="196" s="1"/>
  <c r="Q21" i="196"/>
  <c r="O21" i="196" s="1"/>
  <c r="Q23" i="196"/>
  <c r="O23" i="196" s="1"/>
  <c r="C11" i="195" l="1"/>
  <c r="W3" i="198" s="1"/>
  <c r="Y6" i="198" s="1"/>
  <c r="Y32" i="198" s="1"/>
  <c r="C3" i="198" s="1"/>
  <c r="E13" i="43" s="1"/>
  <c r="C12" i="196"/>
  <c r="C12" i="195"/>
  <c r="C12" i="197"/>
  <c r="C11" i="197"/>
  <c r="C11" i="196"/>
  <c r="W3" i="204" s="1"/>
  <c r="Y6" i="204" s="1"/>
  <c r="Y46" i="204" s="1"/>
  <c r="C3" i="204" s="1"/>
  <c r="E14" i="43" s="1"/>
  <c r="C8" i="195" l="1"/>
  <c r="C10" i="195" s="1"/>
  <c r="U14" i="43"/>
  <c r="I14" i="43"/>
  <c r="I13" i="43"/>
  <c r="U13" i="43"/>
  <c r="C8" i="196"/>
  <c r="C9" i="196" s="1"/>
  <c r="C8" i="197"/>
  <c r="C9" i="197" s="1"/>
  <c r="W3" i="200"/>
  <c r="Y6" i="200" s="1"/>
  <c r="Y22" i="200" s="1"/>
  <c r="C3" i="200" s="1"/>
  <c r="E15" i="43" s="1"/>
  <c r="C9" i="195" l="1"/>
  <c r="G6" i="195" s="1"/>
  <c r="G8" i="195" s="1"/>
  <c r="G9" i="195" s="1"/>
  <c r="I15" i="43"/>
  <c r="U15" i="43"/>
  <c r="C10" i="196"/>
  <c r="G6" i="196" s="1"/>
  <c r="G8" i="196" s="1"/>
  <c r="G9" i="196" s="1"/>
  <c r="C10" i="197"/>
  <c r="G6" i="197" s="1"/>
  <c r="G8" i="197" s="1"/>
  <c r="G9" i="197" s="1"/>
  <c r="I9" i="43" l="1"/>
  <c r="U9" i="43"/>
  <c r="I8" i="43"/>
  <c r="U8" i="43"/>
  <c r="AV8" i="48"/>
  <c r="AN5" i="47" l="1"/>
  <c r="AJ5" i="47"/>
  <c r="AF5" i="47"/>
  <c r="O5" i="48"/>
  <c r="N5" i="48"/>
  <c r="M5" i="48"/>
  <c r="K5" i="48"/>
  <c r="H5" i="48"/>
  <c r="G5" i="48"/>
  <c r="F5" i="48"/>
  <c r="E5" i="48"/>
  <c r="D5" i="48"/>
  <c r="C5" i="48"/>
  <c r="AD5" i="43"/>
  <c r="AC5" i="43"/>
  <c r="AB5" i="43"/>
  <c r="AA5" i="43"/>
  <c r="Z5" i="43"/>
  <c r="Y5" i="43"/>
  <c r="X5" i="43"/>
  <c r="W5" i="43"/>
  <c r="I5" i="43"/>
  <c r="E5" i="43"/>
  <c r="AX5" i="44"/>
  <c r="AW5" i="44"/>
  <c r="AV5" i="44"/>
  <c r="AU5" i="44"/>
  <c r="AT5" i="44"/>
  <c r="AO5" i="44"/>
  <c r="AM5" i="44"/>
  <c r="Q5" i="44"/>
  <c r="O5" i="44"/>
  <c r="BR5" i="38"/>
  <c r="BQ5" i="38"/>
  <c r="BO5" i="38"/>
  <c r="BM5" i="38"/>
  <c r="BK5" i="38"/>
  <c r="BI5" i="38"/>
  <c r="BH5" i="38"/>
  <c r="BF5" i="38"/>
  <c r="BD5" i="38"/>
  <c r="BB5" i="38"/>
  <c r="BA5" i="38"/>
  <c r="AZ5" i="38"/>
  <c r="AX5" i="38"/>
  <c r="AW5" i="38"/>
  <c r="AP5" i="38"/>
  <c r="AO5" i="38"/>
  <c r="AL5" i="38"/>
  <c r="AK5" i="38"/>
  <c r="AJ5" i="38"/>
  <c r="AI5" i="38"/>
  <c r="AF5" i="38"/>
  <c r="AA5" i="38"/>
  <c r="V5" i="38"/>
  <c r="R5" i="38"/>
  <c r="J5" i="38"/>
  <c r="A3" i="50"/>
  <c r="N3" i="50"/>
  <c r="P3" i="50"/>
  <c r="B12" i="38" l="1"/>
  <c r="CG12" i="38" s="1"/>
  <c r="P20" i="50" a="1"/>
  <c r="P20" i="50" s="1"/>
  <c r="A20" i="50"/>
  <c r="P17" i="50" a="1"/>
  <c r="P17" i="50" s="1"/>
  <c r="A17" i="50"/>
  <c r="P18" i="50" a="1"/>
  <c r="P18" i="50" s="1"/>
  <c r="A18" i="50"/>
  <c r="P19" i="50" a="1"/>
  <c r="P19" i="50" s="1"/>
  <c r="A19" i="50"/>
  <c r="P21" i="50" a="1"/>
  <c r="P21" i="50" s="1"/>
  <c r="A21" i="50"/>
  <c r="P9" i="50" a="1"/>
  <c r="P9" i="50" s="1"/>
  <c r="A9" i="50"/>
  <c r="P10" i="50" a="1"/>
  <c r="P10" i="50" s="1"/>
  <c r="A10" i="50"/>
  <c r="P11" i="50" a="1"/>
  <c r="P11" i="50" s="1"/>
  <c r="A11" i="50"/>
  <c r="P13" i="50" a="1"/>
  <c r="P13" i="50" s="1"/>
  <c r="A13" i="50"/>
  <c r="P14" i="50" a="1"/>
  <c r="P14" i="50" s="1"/>
  <c r="A14" i="50"/>
  <c r="P5" i="50" a="1"/>
  <c r="P5" i="50" s="1"/>
  <c r="A5" i="50"/>
  <c r="P6" i="50" a="1"/>
  <c r="P6" i="50" s="1"/>
  <c r="A6" i="50"/>
  <c r="B37" i="38" s="1"/>
  <c r="P7" i="50" a="1"/>
  <c r="P7" i="50" s="1"/>
  <c r="A7" i="50"/>
  <c r="P8" i="50" a="1"/>
  <c r="P8" i="50" s="1"/>
  <c r="A8" i="50"/>
  <c r="B7" i="47"/>
  <c r="B8" i="47"/>
  <c r="B9" i="47"/>
  <c r="B10" i="47"/>
  <c r="B11" i="47"/>
  <c r="B12" i="47"/>
  <c r="B13" i="47"/>
  <c r="B14" i="47"/>
  <c r="B15" i="47"/>
  <c r="B16" i="47"/>
  <c r="B17" i="47"/>
  <c r="B18" i="47"/>
  <c r="B19" i="47"/>
  <c r="B20" i="47"/>
  <c r="B21" i="47"/>
  <c r="B22" i="47"/>
  <c r="B23" i="47"/>
  <c r="B24" i="47"/>
  <c r="B25" i="47"/>
  <c r="B26" i="47"/>
  <c r="S7" i="47"/>
  <c r="AQ7" i="47" s="1"/>
  <c r="S8" i="47"/>
  <c r="AQ8" i="47" s="1"/>
  <c r="S9" i="47"/>
  <c r="AN9" i="47" s="1"/>
  <c r="AO9" i="47" s="1"/>
  <c r="S10" i="47"/>
  <c r="AQ10" i="47" s="1"/>
  <c r="S11" i="47"/>
  <c r="AQ11" i="47" s="1"/>
  <c r="S12" i="47"/>
  <c r="AP12" i="47" s="1"/>
  <c r="S13" i="47"/>
  <c r="AP13" i="47" s="1"/>
  <c r="S14" i="47"/>
  <c r="AP14" i="47" s="1"/>
  <c r="S15" i="47"/>
  <c r="AP15" i="47" s="1"/>
  <c r="S16" i="47"/>
  <c r="AP16" i="47" s="1"/>
  <c r="S17" i="47"/>
  <c r="AN17" i="47" s="1"/>
  <c r="AO17" i="47" s="1"/>
  <c r="S18" i="47"/>
  <c r="AP18" i="47" s="1"/>
  <c r="S19" i="47"/>
  <c r="AN19" i="47" s="1"/>
  <c r="AO19" i="47" s="1"/>
  <c r="S20" i="47"/>
  <c r="AN20" i="47" s="1"/>
  <c r="AO20" i="47" s="1"/>
  <c r="S21" i="47"/>
  <c r="AN21" i="47" s="1"/>
  <c r="AO21" i="47" s="1"/>
  <c r="S22" i="47"/>
  <c r="AQ22" i="47" s="1"/>
  <c r="S23" i="47"/>
  <c r="AQ23" i="47" s="1"/>
  <c r="S24" i="47"/>
  <c r="AP24" i="47" s="1"/>
  <c r="S25" i="47"/>
  <c r="AN25" i="47" s="1"/>
  <c r="AO25" i="47" s="1"/>
  <c r="S26" i="47"/>
  <c r="AP26" i="47" s="1"/>
  <c r="T7" i="47" a="1"/>
  <c r="T7" i="47" s="1"/>
  <c r="T8" i="47" a="1"/>
  <c r="T8" i="47" s="1"/>
  <c r="T9" i="47" a="1"/>
  <c r="T9" i="47" s="1"/>
  <c r="T10" i="47" a="1"/>
  <c r="T10" i="47" s="1"/>
  <c r="T11" i="47" a="1"/>
  <c r="T11" i="47" s="1"/>
  <c r="T12" i="47" a="1"/>
  <c r="T12" i="47" s="1"/>
  <c r="T13" i="47" a="1"/>
  <c r="T13" i="47" s="1"/>
  <c r="T14" i="47" a="1"/>
  <c r="T14" i="47" s="1"/>
  <c r="T15" i="47" a="1"/>
  <c r="T15" i="47" s="1"/>
  <c r="T16" i="47" a="1"/>
  <c r="T16" i="47" s="1"/>
  <c r="T17" i="47" a="1"/>
  <c r="T17" i="47" s="1"/>
  <c r="T18" i="47" a="1"/>
  <c r="T18" i="47" s="1"/>
  <c r="T19" i="47" a="1"/>
  <c r="T19" i="47" s="1"/>
  <c r="T20" i="47" a="1"/>
  <c r="T20" i="47" s="1"/>
  <c r="T21" i="47" a="1"/>
  <c r="T21" i="47" s="1"/>
  <c r="T22" i="47" a="1"/>
  <c r="T22" i="47" s="1"/>
  <c r="T23" i="47" a="1"/>
  <c r="T23" i="47" s="1"/>
  <c r="T24" i="47" a="1"/>
  <c r="T24" i="47" s="1"/>
  <c r="T25" i="47" a="1"/>
  <c r="T25" i="47" s="1"/>
  <c r="T26" i="47" a="1"/>
  <c r="T26" i="47" s="1"/>
  <c r="V7" i="47" a="1"/>
  <c r="V7" i="47" s="1"/>
  <c r="V8" i="47" a="1"/>
  <c r="V8" i="47" s="1"/>
  <c r="V9" i="47" a="1"/>
  <c r="V9" i="47" s="1"/>
  <c r="V10" i="47" a="1"/>
  <c r="V10" i="47" s="1"/>
  <c r="V11" i="47" a="1"/>
  <c r="V11" i="47" s="1"/>
  <c r="V12" i="47" a="1"/>
  <c r="V12" i="47" s="1"/>
  <c r="V13" i="47" a="1"/>
  <c r="V13" i="47" s="1"/>
  <c r="V14" i="47" a="1"/>
  <c r="V14" i="47" s="1"/>
  <c r="V15" i="47" a="1"/>
  <c r="V15" i="47" s="1"/>
  <c r="V16" i="47" a="1"/>
  <c r="V16" i="47" s="1"/>
  <c r="V17" i="47" a="1"/>
  <c r="V17" i="47" s="1"/>
  <c r="V18" i="47" a="1"/>
  <c r="V18" i="47" s="1"/>
  <c r="V19" i="47" a="1"/>
  <c r="V19" i="47" s="1"/>
  <c r="V20" i="47" a="1"/>
  <c r="V20" i="47" s="1"/>
  <c r="V21" i="47" a="1"/>
  <c r="V21" i="47" s="1"/>
  <c r="V22" i="47" a="1"/>
  <c r="V22" i="47" s="1"/>
  <c r="V23" i="47" a="1"/>
  <c r="V23" i="47" s="1"/>
  <c r="V24" i="47" a="1"/>
  <c r="V24" i="47" s="1"/>
  <c r="V25" i="47" a="1"/>
  <c r="V25" i="47" s="1"/>
  <c r="V26" i="47" a="1"/>
  <c r="V26" i="47" s="1"/>
  <c r="W7" i="47" a="1"/>
  <c r="W7" i="47" s="1"/>
  <c r="W8" i="47" a="1"/>
  <c r="W8" i="47" s="1"/>
  <c r="W9" i="47" a="1"/>
  <c r="W9" i="47" s="1"/>
  <c r="W10" i="47" a="1"/>
  <c r="W10" i="47" s="1"/>
  <c r="W11" i="47" a="1"/>
  <c r="W11" i="47" s="1"/>
  <c r="W12" i="47" a="1"/>
  <c r="W12" i="47" s="1"/>
  <c r="W13" i="47" a="1"/>
  <c r="W13" i="47" s="1"/>
  <c r="W14" i="47" a="1"/>
  <c r="W14" i="47" s="1"/>
  <c r="W15" i="47" a="1"/>
  <c r="W15" i="47" s="1"/>
  <c r="W16" i="47" a="1"/>
  <c r="W16" i="47" s="1"/>
  <c r="W17" i="47" a="1"/>
  <c r="W17" i="47" s="1"/>
  <c r="W18" i="47" a="1"/>
  <c r="W18" i="47" s="1"/>
  <c r="W19" i="47" a="1"/>
  <c r="W19" i="47" s="1"/>
  <c r="W20" i="47" a="1"/>
  <c r="W20" i="47" s="1"/>
  <c r="W21" i="47" a="1"/>
  <c r="W21" i="47" s="1"/>
  <c r="W22" i="47" a="1"/>
  <c r="W22" i="47" s="1"/>
  <c r="W23" i="47" a="1"/>
  <c r="W23" i="47" s="1"/>
  <c r="W24" i="47" a="1"/>
  <c r="W24" i="47" s="1"/>
  <c r="W25" i="47" a="1"/>
  <c r="W25" i="47" s="1"/>
  <c r="W26" i="47" a="1"/>
  <c r="W26" i="47" s="1"/>
  <c r="X7" i="47" a="1"/>
  <c r="X7" i="47" s="1"/>
  <c r="X8" i="47" a="1"/>
  <c r="X8" i="47" s="1"/>
  <c r="X9" i="47" a="1"/>
  <c r="X9" i="47" s="1"/>
  <c r="X10" i="47" a="1"/>
  <c r="X10" i="47" s="1"/>
  <c r="X11" i="47" a="1"/>
  <c r="X11" i="47" s="1"/>
  <c r="X12" i="47" a="1"/>
  <c r="X12" i="47" s="1"/>
  <c r="X13" i="47" a="1"/>
  <c r="X13" i="47" s="1"/>
  <c r="X14" i="47" a="1"/>
  <c r="X14" i="47" s="1"/>
  <c r="X15" i="47" a="1"/>
  <c r="X15" i="47" s="1"/>
  <c r="X16" i="47" a="1"/>
  <c r="X16" i="47" s="1"/>
  <c r="X17" i="47" a="1"/>
  <c r="X17" i="47" s="1"/>
  <c r="X18" i="47" a="1"/>
  <c r="X18" i="47" s="1"/>
  <c r="X19" i="47" a="1"/>
  <c r="X19" i="47" s="1"/>
  <c r="X20" i="47" a="1"/>
  <c r="X20" i="47" s="1"/>
  <c r="X21" i="47" a="1"/>
  <c r="X21" i="47" s="1"/>
  <c r="X22" i="47" a="1"/>
  <c r="X22" i="47" s="1"/>
  <c r="X23" i="47" a="1"/>
  <c r="X23" i="47" s="1"/>
  <c r="X24" i="47" a="1"/>
  <c r="X24" i="47" s="1"/>
  <c r="X25" i="47" a="1"/>
  <c r="X25" i="47" s="1"/>
  <c r="X26" i="47" a="1"/>
  <c r="X26" i="47" s="1"/>
  <c r="Y7" i="47" a="1"/>
  <c r="Y7" i="47" s="1"/>
  <c r="Y8" i="47" a="1"/>
  <c r="Y8" i="47" s="1"/>
  <c r="Y9" i="47" a="1"/>
  <c r="Y9" i="47" s="1"/>
  <c r="Y10" i="47" a="1"/>
  <c r="Y10" i="47" s="1"/>
  <c r="Y11" i="47" a="1"/>
  <c r="Y11" i="47" s="1"/>
  <c r="Y12" i="47" a="1"/>
  <c r="Y12" i="47" s="1"/>
  <c r="Y13" i="47" a="1"/>
  <c r="Y13" i="47" s="1"/>
  <c r="Y14" i="47" a="1"/>
  <c r="Y14" i="47" s="1"/>
  <c r="Y15" i="47" a="1"/>
  <c r="Y15" i="47" s="1"/>
  <c r="Y16" i="47" a="1"/>
  <c r="Y16" i="47" s="1"/>
  <c r="Y17" i="47" a="1"/>
  <c r="Y17" i="47" s="1"/>
  <c r="Y18" i="47" a="1"/>
  <c r="Y18" i="47" s="1"/>
  <c r="Y19" i="47" a="1"/>
  <c r="Y19" i="47" s="1"/>
  <c r="Y20" i="47" a="1"/>
  <c r="Y20" i="47" s="1"/>
  <c r="Y21" i="47" a="1"/>
  <c r="Y21" i="47" s="1"/>
  <c r="Y22" i="47" a="1"/>
  <c r="Y22" i="47" s="1"/>
  <c r="Y23" i="47" a="1"/>
  <c r="Y23" i="47" s="1"/>
  <c r="Y24" i="47" a="1"/>
  <c r="Y24" i="47" s="1"/>
  <c r="Y25" i="47" a="1"/>
  <c r="Y25" i="47" s="1"/>
  <c r="Y26" i="47" a="1"/>
  <c r="Y26" i="47" s="1"/>
  <c r="Z7" i="47" a="1"/>
  <c r="Z7" i="47" s="1"/>
  <c r="Z8" i="47" a="1"/>
  <c r="Z8" i="47" s="1"/>
  <c r="Z9" i="47" a="1"/>
  <c r="Z9" i="47" s="1"/>
  <c r="Z10" i="47" a="1"/>
  <c r="Z10" i="47" s="1"/>
  <c r="Z11" i="47" a="1"/>
  <c r="Z11" i="47" s="1"/>
  <c r="Z12" i="47" a="1"/>
  <c r="Z12" i="47" s="1"/>
  <c r="Z13" i="47" a="1"/>
  <c r="Z13" i="47" s="1"/>
  <c r="Z14" i="47" a="1"/>
  <c r="Z14" i="47" s="1"/>
  <c r="Z15" i="47" a="1"/>
  <c r="Z15" i="47" s="1"/>
  <c r="Z16" i="47" a="1"/>
  <c r="Z16" i="47" s="1"/>
  <c r="Z17" i="47" a="1"/>
  <c r="Z17" i="47" s="1"/>
  <c r="Z18" i="47" a="1"/>
  <c r="Z18" i="47" s="1"/>
  <c r="Z19" i="47" a="1"/>
  <c r="Z19" i="47" s="1"/>
  <c r="Z20" i="47" a="1"/>
  <c r="Z20" i="47" s="1"/>
  <c r="Z21" i="47" a="1"/>
  <c r="Z21" i="47" s="1"/>
  <c r="Z22" i="47" a="1"/>
  <c r="Z22" i="47" s="1"/>
  <c r="Z23" i="47" a="1"/>
  <c r="Z23" i="47" s="1"/>
  <c r="Z24" i="47" a="1"/>
  <c r="Z24" i="47" s="1"/>
  <c r="Z25" i="47" a="1"/>
  <c r="Z25" i="47" s="1"/>
  <c r="Z26" i="47" a="1"/>
  <c r="Z26" i="47" s="1"/>
  <c r="AA7" i="47" a="1"/>
  <c r="AA7" i="47" s="1"/>
  <c r="AA8" i="47" a="1"/>
  <c r="AA8" i="47" s="1"/>
  <c r="AA9" i="47" a="1"/>
  <c r="AA9" i="47" s="1"/>
  <c r="AA10" i="47" a="1"/>
  <c r="AA10" i="47" s="1"/>
  <c r="AA11" i="47" a="1"/>
  <c r="AA11" i="47" s="1"/>
  <c r="AA12" i="47" a="1"/>
  <c r="AA12" i="47" s="1"/>
  <c r="AA13" i="47" a="1"/>
  <c r="AA13" i="47" s="1"/>
  <c r="AA14" i="47" a="1"/>
  <c r="AA14" i="47" s="1"/>
  <c r="AA15" i="47" a="1"/>
  <c r="AA15" i="47" s="1"/>
  <c r="AA16" i="47" a="1"/>
  <c r="AA16" i="47" s="1"/>
  <c r="AA17" i="47" a="1"/>
  <c r="AA17" i="47" s="1"/>
  <c r="AA18" i="47" a="1"/>
  <c r="AA18" i="47" s="1"/>
  <c r="AA19" i="47" a="1"/>
  <c r="AA19" i="47" s="1"/>
  <c r="AA20" i="47" a="1"/>
  <c r="AA20" i="47" s="1"/>
  <c r="AA21" i="47" a="1"/>
  <c r="AA21" i="47" s="1"/>
  <c r="AA22" i="47" a="1"/>
  <c r="AA22" i="47" s="1"/>
  <c r="AA23" i="47" a="1"/>
  <c r="AA23" i="47" s="1"/>
  <c r="AA24" i="47" a="1"/>
  <c r="AA24" i="47" s="1"/>
  <c r="AA25" i="47" a="1"/>
  <c r="AA25" i="47" s="1"/>
  <c r="AA26" i="47" a="1"/>
  <c r="AA26" i="47" s="1"/>
  <c r="AB7" i="47" a="1"/>
  <c r="AB7" i="47" s="1"/>
  <c r="AB8" i="47" a="1"/>
  <c r="AB8" i="47" s="1"/>
  <c r="AB9" i="47" a="1"/>
  <c r="AB9" i="47" s="1"/>
  <c r="AB10" i="47" a="1"/>
  <c r="AB10" i="47" s="1"/>
  <c r="AB11" i="47" a="1"/>
  <c r="AB11" i="47" s="1"/>
  <c r="AB12" i="47" a="1"/>
  <c r="AB12" i="47" s="1"/>
  <c r="AB13" i="47" a="1"/>
  <c r="AB13" i="47" s="1"/>
  <c r="AB14" i="47" a="1"/>
  <c r="AB14" i="47" s="1"/>
  <c r="AB15" i="47" a="1"/>
  <c r="AB15" i="47" s="1"/>
  <c r="AB16" i="47" a="1"/>
  <c r="AB16" i="47" s="1"/>
  <c r="AB17" i="47" a="1"/>
  <c r="AB17" i="47" s="1"/>
  <c r="AB18" i="47" a="1"/>
  <c r="AB18" i="47" s="1"/>
  <c r="AB19" i="47" a="1"/>
  <c r="AB19" i="47" s="1"/>
  <c r="AB20" i="47" a="1"/>
  <c r="AB20" i="47" s="1"/>
  <c r="AB21" i="47" a="1"/>
  <c r="AB21" i="47" s="1"/>
  <c r="AB22" i="47" a="1"/>
  <c r="AB22" i="47" s="1"/>
  <c r="AB23" i="47" a="1"/>
  <c r="AB23" i="47" s="1"/>
  <c r="AB24" i="47" a="1"/>
  <c r="AB24" i="47" s="1"/>
  <c r="AB25" i="47" a="1"/>
  <c r="AB25" i="47" s="1"/>
  <c r="AB26" i="47" a="1"/>
  <c r="AB26" i="47" s="1"/>
  <c r="AC7" i="47" a="1"/>
  <c r="AC7" i="47" s="1"/>
  <c r="AC8" i="47" a="1"/>
  <c r="AC8" i="47" s="1"/>
  <c r="AC9" i="47" a="1"/>
  <c r="AC9" i="47" s="1"/>
  <c r="AC10" i="47" a="1"/>
  <c r="AC10" i="47" s="1"/>
  <c r="AC11" i="47" a="1"/>
  <c r="AC11" i="47" s="1"/>
  <c r="AC12" i="47" a="1"/>
  <c r="AC12" i="47" s="1"/>
  <c r="AC13" i="47" a="1"/>
  <c r="AC13" i="47" s="1"/>
  <c r="AC14" i="47" a="1"/>
  <c r="AC14" i="47" s="1"/>
  <c r="AC15" i="47" a="1"/>
  <c r="AC15" i="47" s="1"/>
  <c r="AC16" i="47" a="1"/>
  <c r="AC16" i="47" s="1"/>
  <c r="AC17" i="47" a="1"/>
  <c r="AC17" i="47" s="1"/>
  <c r="AC18" i="47" a="1"/>
  <c r="AC18" i="47" s="1"/>
  <c r="AC19" i="47" a="1"/>
  <c r="AC19" i="47" s="1"/>
  <c r="AC20" i="47" a="1"/>
  <c r="AC20" i="47" s="1"/>
  <c r="AC21" i="47" a="1"/>
  <c r="AC21" i="47" s="1"/>
  <c r="AC22" i="47" a="1"/>
  <c r="AC22" i="47" s="1"/>
  <c r="AC23" i="47" a="1"/>
  <c r="AC23" i="47" s="1"/>
  <c r="AC24" i="47" a="1"/>
  <c r="AC24" i="47" s="1"/>
  <c r="AC25" i="47" a="1"/>
  <c r="AC25" i="47" s="1"/>
  <c r="AC26" i="47" a="1"/>
  <c r="AC26" i="47" s="1"/>
  <c r="AD7" i="47" a="1"/>
  <c r="AD7" i="47" s="1"/>
  <c r="AD8" i="47" a="1"/>
  <c r="AD8" i="47" s="1"/>
  <c r="AD9" i="47" a="1"/>
  <c r="AD9" i="47" s="1"/>
  <c r="AD10" i="47" a="1"/>
  <c r="AD10" i="47" s="1"/>
  <c r="AD11" i="47" a="1"/>
  <c r="AD11" i="47" s="1"/>
  <c r="AD12" i="47" a="1"/>
  <c r="AD12" i="47" s="1"/>
  <c r="AD13" i="47" a="1"/>
  <c r="AD13" i="47" s="1"/>
  <c r="AD14" i="47" a="1"/>
  <c r="AD14" i="47" s="1"/>
  <c r="AD15" i="47" a="1"/>
  <c r="AD15" i="47" s="1"/>
  <c r="AD16" i="47" a="1"/>
  <c r="AD16" i="47" s="1"/>
  <c r="AD17" i="47" a="1"/>
  <c r="AD17" i="47" s="1"/>
  <c r="AD18" i="47" a="1"/>
  <c r="AD18" i="47" s="1"/>
  <c r="AD19" i="47" a="1"/>
  <c r="AD19" i="47" s="1"/>
  <c r="AD20" i="47" a="1"/>
  <c r="AD20" i="47" s="1"/>
  <c r="AD21" i="47" a="1"/>
  <c r="AD21" i="47" s="1"/>
  <c r="AD22" i="47" a="1"/>
  <c r="AD22" i="47" s="1"/>
  <c r="AD23" i="47" a="1"/>
  <c r="AD23" i="47" s="1"/>
  <c r="AD24" i="47" a="1"/>
  <c r="AD24" i="47" s="1"/>
  <c r="AD25" i="47" a="1"/>
  <c r="AD25" i="47" s="1"/>
  <c r="AD26" i="47" a="1"/>
  <c r="AD26" i="47" s="1"/>
  <c r="AE7" i="47" a="1"/>
  <c r="AE7" i="47" s="1"/>
  <c r="AE8" i="47" a="1"/>
  <c r="AE8" i="47" s="1"/>
  <c r="AE9" i="47" a="1"/>
  <c r="AE9" i="47" s="1"/>
  <c r="AE10" i="47" a="1"/>
  <c r="AE10" i="47" s="1"/>
  <c r="AE11" i="47" a="1"/>
  <c r="AE11" i="47" s="1"/>
  <c r="AE12" i="47" a="1"/>
  <c r="AE12" i="47" s="1"/>
  <c r="AE13" i="47" a="1"/>
  <c r="AE13" i="47" s="1"/>
  <c r="AE14" i="47" a="1"/>
  <c r="AE14" i="47" s="1"/>
  <c r="AE15" i="47" a="1"/>
  <c r="AE15" i="47" s="1"/>
  <c r="AE16" i="47" a="1"/>
  <c r="AE16" i="47" s="1"/>
  <c r="AE17" i="47" a="1"/>
  <c r="AE17" i="47" s="1"/>
  <c r="AE18" i="47" a="1"/>
  <c r="AE18" i="47" s="1"/>
  <c r="AE19" i="47" a="1"/>
  <c r="AE19" i="47" s="1"/>
  <c r="AE20" i="47" a="1"/>
  <c r="AE20" i="47" s="1"/>
  <c r="AE21" i="47" a="1"/>
  <c r="AE21" i="47" s="1"/>
  <c r="AE22" i="47" a="1"/>
  <c r="AE22" i="47" s="1"/>
  <c r="AE23" i="47" a="1"/>
  <c r="AE23" i="47" s="1"/>
  <c r="AE24" i="47" a="1"/>
  <c r="AE24" i="47" s="1"/>
  <c r="AE25" i="47" a="1"/>
  <c r="AE25" i="47" s="1"/>
  <c r="AE26" i="47" a="1"/>
  <c r="AE26" i="47" s="1"/>
  <c r="AJ7" i="47"/>
  <c r="AK7" i="47" s="1"/>
  <c r="AJ8" i="47"/>
  <c r="AK8" i="47" s="1"/>
  <c r="AJ9" i="47"/>
  <c r="AK9" i="47" s="1"/>
  <c r="AJ10" i="47"/>
  <c r="AK10" i="47" s="1"/>
  <c r="AJ11" i="47"/>
  <c r="AK11" i="47" s="1"/>
  <c r="AJ12" i="47"/>
  <c r="AK12" i="47" s="1"/>
  <c r="AJ13" i="47"/>
  <c r="AK13" i="47" s="1"/>
  <c r="AJ14" i="47"/>
  <c r="AK14" i="47" s="1"/>
  <c r="AJ15" i="47"/>
  <c r="AK15" i="47" s="1"/>
  <c r="AJ16" i="47"/>
  <c r="AK16" i="47" s="1"/>
  <c r="AJ17" i="47"/>
  <c r="AK17" i="47" s="1"/>
  <c r="AJ18" i="47"/>
  <c r="AK18" i="47" s="1"/>
  <c r="AJ19" i="47"/>
  <c r="AK19" i="47" s="1"/>
  <c r="AJ20" i="47"/>
  <c r="AK20" i="47" s="1"/>
  <c r="AJ21" i="47"/>
  <c r="AK21" i="47" s="1"/>
  <c r="AJ22" i="47"/>
  <c r="AK22" i="47" s="1"/>
  <c r="AJ23" i="47"/>
  <c r="AK23" i="47" s="1"/>
  <c r="AJ24" i="47"/>
  <c r="AK24" i="47" s="1"/>
  <c r="AJ25" i="47"/>
  <c r="AK25" i="47" s="1"/>
  <c r="AJ26" i="47"/>
  <c r="AK26" i="47" s="1"/>
  <c r="AL7" i="47"/>
  <c r="AL8" i="47"/>
  <c r="AL9" i="47"/>
  <c r="AL10" i="47"/>
  <c r="AL11" i="47"/>
  <c r="AL12" i="47"/>
  <c r="AL13" i="47"/>
  <c r="AL14" i="47"/>
  <c r="AL15" i="47"/>
  <c r="AL16" i="47"/>
  <c r="AL17" i="47"/>
  <c r="AL18" i="47"/>
  <c r="AL19" i="47"/>
  <c r="AL20" i="47"/>
  <c r="AL21" i="47"/>
  <c r="AL22" i="47"/>
  <c r="AL23" i="47"/>
  <c r="AL24" i="47"/>
  <c r="AL25" i="47"/>
  <c r="AL26" i="47"/>
  <c r="AM7" i="47"/>
  <c r="AM8" i="47"/>
  <c r="AM9" i="47"/>
  <c r="AM10" i="47"/>
  <c r="AM11" i="47"/>
  <c r="AM12" i="47"/>
  <c r="AM13" i="47"/>
  <c r="AM14" i="47"/>
  <c r="AM15" i="47"/>
  <c r="AM16" i="47"/>
  <c r="AM17" i="47"/>
  <c r="AM18" i="47"/>
  <c r="AM19" i="47"/>
  <c r="AM20" i="47"/>
  <c r="AM21" i="47"/>
  <c r="AM22" i="47"/>
  <c r="AM23" i="47"/>
  <c r="AM24" i="47"/>
  <c r="AM25" i="47"/>
  <c r="AM26" i="47"/>
  <c r="AN7" i="47"/>
  <c r="AO7" i="47" s="1"/>
  <c r="AN8" i="47"/>
  <c r="AO8" i="47" s="1"/>
  <c r="AP7" i="47"/>
  <c r="C101" i="76"/>
  <c r="CE185" i="38" a="1"/>
  <c r="CE185" i="38" s="1"/>
  <c r="J186" i="38"/>
  <c r="P186" i="38" a="1"/>
  <c r="P186" i="38" s="1"/>
  <c r="R186" i="38" s="1"/>
  <c r="Q186" i="38" a="1"/>
  <c r="Q186" i="38" s="1"/>
  <c r="U186" i="38" a="1"/>
  <c r="U186" i="38" s="1"/>
  <c r="V186" i="38" s="1"/>
  <c r="AA186" i="38"/>
  <c r="AF186" i="38"/>
  <c r="AK186" i="38"/>
  <c r="CI186" i="38"/>
  <c r="I186" i="38" s="1" a="1"/>
  <c r="I186" i="38" s="1"/>
  <c r="CJ186" i="38"/>
  <c r="AS186" i="38" s="1" a="1"/>
  <c r="AS186" i="38" s="1"/>
  <c r="J187" i="38"/>
  <c r="P187" i="38" a="1"/>
  <c r="P187" i="38" s="1"/>
  <c r="R187" i="38" s="1"/>
  <c r="Q187" i="38" a="1"/>
  <c r="Q187" i="38" s="1"/>
  <c r="U187" i="38" a="1"/>
  <c r="U187" i="38" s="1"/>
  <c r="V187" i="38" s="1"/>
  <c r="AA187" i="38"/>
  <c r="AF187" i="38"/>
  <c r="AK187" i="38"/>
  <c r="CI187" i="38"/>
  <c r="I187" i="38" s="1" a="1"/>
  <c r="I187" i="38" s="1"/>
  <c r="CJ187" i="38"/>
  <c r="AS187" i="38" s="1" a="1"/>
  <c r="AS187" i="38" s="1"/>
  <c r="J188" i="38"/>
  <c r="P188" i="38" a="1"/>
  <c r="P188" i="38" s="1"/>
  <c r="R188" i="38" s="1"/>
  <c r="Q188" i="38" a="1"/>
  <c r="Q188" i="38" s="1"/>
  <c r="U188" i="38" a="1"/>
  <c r="U188" i="38" s="1"/>
  <c r="V188" i="38" s="1"/>
  <c r="AA188" i="38"/>
  <c r="AF188" i="38"/>
  <c r="AK188" i="38"/>
  <c r="CI188" i="38"/>
  <c r="I188" i="38" s="1" a="1"/>
  <c r="I188" i="38" s="1"/>
  <c r="CJ188" i="38"/>
  <c r="AS188" i="38" s="1" a="1"/>
  <c r="AS188" i="38" s="1"/>
  <c r="K6" i="101"/>
  <c r="E6" i="101" a="1"/>
  <c r="E6" i="101" s="1"/>
  <c r="G42" i="100"/>
  <c r="H42" i="100"/>
  <c r="I42" i="100"/>
  <c r="F42" i="100"/>
  <c r="P16" i="50" a="1"/>
  <c r="P16" i="50" s="1"/>
  <c r="A16" i="50"/>
  <c r="P15" i="50" a="1"/>
  <c r="P15" i="50" s="1"/>
  <c r="A15" i="50"/>
  <c r="L23" i="43" l="1"/>
  <c r="AB23" i="43"/>
  <c r="L22" i="43"/>
  <c r="J22" i="43"/>
  <c r="AB22" i="43"/>
  <c r="AQ59" i="38"/>
  <c r="B133" i="38"/>
  <c r="AQ52" i="38"/>
  <c r="B92" i="38"/>
  <c r="AQ17" i="38"/>
  <c r="B87" i="38"/>
  <c r="AQ51" i="38"/>
  <c r="AQ16" i="38"/>
  <c r="B25" i="38"/>
  <c r="AQ63" i="38"/>
  <c r="B163" i="38"/>
  <c r="L21" i="43"/>
  <c r="J21" i="43"/>
  <c r="AB21" i="43"/>
  <c r="L20" i="43"/>
  <c r="J20" i="43"/>
  <c r="AB20" i="43"/>
  <c r="AQ56" i="38"/>
  <c r="B121" i="38"/>
  <c r="AQ61" i="38"/>
  <c r="B147" i="38"/>
  <c r="AQ50" i="38"/>
  <c r="B80" i="38"/>
  <c r="AQ58" i="38"/>
  <c r="B130" i="38"/>
  <c r="B98" i="38"/>
  <c r="AQ53" i="38"/>
  <c r="B49" i="38"/>
  <c r="AQ18" i="38"/>
  <c r="B158" i="38"/>
  <c r="AQ62" i="38"/>
  <c r="B127" i="38"/>
  <c r="AQ57" i="38"/>
  <c r="AQ55" i="38"/>
  <c r="B118" i="38"/>
  <c r="AQ60" i="38"/>
  <c r="B136" i="38"/>
  <c r="BZ12" i="38" a="1"/>
  <c r="BZ12" i="38" s="1"/>
  <c r="D12" i="38" a="1"/>
  <c r="D12" i="38" s="1"/>
  <c r="CL12" i="38" a="1"/>
  <c r="CL12" i="38" s="1"/>
  <c r="CF12" i="38" s="1" a="1"/>
  <c r="CF12" i="38" s="1"/>
  <c r="CG13" i="38" a="1"/>
  <c r="CG13" i="38" s="1"/>
  <c r="CG14" i="38" a="1"/>
  <c r="CG14" i="38" s="1"/>
  <c r="CD187" i="38"/>
  <c r="L19" i="43"/>
  <c r="J19" i="43"/>
  <c r="AB19" i="43"/>
  <c r="K19" i="43"/>
  <c r="L18" i="43"/>
  <c r="L17" i="43"/>
  <c r="AB17" i="43"/>
  <c r="K17" i="43"/>
  <c r="J17" i="43"/>
  <c r="J18" i="43"/>
  <c r="AB18" i="43"/>
  <c r="K18" i="43"/>
  <c r="AB16" i="43"/>
  <c r="J16" i="43"/>
  <c r="L16" i="43"/>
  <c r="L14" i="43"/>
  <c r="L15" i="43"/>
  <c r="L13" i="43"/>
  <c r="AB15" i="43"/>
  <c r="AB14" i="43"/>
  <c r="AB13" i="43"/>
  <c r="J13" i="43"/>
  <c r="J14" i="43"/>
  <c r="J15" i="43"/>
  <c r="AP23" i="47"/>
  <c r="L12" i="43"/>
  <c r="AB12" i="43"/>
  <c r="J12" i="43"/>
  <c r="AP11" i="47"/>
  <c r="AQ21" i="47"/>
  <c r="AQ20" i="47"/>
  <c r="AQ19" i="47"/>
  <c r="L11" i="43"/>
  <c r="K11" i="43"/>
  <c r="J11" i="43"/>
  <c r="AB11" i="43"/>
  <c r="AP8" i="47"/>
  <c r="AN23" i="47"/>
  <c r="AO23" i="47" s="1"/>
  <c r="AN24" i="47"/>
  <c r="AO24" i="47" s="1"/>
  <c r="L10" i="43"/>
  <c r="J10" i="43"/>
  <c r="AB10" i="43"/>
  <c r="AN12" i="47"/>
  <c r="AO12" i="47" s="1"/>
  <c r="AN11" i="47"/>
  <c r="AO11" i="47" s="1"/>
  <c r="AQ24" i="47"/>
  <c r="AN13" i="47"/>
  <c r="AO13" i="47" s="1"/>
  <c r="L9" i="43"/>
  <c r="AB8" i="43"/>
  <c r="AB9" i="43"/>
  <c r="L8" i="43"/>
  <c r="J9" i="43"/>
  <c r="J8" i="43"/>
  <c r="AQ13" i="47"/>
  <c r="AQ12" i="47"/>
  <c r="AQ15" i="47"/>
  <c r="AQ14" i="47"/>
  <c r="AQ25" i="47"/>
  <c r="AP25" i="47"/>
  <c r="AQ16" i="47"/>
  <c r="AN22" i="47"/>
  <c r="AO22" i="47" s="1"/>
  <c r="AP19" i="47"/>
  <c r="AP20" i="47"/>
  <c r="AP21" i="47"/>
  <c r="AQ9" i="47"/>
  <c r="AP22" i="47"/>
  <c r="AP9" i="47"/>
  <c r="AP17" i="47"/>
  <c r="AN15" i="47"/>
  <c r="AO15" i="47" s="1"/>
  <c r="AN16" i="47"/>
  <c r="AO16" i="47" s="1"/>
  <c r="AQ17" i="47"/>
  <c r="AN14" i="47"/>
  <c r="AO14" i="47" s="1"/>
  <c r="AG22" i="47" a="1"/>
  <c r="AG22" i="47" s="1"/>
  <c r="AI9" i="47" a="1"/>
  <c r="AI9" i="47" s="1"/>
  <c r="AG18" i="47" a="1"/>
  <c r="AG18" i="47" s="1"/>
  <c r="AH18" i="47" a="1"/>
  <c r="AH18" i="47" s="1"/>
  <c r="AF21" i="47" a="1"/>
  <c r="AF21" i="47" s="1"/>
  <c r="AF10" i="47" a="1"/>
  <c r="AF10" i="47" s="1"/>
  <c r="AH13" i="47" a="1"/>
  <c r="AH13" i="47" s="1"/>
  <c r="AI14" i="47" a="1"/>
  <c r="AI14" i="47" s="1"/>
  <c r="AF26" i="47" a="1"/>
  <c r="AF26" i="47" s="1"/>
  <c r="AG17" i="47" a="1"/>
  <c r="AG17" i="47" s="1"/>
  <c r="AI25" i="47" a="1"/>
  <c r="AI25" i="47" s="1"/>
  <c r="AF11" i="47" a="1"/>
  <c r="AF11" i="47" s="1"/>
  <c r="AF22" i="47" a="1"/>
  <c r="AF22" i="47" s="1"/>
  <c r="AI10" i="47" a="1"/>
  <c r="AI10" i="47" s="1"/>
  <c r="AI21" i="47" a="1"/>
  <c r="AI21" i="47" s="1"/>
  <c r="U13" i="47"/>
  <c r="K12" i="43" s="1"/>
  <c r="AG13" i="47" a="1"/>
  <c r="AG13" i="47" s="1"/>
  <c r="AH19" i="47" a="1"/>
  <c r="AH19" i="47" s="1"/>
  <c r="AI26" i="47" a="1"/>
  <c r="AI26" i="47" s="1"/>
  <c r="U22" i="47"/>
  <c r="U21" i="47"/>
  <c r="K22" i="43" s="1"/>
  <c r="AF17" i="47" a="1"/>
  <c r="AF17" i="47" s="1"/>
  <c r="AH14" i="47" a="1"/>
  <c r="AH14" i="47" s="1"/>
  <c r="AI15" i="47" a="1"/>
  <c r="AI15" i="47" s="1"/>
  <c r="AH15" i="47" a="1"/>
  <c r="AH15" i="47" s="1"/>
  <c r="AF7" i="47" a="1"/>
  <c r="AF7" i="47" s="1"/>
  <c r="AH8" i="47" a="1"/>
  <c r="AH8" i="47" s="1"/>
  <c r="U16" i="47"/>
  <c r="AI16" i="47" a="1"/>
  <c r="AI16" i="47" s="1"/>
  <c r="AH16" i="47" a="1"/>
  <c r="AH16" i="47" s="1"/>
  <c r="AG16" i="47" a="1"/>
  <c r="AG16" i="47" s="1"/>
  <c r="AF16" i="47" a="1"/>
  <c r="AF16" i="47" s="1"/>
  <c r="AF23" i="47" a="1"/>
  <c r="AF23" i="47" s="1"/>
  <c r="AI23" i="47" a="1"/>
  <c r="AI23" i="47" s="1"/>
  <c r="AH23" i="47" a="1"/>
  <c r="AH23" i="47" s="1"/>
  <c r="AG23" i="47" a="1"/>
  <c r="AG23" i="47" s="1"/>
  <c r="AF12" i="47" a="1"/>
  <c r="AF12" i="47" s="1"/>
  <c r="AI12" i="47" a="1"/>
  <c r="AI12" i="47" s="1"/>
  <c r="U12" i="47"/>
  <c r="AG12" i="47" a="1"/>
  <c r="AG12" i="47" s="1"/>
  <c r="AH12" i="47" a="1"/>
  <c r="AH12" i="47" s="1"/>
  <c r="AG7" i="47" a="1"/>
  <c r="AG7" i="47" s="1"/>
  <c r="AI11" i="47" a="1"/>
  <c r="AI11" i="47" s="1"/>
  <c r="AH24" i="47" a="1"/>
  <c r="AH24" i="47" s="1"/>
  <c r="AH20" i="47" a="1"/>
  <c r="AH20" i="47" s="1"/>
  <c r="U20" i="47"/>
  <c r="AG20" i="47" a="1"/>
  <c r="AG20" i="47" s="1"/>
  <c r="AF20" i="47" a="1"/>
  <c r="AF20" i="47" s="1"/>
  <c r="AI20" i="47" a="1"/>
  <c r="AI20" i="47" s="1"/>
  <c r="U25" i="47"/>
  <c r="U9" i="47"/>
  <c r="U24" i="47"/>
  <c r="K8" i="43" s="1"/>
  <c r="U19" i="47"/>
  <c r="U8" i="47"/>
  <c r="AI24" i="47" a="1"/>
  <c r="AI24" i="47" s="1"/>
  <c r="AI19" i="47" a="1"/>
  <c r="AI19" i="47" s="1"/>
  <c r="AI13" i="47" a="1"/>
  <c r="AI13" i="47" s="1"/>
  <c r="AI8" i="47" a="1"/>
  <c r="AI8" i="47" s="1"/>
  <c r="AH17" i="47" a="1"/>
  <c r="AH17" i="47" s="1"/>
  <c r="AH7" i="47" a="1"/>
  <c r="AH7" i="47" s="1"/>
  <c r="AG21" i="47" a="1"/>
  <c r="AG21" i="47" s="1"/>
  <c r="AG11" i="47" a="1"/>
  <c r="AG11" i="47" s="1"/>
  <c r="AF25" i="47" a="1"/>
  <c r="AF25" i="47" s="1"/>
  <c r="AF15" i="47" a="1"/>
  <c r="AF15" i="47" s="1"/>
  <c r="AF9" i="47" a="1"/>
  <c r="AF9" i="47" s="1"/>
  <c r="AN26" i="47"/>
  <c r="AO26" i="47" s="1"/>
  <c r="AI18" i="47" a="1"/>
  <c r="AI18" i="47" s="1"/>
  <c r="AH22" i="47" a="1"/>
  <c r="AH22" i="47" s="1"/>
  <c r="AG26" i="47" a="1"/>
  <c r="AG26" i="47" s="1"/>
  <c r="AG10" i="47" a="1"/>
  <c r="AG10" i="47" s="1"/>
  <c r="AF14" i="47" a="1"/>
  <c r="AF14" i="47" s="1"/>
  <c r="U23" i="47"/>
  <c r="U18" i="47"/>
  <c r="U7" i="47"/>
  <c r="AI17" i="47" a="1"/>
  <c r="AI17" i="47" s="1"/>
  <c r="AI7" i="47" a="1"/>
  <c r="AI7" i="47" s="1"/>
  <c r="AH21" i="47" a="1"/>
  <c r="AH21" i="47" s="1"/>
  <c r="AH11" i="47" a="1"/>
  <c r="AH11" i="47" s="1"/>
  <c r="AG25" i="47" a="1"/>
  <c r="AG25" i="47" s="1"/>
  <c r="AG15" i="47" a="1"/>
  <c r="AG15" i="47" s="1"/>
  <c r="AG9" i="47" a="1"/>
  <c r="AG9" i="47" s="1"/>
  <c r="AF24" i="47" a="1"/>
  <c r="AF24" i="47" s="1"/>
  <c r="AF19" i="47" a="1"/>
  <c r="AF19" i="47" s="1"/>
  <c r="AF13" i="47" a="1"/>
  <c r="AF13" i="47" s="1"/>
  <c r="AF8" i="47" a="1"/>
  <c r="AF8" i="47" s="1"/>
  <c r="U17" i="47"/>
  <c r="K15" i="43" s="1"/>
  <c r="AN18" i="47"/>
  <c r="AO18" i="47" s="1"/>
  <c r="AI22" i="47" a="1"/>
  <c r="AI22" i="47" s="1"/>
  <c r="AH26" i="47" a="1"/>
  <c r="AH26" i="47" s="1"/>
  <c r="AH10" i="47" a="1"/>
  <c r="AH10" i="47" s="1"/>
  <c r="AG14" i="47" a="1"/>
  <c r="AG14" i="47" s="1"/>
  <c r="AF18" i="47" a="1"/>
  <c r="AF18" i="47" s="1"/>
  <c r="U11" i="47"/>
  <c r="AQ26" i="47"/>
  <c r="AH25" i="47" a="1"/>
  <c r="AH25" i="47" s="1"/>
  <c r="AH9" i="47" a="1"/>
  <c r="AH9" i="47" s="1"/>
  <c r="AG24" i="47" a="1"/>
  <c r="AG24" i="47" s="1"/>
  <c r="AG19" i="47" a="1"/>
  <c r="AG19" i="47" s="1"/>
  <c r="AG8" i="47" a="1"/>
  <c r="AG8" i="47" s="1"/>
  <c r="U14" i="47"/>
  <c r="AN10" i="47"/>
  <c r="AO10" i="47" s="1"/>
  <c r="AQ18" i="47"/>
  <c r="AP10" i="47"/>
  <c r="U26" i="47"/>
  <c r="U15" i="47"/>
  <c r="U10" i="47"/>
  <c r="K16" i="43" s="1"/>
  <c r="AT188" i="38" a="1"/>
  <c r="AT188" i="38" s="1"/>
  <c r="AU188" i="38" s="1"/>
  <c r="AT186" i="38" a="1"/>
  <c r="AT186" i="38" s="1"/>
  <c r="AU186" i="38" s="1"/>
  <c r="AT187" i="38" a="1"/>
  <c r="AT187" i="38" s="1"/>
  <c r="AU187" i="38" s="1"/>
  <c r="AN187" i="38" a="1"/>
  <c r="AN187" i="38" s="1"/>
  <c r="AG187" i="38" a="1"/>
  <c r="AG187" i="38" s="1"/>
  <c r="AL187" i="38" s="1"/>
  <c r="AO187" i="38"/>
  <c r="AG188" i="38" a="1"/>
  <c r="AG188" i="38" s="1"/>
  <c r="AL188" i="38" s="1"/>
  <c r="AO188" i="38"/>
  <c r="AN188" i="38" a="1"/>
  <c r="AN188" i="38" s="1"/>
  <c r="AG186" i="38" a="1"/>
  <c r="AG186" i="38" s="1"/>
  <c r="AL186" i="38" s="1"/>
  <c r="AO186" i="38"/>
  <c r="AN186" i="38" a="1"/>
  <c r="AN186" i="38" s="1"/>
  <c r="CD188" i="38"/>
  <c r="CD186" i="38"/>
  <c r="AM188" i="38" a="1"/>
  <c r="AM188" i="38" s="1"/>
  <c r="AM186" i="38" a="1"/>
  <c r="AM186" i="38" s="1"/>
  <c r="AM187" i="38" a="1"/>
  <c r="AM187" i="38" s="1"/>
  <c r="P4" i="50" a="1"/>
  <c r="P4" i="50" s="1"/>
  <c r="A4" i="50"/>
  <c r="CG87" i="38" l="1"/>
  <c r="CG49" i="38"/>
  <c r="CG69" i="38" s="1" a="1"/>
  <c r="CG69" i="38" s="1"/>
  <c r="AR57" i="38"/>
  <c r="CJ57" i="38"/>
  <c r="AQ164" i="38"/>
  <c r="CJ164" i="38" s="1"/>
  <c r="CG163" i="38"/>
  <c r="CJ61" i="38"/>
  <c r="AR61" i="38"/>
  <c r="CJ56" i="38"/>
  <c r="AR56" i="38"/>
  <c r="BX87" i="38" a="1"/>
  <c r="BX87" i="38" s="1"/>
  <c r="BZ87" i="38" a="1"/>
  <c r="BZ87" i="38" s="1"/>
  <c r="CL87" i="38" a="1"/>
  <c r="CL87" i="38" s="1"/>
  <c r="CG90" i="38" a="1"/>
  <c r="CG90" i="38" s="1"/>
  <c r="CG89" i="38" a="1"/>
  <c r="CG89" i="38" s="1"/>
  <c r="CG88" i="38" a="1"/>
  <c r="CG88" i="38" s="1"/>
  <c r="CG91" i="38" a="1"/>
  <c r="CG91" i="38" s="1"/>
  <c r="AQ13" i="38"/>
  <c r="B15" i="38"/>
  <c r="CG15" i="38" s="1"/>
  <c r="CG21" i="38" s="1" a="1"/>
  <c r="CG21" i="38" s="1"/>
  <c r="AR54" i="38"/>
  <c r="AU54" i="38" s="1"/>
  <c r="AR64" i="38"/>
  <c r="AU64" i="38" s="1"/>
  <c r="AQ175" i="38"/>
  <c r="CJ175" i="38" s="1"/>
  <c r="AQ113" i="38"/>
  <c r="CJ113" i="38" s="1"/>
  <c r="CG174" i="38"/>
  <c r="CG112" i="38"/>
  <c r="CK14" i="38" a="1"/>
  <c r="CK14" i="38" s="1"/>
  <c r="CK13" i="38" a="1"/>
  <c r="CK13" i="38" s="1"/>
  <c r="AR53" i="38"/>
  <c r="CJ53" i="38"/>
  <c r="AQ38" i="38"/>
  <c r="CJ38" i="38" s="1"/>
  <c r="CG37" i="38"/>
  <c r="CC12" i="38"/>
  <c r="CA12" i="38"/>
  <c r="CB12" i="38"/>
  <c r="CN12" i="38" s="1" a="1"/>
  <c r="CN12" i="38" s="1"/>
  <c r="CG98" i="38"/>
  <c r="CG110" i="38" s="1" a="1"/>
  <c r="CG110" i="38" s="1"/>
  <c r="AQ99" i="38"/>
  <c r="CJ99" i="38" s="1"/>
  <c r="K20" i="43"/>
  <c r="CJ17" i="38"/>
  <c r="AR17" i="38"/>
  <c r="AQ26" i="38"/>
  <c r="CJ26" i="38" s="1"/>
  <c r="CG25" i="38"/>
  <c r="K21" i="43"/>
  <c r="AR60" i="38"/>
  <c r="CJ60" i="38"/>
  <c r="AR58" i="38"/>
  <c r="CJ58" i="38"/>
  <c r="CJ52" i="38"/>
  <c r="AR52" i="38"/>
  <c r="AR62" i="38"/>
  <c r="CJ62" i="38"/>
  <c r="CG118" i="38"/>
  <c r="AR119" i="38"/>
  <c r="AQ119" i="38"/>
  <c r="CJ119" i="38" s="1"/>
  <c r="AQ81" i="38"/>
  <c r="CJ81" i="38" s="1"/>
  <c r="CG80" i="38"/>
  <c r="AQ134" i="38"/>
  <c r="CJ134" i="38" s="1"/>
  <c r="CG133" i="38"/>
  <c r="AQ148" i="38"/>
  <c r="CJ148" i="38" s="1"/>
  <c r="CG147" i="38"/>
  <c r="CG127" i="38"/>
  <c r="AR128" i="38"/>
  <c r="AQ128" i="38"/>
  <c r="CJ128" i="38" s="1"/>
  <c r="AR63" i="38"/>
  <c r="CJ63" i="38"/>
  <c r="AQ122" i="38"/>
  <c r="CJ122" i="38" s="1"/>
  <c r="CG121" i="38"/>
  <c r="AQ159" i="38"/>
  <c r="CJ159" i="38" s="1"/>
  <c r="CG158" i="38"/>
  <c r="CJ16" i="38"/>
  <c r="AR16" i="38"/>
  <c r="CJ18" i="38"/>
  <c r="AR18" i="38"/>
  <c r="CJ51" i="38"/>
  <c r="AR51" i="38"/>
  <c r="CG63" i="38" a="1"/>
  <c r="CG63" i="38" s="1"/>
  <c r="CG64" i="38" a="1"/>
  <c r="CG64" i="38" s="1"/>
  <c r="CG56" i="38" a="1"/>
  <c r="CG56" i="38" s="1"/>
  <c r="AQ137" i="38"/>
  <c r="CJ137" i="38" s="1"/>
  <c r="CG136" i="38"/>
  <c r="AR131" i="38"/>
  <c r="AU131" i="38" s="1"/>
  <c r="CG130" i="38"/>
  <c r="CG92" i="38"/>
  <c r="CG95" i="38" s="1" a="1"/>
  <c r="CG95" i="38" s="1"/>
  <c r="AR55" i="38"/>
  <c r="CJ55" i="38"/>
  <c r="CJ50" i="38"/>
  <c r="AR50" i="38"/>
  <c r="AR59" i="38"/>
  <c r="CJ59" i="38"/>
  <c r="K14" i="43"/>
  <c r="K13" i="43"/>
  <c r="K10" i="43"/>
  <c r="K9" i="43"/>
  <c r="AY188" i="38" a="1"/>
  <c r="AY188" i="38" s="1"/>
  <c r="AZ188" i="38" s="1"/>
  <c r="AY186" i="38" a="1"/>
  <c r="AY186" i="38" s="1"/>
  <c r="AZ186" i="38" s="1"/>
  <c r="AY187" i="38" a="1"/>
  <c r="AY187" i="38" s="1"/>
  <c r="AZ187" i="38" s="1"/>
  <c r="AP188" i="38"/>
  <c r="BM187" i="38"/>
  <c r="AV187" i="38" a="1"/>
  <c r="AV187" i="38" s="1"/>
  <c r="AX187" i="38" s="1"/>
  <c r="AV188" i="38" a="1"/>
  <c r="AV188" i="38" s="1"/>
  <c r="AX188" i="38" s="1"/>
  <c r="BM188" i="38"/>
  <c r="AP186" i="38"/>
  <c r="AP187" i="38"/>
  <c r="AV186" i="38" a="1"/>
  <c r="AV186" i="38" s="1"/>
  <c r="AX186" i="38" s="1"/>
  <c r="BM186" i="38"/>
  <c r="CG23" i="38" l="1" a="1"/>
  <c r="CG23" i="38" s="1"/>
  <c r="CG22" i="38" a="1"/>
  <c r="CG22" i="38" s="1"/>
  <c r="CG70" i="38" a="1"/>
  <c r="CG70" i="38" s="1"/>
  <c r="CG68" i="38" a="1"/>
  <c r="CG68" i="38" s="1"/>
  <c r="CG72" i="38" a="1"/>
  <c r="CG72" i="38" s="1"/>
  <c r="CG71" i="38" a="1"/>
  <c r="CG71" i="38" s="1"/>
  <c r="CG74" i="38" a="1"/>
  <c r="CG74" i="38" s="1"/>
  <c r="CG73" i="38" a="1"/>
  <c r="CG73" i="38" s="1"/>
  <c r="CG76" i="38" a="1"/>
  <c r="CG76" i="38" s="1"/>
  <c r="CG75" i="38" a="1"/>
  <c r="CG75" i="38" s="1"/>
  <c r="CG78" i="38" a="1"/>
  <c r="CG78" i="38" s="1"/>
  <c r="CG77" i="38" a="1"/>
  <c r="CG77" i="38" s="1"/>
  <c r="CG55" i="38" a="1"/>
  <c r="CG55" i="38" s="1"/>
  <c r="CG79" i="38" a="1"/>
  <c r="CG79" i="38" s="1"/>
  <c r="S23" i="43"/>
  <c r="CG115" i="38" a="1"/>
  <c r="CG115" i="38" s="1"/>
  <c r="CG84" i="38" a="1"/>
  <c r="CG84" i="38" s="1"/>
  <c r="CG83" i="38" a="1"/>
  <c r="CG83" i="38" s="1"/>
  <c r="CG125" i="38" a="1"/>
  <c r="CG125" i="38" s="1"/>
  <c r="CG124" i="38" a="1"/>
  <c r="CG124" i="38" s="1"/>
  <c r="CG116" i="38" a="1"/>
  <c r="CG116" i="38" s="1"/>
  <c r="CG109" i="38" a="1"/>
  <c r="CG109" i="38" s="1"/>
  <c r="CG111" i="38" a="1"/>
  <c r="CG111" i="38" s="1"/>
  <c r="CG146" i="38" a="1"/>
  <c r="CG146" i="38" s="1"/>
  <c r="CG142" i="38" a="1"/>
  <c r="CG142" i="38" s="1"/>
  <c r="CG143" i="38" a="1"/>
  <c r="CG143" i="38" s="1"/>
  <c r="CG139" i="38" a="1"/>
  <c r="CG139" i="38" s="1"/>
  <c r="CG144" i="38" a="1"/>
  <c r="CG144" i="38" s="1"/>
  <c r="CG153" i="38" a="1"/>
  <c r="CG153" i="38" s="1"/>
  <c r="CG154" i="38" a="1"/>
  <c r="CG154" i="38" s="1"/>
  <c r="CG150" i="38" a="1"/>
  <c r="CG150" i="38" s="1"/>
  <c r="CG155" i="38" a="1"/>
  <c r="CG155" i="38" s="1"/>
  <c r="CG152" i="38" a="1"/>
  <c r="CG152" i="38" s="1"/>
  <c r="CG151" i="38" a="1"/>
  <c r="CG151" i="38" s="1"/>
  <c r="CG141" i="38" a="1"/>
  <c r="CG141" i="38" s="1"/>
  <c r="CG140" i="38" a="1"/>
  <c r="CG140" i="38" s="1"/>
  <c r="CG169" i="38" a="1"/>
  <c r="CG169" i="38" s="1"/>
  <c r="CG168" i="38" a="1"/>
  <c r="CG168" i="38" s="1"/>
  <c r="CG173" i="38" a="1"/>
  <c r="CG173" i="38" s="1"/>
  <c r="CG172" i="38" a="1"/>
  <c r="CG172" i="38" s="1"/>
  <c r="CG166" i="38" a="1"/>
  <c r="CG166" i="38" s="1"/>
  <c r="CG165" i="38" a="1"/>
  <c r="CG165" i="38" s="1"/>
  <c r="CG182" i="38" a="1"/>
  <c r="CG182" i="38" s="1"/>
  <c r="CG181" i="38" a="1"/>
  <c r="CG181" i="38" s="1"/>
  <c r="CG183" i="38" a="1"/>
  <c r="CG183" i="38" s="1"/>
  <c r="CG179" i="38" a="1"/>
  <c r="CG179" i="38" s="1"/>
  <c r="CG178" i="38" a="1"/>
  <c r="CG178" i="38" s="1"/>
  <c r="CG180" i="38" a="1"/>
  <c r="CG180" i="38" s="1"/>
  <c r="CG60" i="38" a="1"/>
  <c r="CG60" i="38" s="1"/>
  <c r="CG67" i="38" a="1"/>
  <c r="CG67" i="38" s="1"/>
  <c r="CG61" i="38" a="1"/>
  <c r="CG61" i="38" s="1"/>
  <c r="CG54" i="38" a="1"/>
  <c r="CG54" i="38" s="1"/>
  <c r="CG53" i="38" a="1"/>
  <c r="CG53" i="38" s="1"/>
  <c r="CG57" i="38" a="1"/>
  <c r="CG57" i="38" s="1"/>
  <c r="CG62" i="38" a="1"/>
  <c r="CG62" i="38" s="1"/>
  <c r="CG58" i="38" a="1"/>
  <c r="CG58" i="38" s="1"/>
  <c r="CG65" i="38" a="1"/>
  <c r="CG65" i="38" s="1"/>
  <c r="CG66" i="38" a="1"/>
  <c r="CG66" i="38" s="1"/>
  <c r="CG52" i="38" a="1"/>
  <c r="CG52" i="38" s="1"/>
  <c r="CG59" i="38" a="1"/>
  <c r="CG59" i="38" s="1"/>
  <c r="CL49" i="38" a="1"/>
  <c r="CL49" i="38" s="1"/>
  <c r="S22" i="43"/>
  <c r="CG51" i="38" a="1"/>
  <c r="CG51" i="38" s="1"/>
  <c r="BZ49" i="38" a="1"/>
  <c r="BZ49" i="38" s="1"/>
  <c r="CB49" i="38" s="1"/>
  <c r="CN49" i="38" s="1" a="1"/>
  <c r="CN49" i="38" s="1"/>
  <c r="CG50" i="38" a="1"/>
  <c r="CG50" i="38" s="1"/>
  <c r="CG102" i="38" a="1"/>
  <c r="CG102" i="38" s="1"/>
  <c r="CG101" i="38" a="1"/>
  <c r="CG101" i="38" s="1"/>
  <c r="CG103" i="38" a="1"/>
  <c r="CG103" i="38" s="1"/>
  <c r="CG105" i="38" a="1"/>
  <c r="CG105" i="38" s="1"/>
  <c r="CG104" i="38" a="1"/>
  <c r="CG104" i="38" s="1"/>
  <c r="CG107" i="38" a="1"/>
  <c r="CG107" i="38" s="1"/>
  <c r="CG106" i="38" a="1"/>
  <c r="CG106" i="38" s="1"/>
  <c r="CG29" i="38" a="1"/>
  <c r="CG29" i="38" s="1"/>
  <c r="CG33" i="38" a="1"/>
  <c r="CG33" i="38" s="1"/>
  <c r="CG31" i="38" a="1"/>
  <c r="CG31" i="38" s="1"/>
  <c r="CG30" i="38" a="1"/>
  <c r="CG30" i="38" s="1"/>
  <c r="CG43" i="38" a="1"/>
  <c r="CG43" i="38" s="1"/>
  <c r="CG42" i="38" a="1"/>
  <c r="CG42" i="38" s="1"/>
  <c r="CG45" i="38" a="1"/>
  <c r="CG45" i="38" s="1"/>
  <c r="CG44" i="38" a="1"/>
  <c r="CG44" i="38" s="1"/>
  <c r="CH12" i="38"/>
  <c r="CA14" i="38" a="1"/>
  <c r="CA14" i="38" s="1"/>
  <c r="CH14" i="38" s="1"/>
  <c r="CA13" i="38" a="1"/>
  <c r="CA13" i="38" s="1"/>
  <c r="CH13" i="38" s="1"/>
  <c r="AS50" i="38" a="1"/>
  <c r="AS50" i="38" s="1"/>
  <c r="AT50" i="38" a="1"/>
  <c r="AT50" i="38" s="1"/>
  <c r="AY50" i="38" s="1" a="1"/>
  <c r="AY50" i="38" s="1"/>
  <c r="AZ50" i="38" s="1"/>
  <c r="AS175" i="38" a="1"/>
  <c r="AS175" i="38" s="1"/>
  <c r="AT175" i="38" a="1"/>
  <c r="AT175" i="38" s="1"/>
  <c r="AU175" i="38" s="1"/>
  <c r="AS55" i="38" a="1"/>
  <c r="AS55" i="38" s="1"/>
  <c r="AT55" i="38" a="1"/>
  <c r="AT55" i="38" s="1"/>
  <c r="AY55" i="38" s="1" a="1"/>
  <c r="AY55" i="38" s="1"/>
  <c r="AZ55" i="38" s="1"/>
  <c r="CL121" i="38" a="1"/>
  <c r="CL121" i="38" s="1"/>
  <c r="CG123" i="38" a="1"/>
  <c r="CG123" i="38" s="1"/>
  <c r="CG126" i="38" a="1"/>
  <c r="CG126" i="38" s="1"/>
  <c r="BZ121" i="38" a="1"/>
  <c r="BZ121" i="38" s="1"/>
  <c r="BX121" i="38" a="1"/>
  <c r="BX121" i="38" s="1"/>
  <c r="CG122" i="38" a="1"/>
  <c r="CG122" i="38" s="1"/>
  <c r="AV54" i="38" a="1"/>
  <c r="AV54" i="38" s="1"/>
  <c r="AX54" i="38" s="1"/>
  <c r="BM54" i="38"/>
  <c r="AS119" i="38" a="1"/>
  <c r="AS119" i="38" s="1"/>
  <c r="AT119" i="38" a="1"/>
  <c r="AT119" i="38" s="1"/>
  <c r="AU119" i="38" s="1"/>
  <c r="AT53" i="38" a="1"/>
  <c r="AT53" i="38" s="1"/>
  <c r="AY53" i="38" s="1" a="1"/>
  <c r="AY53" i="38" s="1"/>
  <c r="AZ53" i="38" s="1"/>
  <c r="AS53" i="38" a="1"/>
  <c r="AS53" i="38" s="1"/>
  <c r="AS56" i="38" a="1"/>
  <c r="AS56" i="38" s="1"/>
  <c r="AT56" i="38" a="1"/>
  <c r="AT56" i="38" s="1"/>
  <c r="AY56" i="38" s="1" a="1"/>
  <c r="AY56" i="38" s="1"/>
  <c r="AZ56" i="38" s="1"/>
  <c r="AS26" i="38" a="1"/>
  <c r="AS26" i="38" s="1"/>
  <c r="AT26" i="38" a="1"/>
  <c r="AT26" i="38" s="1"/>
  <c r="AU26" i="38" s="1"/>
  <c r="AR13" i="38"/>
  <c r="CJ13" i="38"/>
  <c r="S21" i="43"/>
  <c r="S19" i="43"/>
  <c r="S20" i="43"/>
  <c r="S18" i="43"/>
  <c r="S17" i="43"/>
  <c r="S16" i="43"/>
  <c r="S15" i="43"/>
  <c r="S13" i="43"/>
  <c r="S14" i="43"/>
  <c r="S12" i="43"/>
  <c r="S11" i="43"/>
  <c r="S10" i="43"/>
  <c r="S9" i="43"/>
  <c r="S8" i="43"/>
  <c r="CL118" i="38" a="1"/>
  <c r="CL118" i="38" s="1"/>
  <c r="BZ118" i="38" a="1"/>
  <c r="BZ118" i="38" s="1"/>
  <c r="BX118" i="38" a="1"/>
  <c r="BX118" i="38" s="1"/>
  <c r="CG119" i="38" a="1"/>
  <c r="CG119" i="38" s="1"/>
  <c r="CG120" i="38" a="1"/>
  <c r="CG120" i="38" s="1"/>
  <c r="AS61" i="38" a="1"/>
  <c r="AS61" i="38" s="1"/>
  <c r="AT61" i="38" a="1"/>
  <c r="AT61" i="38" s="1"/>
  <c r="AY61" i="38" s="1" a="1"/>
  <c r="AY61" i="38" s="1"/>
  <c r="AZ61" i="38" s="1"/>
  <c r="BX136" i="38" a="1"/>
  <c r="BX136" i="38" s="1"/>
  <c r="BZ136" i="38" a="1"/>
  <c r="BZ136" i="38" s="1"/>
  <c r="CG138" i="38" a="1"/>
  <c r="CG138" i="38" s="1"/>
  <c r="CL136" i="38" a="1"/>
  <c r="CL136" i="38" s="1"/>
  <c r="CG145" i="38" a="1"/>
  <c r="CG145" i="38" s="1"/>
  <c r="CG137" i="38" a="1"/>
  <c r="CG137" i="38" s="1"/>
  <c r="AS128" i="38" a="1"/>
  <c r="AS128" i="38" s="1"/>
  <c r="AT128" i="38" a="1"/>
  <c r="AT128" i="38" s="1"/>
  <c r="AU128" i="38" s="1"/>
  <c r="AT62" i="38" a="1"/>
  <c r="AT62" i="38" s="1"/>
  <c r="AY62" i="38" s="1" a="1"/>
  <c r="AY62" i="38" s="1"/>
  <c r="AZ62" i="38" s="1"/>
  <c r="AS62" i="38" a="1"/>
  <c r="AS62" i="38" s="1"/>
  <c r="AS17" i="38" a="1"/>
  <c r="AS17" i="38" s="1"/>
  <c r="AT17" i="38" a="1"/>
  <c r="AT17" i="38" s="1"/>
  <c r="AY17" i="38" s="1" a="1"/>
  <c r="AY17" i="38" s="1"/>
  <c r="AZ17" i="38" s="1"/>
  <c r="DA13" i="38"/>
  <c r="CZ13" i="38"/>
  <c r="CX13" i="38"/>
  <c r="CV13" i="38"/>
  <c r="CW13" i="38"/>
  <c r="DC13" i="38"/>
  <c r="DB13" i="38"/>
  <c r="CY13" i="38"/>
  <c r="DL13" i="38"/>
  <c r="DI13" i="38"/>
  <c r="CL163" i="38" a="1"/>
  <c r="CL163" i="38" s="1"/>
  <c r="CG164" i="38" a="1"/>
  <c r="CG164" i="38" s="1"/>
  <c r="CG171" i="38" a="1"/>
  <c r="CG171" i="38" s="1"/>
  <c r="BZ163" i="38" a="1"/>
  <c r="BZ163" i="38" s="1"/>
  <c r="CG167" i="38" a="1"/>
  <c r="CG167" i="38" s="1"/>
  <c r="BX163" i="38" a="1"/>
  <c r="BX163" i="38" s="1"/>
  <c r="CG170" i="38" a="1"/>
  <c r="CG170" i="38" s="1"/>
  <c r="AS113" i="38" a="1"/>
  <c r="AS113" i="38" s="1"/>
  <c r="AT113" i="38" a="1"/>
  <c r="AT113" i="38" s="1"/>
  <c r="AS60" i="38" a="1"/>
  <c r="AS60" i="38" s="1"/>
  <c r="AT60" i="38" a="1"/>
  <c r="AT60" i="38" s="1"/>
  <c r="AY60" i="38" s="1" a="1"/>
  <c r="AY60" i="38" s="1"/>
  <c r="AZ60" i="38" s="1"/>
  <c r="BM64" i="38"/>
  <c r="AV64" i="38" a="1"/>
  <c r="AV64" i="38" s="1"/>
  <c r="AX64" i="38" s="1"/>
  <c r="BA64" i="38" s="1"/>
  <c r="BX92" i="38" a="1"/>
  <c r="BX92" i="38" s="1"/>
  <c r="BZ92" i="38" a="1"/>
  <c r="BZ92" i="38" s="1"/>
  <c r="CL92" i="38" a="1"/>
  <c r="CL92" i="38" s="1"/>
  <c r="CG96" i="38" a="1"/>
  <c r="CG96" i="38" s="1"/>
  <c r="CG94" i="38" a="1"/>
  <c r="CG94" i="38" s="1"/>
  <c r="CG97" i="38" a="1"/>
  <c r="CG97" i="38" s="1"/>
  <c r="CG93" i="38" a="1"/>
  <c r="CG93" i="38" s="1"/>
  <c r="BZ15" i="38" a="1"/>
  <c r="BZ15" i="38" s="1"/>
  <c r="CL15" i="38" a="1"/>
  <c r="CL15" i="38" s="1"/>
  <c r="CF15" i="38" s="1" a="1"/>
  <c r="CF15" i="38" s="1"/>
  <c r="CG16" i="38" a="1"/>
  <c r="CG16" i="38" s="1"/>
  <c r="CG20" i="38" a="1"/>
  <c r="CG20" i="38" s="1"/>
  <c r="CG17" i="38" a="1"/>
  <c r="CG17" i="38" s="1"/>
  <c r="CG24" i="38" a="1"/>
  <c r="CG24" i="38" s="1"/>
  <c r="CG18" i="38" a="1"/>
  <c r="CG18" i="38" s="1"/>
  <c r="CG19" i="38" a="1"/>
  <c r="CG19" i="38" s="1"/>
  <c r="BZ127" i="38" a="1"/>
  <c r="BZ127" i="38" s="1"/>
  <c r="BX127" i="38" a="1"/>
  <c r="BX127" i="38" s="1"/>
  <c r="CL127" i="38" a="1"/>
  <c r="CL127" i="38" s="1"/>
  <c r="CG129" i="38" a="1"/>
  <c r="CG129" i="38" s="1"/>
  <c r="CG128" i="38" a="1"/>
  <c r="CG128" i="38" s="1"/>
  <c r="AS99" i="38" a="1"/>
  <c r="AS99" i="38" s="1"/>
  <c r="AT99" i="38" a="1"/>
  <c r="AT99" i="38" s="1"/>
  <c r="AU99" i="38" s="1"/>
  <c r="DF14" i="38"/>
  <c r="CY14" i="38"/>
  <c r="CV14" i="38"/>
  <c r="DC14" i="38"/>
  <c r="DE14" i="38"/>
  <c r="DB14" i="38"/>
  <c r="CX14" i="38"/>
  <c r="DM14" i="38"/>
  <c r="DA14" i="38"/>
  <c r="CW14" i="38"/>
  <c r="CZ14" i="38"/>
  <c r="DD14" i="38"/>
  <c r="DL14" i="38"/>
  <c r="DH14" i="38"/>
  <c r="DI14" i="38"/>
  <c r="DG14" i="38"/>
  <c r="DK14" i="38"/>
  <c r="DN14" i="38"/>
  <c r="DJ14" i="38"/>
  <c r="DO14" i="38"/>
  <c r="DP14" i="38"/>
  <c r="AS57" i="38" a="1"/>
  <c r="AS57" i="38" s="1"/>
  <c r="AT57" i="38" a="1"/>
  <c r="AT57" i="38" s="1"/>
  <c r="AY57" i="38" s="1" a="1"/>
  <c r="AY57" i="38" s="1"/>
  <c r="AZ57" i="38" s="1"/>
  <c r="AS16" i="38" a="1"/>
  <c r="AS16" i="38" s="1"/>
  <c r="AT16" i="38" a="1"/>
  <c r="AT16" i="38" s="1"/>
  <c r="AY16" i="38" s="1" a="1"/>
  <c r="AY16" i="38" s="1"/>
  <c r="AZ16" i="38" s="1"/>
  <c r="AS134" i="38" a="1"/>
  <c r="AS134" i="38" s="1"/>
  <c r="AT134" i="38" a="1"/>
  <c r="AT134" i="38" s="1"/>
  <c r="AU134" i="38" s="1"/>
  <c r="CG85" i="38" a="1"/>
  <c r="CG85" i="38" s="1"/>
  <c r="BX80" i="38" a="1"/>
  <c r="BX80" i="38" s="1"/>
  <c r="CG82" i="38" a="1"/>
  <c r="CG82" i="38" s="1"/>
  <c r="CG81" i="38" a="1"/>
  <c r="CG81" i="38" s="1"/>
  <c r="CG86" i="38" a="1"/>
  <c r="CG86" i="38" s="1"/>
  <c r="BZ80" i="38" a="1"/>
  <c r="BZ80" i="38" s="1"/>
  <c r="CL80" i="38" a="1"/>
  <c r="CL80" i="38" s="1"/>
  <c r="AS38" i="38" a="1"/>
  <c r="AS38" i="38" s="1"/>
  <c r="AT38" i="38" a="1"/>
  <c r="AT38" i="38" s="1"/>
  <c r="AU38" i="38" s="1"/>
  <c r="BX25" i="38" a="1"/>
  <c r="BX25" i="38" s="1"/>
  <c r="CG32" i="38" a="1"/>
  <c r="CG32" i="38" s="1"/>
  <c r="CG26" i="38" a="1"/>
  <c r="CG26" i="38" s="1"/>
  <c r="CG28" i="38" a="1"/>
  <c r="CG28" i="38" s="1"/>
  <c r="CL25" i="38" a="1"/>
  <c r="CL25" i="38" s="1"/>
  <c r="BZ25" i="38" a="1"/>
  <c r="BZ25" i="38" s="1"/>
  <c r="CG36" i="38" a="1"/>
  <c r="CG36" i="38" s="1"/>
  <c r="CG34" i="38" a="1"/>
  <c r="CG34" i="38" s="1"/>
  <c r="CG35" i="38" a="1"/>
  <c r="CG35" i="38" s="1"/>
  <c r="CG27" i="38" a="1"/>
  <c r="CG27" i="38" s="1"/>
  <c r="CG132" i="38" a="1"/>
  <c r="CG132" i="38" s="1"/>
  <c r="BZ130" i="38" a="1"/>
  <c r="BZ130" i="38" s="1"/>
  <c r="CL130" i="38" a="1"/>
  <c r="CL130" i="38" s="1"/>
  <c r="CG131" i="38" a="1"/>
  <c r="CG131" i="38" s="1"/>
  <c r="BX130" i="38" a="1"/>
  <c r="BX130" i="38" s="1"/>
  <c r="AT63" i="38" a="1"/>
  <c r="AT63" i="38" s="1"/>
  <c r="AY63" i="38" s="1" a="1"/>
  <c r="AY63" i="38" s="1"/>
  <c r="AZ63" i="38" s="1"/>
  <c r="AS63" i="38" a="1"/>
  <c r="AS63" i="38" s="1"/>
  <c r="AT51" i="38" a="1"/>
  <c r="AT51" i="38" s="1"/>
  <c r="AY51" i="38" s="1" a="1"/>
  <c r="AY51" i="38" s="1"/>
  <c r="AZ51" i="38" s="1"/>
  <c r="AS51" i="38" a="1"/>
  <c r="AS51" i="38" s="1"/>
  <c r="AT18" i="38" a="1"/>
  <c r="AT18" i="38" s="1"/>
  <c r="AY18" i="38" s="1" a="1"/>
  <c r="AY18" i="38" s="1"/>
  <c r="AZ18" i="38" s="1"/>
  <c r="AS18" i="38" a="1"/>
  <c r="AS18" i="38" s="1"/>
  <c r="CL147" i="38" a="1"/>
  <c r="CL147" i="38" s="1"/>
  <c r="CG156" i="38" a="1"/>
  <c r="CG156" i="38" s="1"/>
  <c r="CG157" i="38" a="1"/>
  <c r="CG157" i="38" s="1"/>
  <c r="CG149" i="38" a="1"/>
  <c r="CG149" i="38" s="1"/>
  <c r="BX147" i="38" a="1"/>
  <c r="BX147" i="38" s="1"/>
  <c r="CG148" i="38" a="1"/>
  <c r="CG148" i="38" s="1"/>
  <c r="BZ147" i="38" a="1"/>
  <c r="BZ147" i="38" s="1"/>
  <c r="AT52" i="38" a="1"/>
  <c r="AT52" i="38" s="1"/>
  <c r="AY52" i="38" s="1" a="1"/>
  <c r="AY52" i="38" s="1"/>
  <c r="AZ52" i="38" s="1"/>
  <c r="AS52" i="38" a="1"/>
  <c r="AS52" i="38" s="1"/>
  <c r="CL98" i="38" a="1"/>
  <c r="CL98" i="38" s="1"/>
  <c r="CG99" i="38" a="1"/>
  <c r="CG99" i="38" s="1"/>
  <c r="CG100" i="38" a="1"/>
  <c r="CG100" i="38" s="1"/>
  <c r="CG108" i="38" a="1"/>
  <c r="CG108" i="38" s="1"/>
  <c r="BX98" i="38" a="1"/>
  <c r="BX98" i="38" s="1"/>
  <c r="BZ98" i="38" a="1"/>
  <c r="BZ98" i="38" s="1"/>
  <c r="BZ112" i="38" a="1"/>
  <c r="BZ112" i="38" s="1"/>
  <c r="CL112" i="38" a="1"/>
  <c r="CL112" i="38" s="1"/>
  <c r="BX112" i="38" a="1"/>
  <c r="BX112" i="38" s="1"/>
  <c r="CG113" i="38" a="1"/>
  <c r="CG113" i="38" s="1"/>
  <c r="CG117" i="38" a="1"/>
  <c r="CG117" i="38" s="1"/>
  <c r="CG114" i="38" a="1"/>
  <c r="CG114" i="38" s="1"/>
  <c r="CL133" i="38" a="1"/>
  <c r="CL133" i="38" s="1"/>
  <c r="BZ133" i="38" a="1"/>
  <c r="BZ133" i="38" s="1"/>
  <c r="CG135" i="38" a="1"/>
  <c r="CG135" i="38" s="1"/>
  <c r="BX133" i="38" a="1"/>
  <c r="BX133" i="38" s="1"/>
  <c r="CG134" i="38" a="1"/>
  <c r="CG134" i="38" s="1"/>
  <c r="CB87" i="38"/>
  <c r="CN87" i="38" s="1" a="1"/>
  <c r="CN87" i="38" s="1"/>
  <c r="CA87" i="38"/>
  <c r="CC87" i="38"/>
  <c r="CP87" i="38" s="1" a="1"/>
  <c r="CP87" i="38" s="1"/>
  <c r="CG162" i="38" a="1"/>
  <c r="CG162" i="38" s="1"/>
  <c r="CG160" i="38" a="1"/>
  <c r="CG160" i="38" s="1"/>
  <c r="BX158" i="38" a="1"/>
  <c r="BX158" i="38" s="1"/>
  <c r="CG161" i="38" a="1"/>
  <c r="CG161" i="38" s="1"/>
  <c r="BZ158" i="38" a="1"/>
  <c r="BZ158" i="38" s="1"/>
  <c r="CG159" i="38" a="1"/>
  <c r="CG159" i="38" s="1"/>
  <c r="CL158" i="38" a="1"/>
  <c r="CL158" i="38" s="1"/>
  <c r="CP12" i="38" a="1"/>
  <c r="CP12" i="38" s="1"/>
  <c r="CO12" i="38" a="1"/>
  <c r="CO12" i="38" s="1"/>
  <c r="AS159" i="38" a="1"/>
  <c r="AS159" i="38" s="1"/>
  <c r="AT159" i="38" a="1"/>
  <c r="AT159" i="38" s="1"/>
  <c r="AU159" i="38" s="1"/>
  <c r="BX37" i="38" a="1"/>
  <c r="BX37" i="38" s="1"/>
  <c r="CG48" i="38" a="1"/>
  <c r="CG48" i="38" s="1"/>
  <c r="BZ37" i="38" a="1"/>
  <c r="BZ37" i="38" s="1"/>
  <c r="CL37" i="38" a="1"/>
  <c r="CL37" i="38" s="1"/>
  <c r="CG40" i="38" a="1"/>
  <c r="CG40" i="38" s="1"/>
  <c r="CG41" i="38" a="1"/>
  <c r="CG41" i="38" s="1"/>
  <c r="CG38" i="38" a="1"/>
  <c r="CG38" i="38" s="1"/>
  <c r="CG46" i="38" a="1"/>
  <c r="CG46" i="38" s="1"/>
  <c r="CG47" i="38" a="1"/>
  <c r="CG47" i="38" s="1"/>
  <c r="CG39" i="38" a="1"/>
  <c r="CG39" i="38" s="1"/>
  <c r="AS81" i="38" a="1"/>
  <c r="AS81" i="38" s="1"/>
  <c r="AT81" i="38" a="1"/>
  <c r="AT81" i="38" s="1"/>
  <c r="AS122" i="38" a="1"/>
  <c r="AS122" i="38" s="1"/>
  <c r="AT122" i="38" a="1"/>
  <c r="AT122" i="38" s="1"/>
  <c r="AS137" i="38" a="1"/>
  <c r="AS137" i="38" s="1"/>
  <c r="AT137" i="38" a="1"/>
  <c r="AT137" i="38" s="1"/>
  <c r="AU137" i="38" s="1"/>
  <c r="AS164" i="38" a="1"/>
  <c r="AS164" i="38" s="1"/>
  <c r="AT164" i="38" a="1"/>
  <c r="AT164" i="38" s="1"/>
  <c r="AU164" i="38" s="1"/>
  <c r="AT59" i="38" a="1"/>
  <c r="AT59" i="38" s="1"/>
  <c r="AY59" i="38" s="1" a="1"/>
  <c r="AY59" i="38" s="1"/>
  <c r="AZ59" i="38" s="1"/>
  <c r="AS59" i="38" a="1"/>
  <c r="AS59" i="38" s="1"/>
  <c r="AS148" i="38" a="1"/>
  <c r="AS148" i="38" s="1"/>
  <c r="AT148" i="38" a="1"/>
  <c r="AT148" i="38" s="1"/>
  <c r="AU148" i="38" s="1"/>
  <c r="AS58" i="38" a="1"/>
  <c r="AS58" i="38" s="1"/>
  <c r="AT58" i="38" a="1"/>
  <c r="AT58" i="38" s="1"/>
  <c r="AY58" i="38" s="1" a="1"/>
  <c r="AY58" i="38" s="1"/>
  <c r="AZ58" i="38" s="1"/>
  <c r="CG175" i="38" a="1"/>
  <c r="CG175" i="38" s="1"/>
  <c r="BX174" i="38" a="1"/>
  <c r="BX174" i="38" s="1"/>
  <c r="CG177" i="38" a="1"/>
  <c r="CG177" i="38" s="1"/>
  <c r="BZ174" i="38" a="1"/>
  <c r="BZ174" i="38" s="1"/>
  <c r="CG184" i="38" a="1"/>
  <c r="CG184" i="38" s="1"/>
  <c r="CL174" i="38" a="1"/>
  <c r="CL174" i="38" s="1"/>
  <c r="CG176" i="38" a="1"/>
  <c r="CG176" i="38" s="1"/>
  <c r="CM12" i="38" a="1"/>
  <c r="CM12" i="38" s="1"/>
  <c r="BA188" i="38"/>
  <c r="BF188" i="38" s="1"/>
  <c r="BA186" i="38"/>
  <c r="BF186" i="38" s="1"/>
  <c r="BA187" i="38"/>
  <c r="BD188" i="38"/>
  <c r="BK188" i="38"/>
  <c r="BD186" i="38"/>
  <c r="BK186" i="38"/>
  <c r="BK187" i="38"/>
  <c r="BD187" i="38"/>
  <c r="CC49" i="38" l="1"/>
  <c r="CP49" i="38" s="1" a="1"/>
  <c r="CP49" i="38" s="1"/>
  <c r="CA49" i="38"/>
  <c r="CA69" i="38" s="1" a="1"/>
  <c r="CA69" i="38" s="1"/>
  <c r="CH69" i="38" s="1"/>
  <c r="AU16" i="38"/>
  <c r="AV16" i="38" s="1" a="1"/>
  <c r="AV16" i="38" s="1"/>
  <c r="AX16" i="38" s="1"/>
  <c r="CS12" i="38" a="1"/>
  <c r="CS12" i="38" s="1"/>
  <c r="AU56" i="38"/>
  <c r="AV56" i="38" s="1" a="1"/>
  <c r="AV56" i="38" s="1"/>
  <c r="AX56" i="38" s="1"/>
  <c r="AU61" i="38"/>
  <c r="BM61" i="38" s="1"/>
  <c r="AU60" i="38"/>
  <c r="BM60" i="38" s="1"/>
  <c r="AU59" i="38"/>
  <c r="AV59" i="38" s="1" a="1"/>
  <c r="AV59" i="38" s="1"/>
  <c r="AX59" i="38" s="1"/>
  <c r="BA59" i="38" s="1"/>
  <c r="CF158" i="38" a="1"/>
  <c r="CF158" i="38" s="1"/>
  <c r="CZ12" i="38"/>
  <c r="CX12" i="38"/>
  <c r="DA12" i="38"/>
  <c r="AU63" i="38"/>
  <c r="AV63" i="38" s="1" a="1"/>
  <c r="AV63" i="38" s="1"/>
  <c r="AX63" i="38" s="1"/>
  <c r="AU18" i="38"/>
  <c r="BM18" i="38" s="1"/>
  <c r="AU58" i="38"/>
  <c r="BM58" i="38" s="1"/>
  <c r="AU50" i="38"/>
  <c r="AV50" i="38" s="1" a="1"/>
  <c r="AV50" i="38" s="1"/>
  <c r="AX50" i="38" s="1"/>
  <c r="CF37" i="38" a="1"/>
  <c r="CF37" i="38" s="1"/>
  <c r="AU53" i="38"/>
  <c r="AV53" i="38" s="1" a="1"/>
  <c r="AV53" i="38" s="1"/>
  <c r="AX53" i="38" s="1"/>
  <c r="AU62" i="38"/>
  <c r="BM62" i="38" s="1"/>
  <c r="CF130" i="38" a="1"/>
  <c r="CF130" i="38" s="1"/>
  <c r="CC127" i="38"/>
  <c r="CP127" i="38" s="1" a="1"/>
  <c r="CP127" i="38" s="1"/>
  <c r="CB127" i="38"/>
  <c r="CN127" i="38" s="1" a="1"/>
  <c r="CN127" i="38" s="1"/>
  <c r="CA127" i="38"/>
  <c r="CF118" i="38" a="1"/>
  <c r="CF118" i="38" s="1"/>
  <c r="CF98" i="38" a="1"/>
  <c r="CF98" i="38" s="1"/>
  <c r="CF112" i="38" a="1"/>
  <c r="CF112" i="38" s="1"/>
  <c r="CF80" i="38" a="1"/>
  <c r="CF80" i="38" s="1"/>
  <c r="CF92" i="38" a="1"/>
  <c r="CF92" i="38" s="1"/>
  <c r="DL12" i="38"/>
  <c r="CB136" i="38"/>
  <c r="CN136" i="38" s="1" a="1"/>
  <c r="CN136" i="38" s="1"/>
  <c r="CA136" i="38"/>
  <c r="CC136" i="38"/>
  <c r="CP136" i="38" s="1" a="1"/>
  <c r="CP136" i="38" s="1"/>
  <c r="CH49" i="38"/>
  <c r="CA56" i="38" a="1"/>
  <c r="CA56" i="38" s="1"/>
  <c r="CH56" i="38" s="1"/>
  <c r="CA133" i="38"/>
  <c r="CC133" i="38"/>
  <c r="CP133" i="38" s="1" a="1"/>
  <c r="CP133" i="38" s="1"/>
  <c r="CB133" i="38"/>
  <c r="CN133" i="38" s="1" a="1"/>
  <c r="CN133" i="38" s="1"/>
  <c r="CF25" i="38" a="1"/>
  <c r="CF25" i="38" s="1"/>
  <c r="CC80" i="38"/>
  <c r="CP80" i="38" s="1" a="1"/>
  <c r="CP80" i="38" s="1"/>
  <c r="CA80" i="38"/>
  <c r="CB80" i="38"/>
  <c r="CN80" i="38" s="1" a="1"/>
  <c r="CN80" i="38" s="1"/>
  <c r="AU52" i="38"/>
  <c r="CC92" i="38"/>
  <c r="CP92" i="38" s="1" a="1"/>
  <c r="CP92" i="38" s="1"/>
  <c r="CB92" i="38"/>
  <c r="CN92" i="38" s="1" a="1"/>
  <c r="CN92" i="38" s="1"/>
  <c r="CA92" i="38"/>
  <c r="CA95" i="38" s="1" a="1"/>
  <c r="CA95" i="38" s="1"/>
  <c r="CH95" i="38" s="1"/>
  <c r="CY12" i="38"/>
  <c r="AU17" i="38"/>
  <c r="CB118" i="38"/>
  <c r="CN118" i="38" s="1" a="1"/>
  <c r="CN118" i="38" s="1"/>
  <c r="CC118" i="38"/>
  <c r="CP118" i="38" s="1" a="1"/>
  <c r="CP118" i="38" s="1"/>
  <c r="CA118" i="38"/>
  <c r="CF147" i="38" a="1"/>
  <c r="CF147" i="38" s="1"/>
  <c r="CB112" i="38"/>
  <c r="CN112" i="38" s="1" a="1"/>
  <c r="CN112" i="38" s="1"/>
  <c r="CC112" i="38"/>
  <c r="CP112" i="38" s="1" a="1"/>
  <c r="CP112" i="38" s="1"/>
  <c r="CA112" i="38"/>
  <c r="CB25" i="38"/>
  <c r="CN25" i="38" s="1" a="1"/>
  <c r="CN25" i="38" s="1"/>
  <c r="CA25" i="38"/>
  <c r="CC25" i="38"/>
  <c r="CP25" i="38" s="1" a="1"/>
  <c r="CP25" i="38" s="1"/>
  <c r="CB121" i="38"/>
  <c r="CN121" i="38" s="1" a="1"/>
  <c r="CN121" i="38" s="1"/>
  <c r="CA121" i="38"/>
  <c r="CC121" i="38"/>
  <c r="CP121" i="38" s="1" a="1"/>
  <c r="CP121" i="38" s="1"/>
  <c r="CQ12" i="38" a="1"/>
  <c r="CQ12" i="38" s="1"/>
  <c r="CR12" i="38" a="1"/>
  <c r="CR12" i="38" s="1"/>
  <c r="AU57" i="38"/>
  <c r="CC98" i="38"/>
  <c r="CP98" i="38" s="1" a="1"/>
  <c r="CP98" i="38" s="1"/>
  <c r="CA98" i="38"/>
  <c r="CA110" i="38" s="1" a="1"/>
  <c r="CA110" i="38" s="1"/>
  <c r="CB98" i="38"/>
  <c r="CN98" i="38" s="1" a="1"/>
  <c r="CN98" i="38" s="1"/>
  <c r="CB147" i="38"/>
  <c r="CN147" i="38" s="1" a="1"/>
  <c r="CN147" i="38" s="1"/>
  <c r="CA147" i="38"/>
  <c r="CC147" i="38"/>
  <c r="CP147" i="38" s="1" a="1"/>
  <c r="CP147" i="38" s="1"/>
  <c r="BF64" i="38"/>
  <c r="BB64" i="38"/>
  <c r="DC12" i="38"/>
  <c r="AU51" i="38"/>
  <c r="CF136" i="38" a="1"/>
  <c r="CF136" i="38" s="1"/>
  <c r="CC158" i="38"/>
  <c r="CA158" i="38"/>
  <c r="CB158" i="38"/>
  <c r="CN158" i="38" s="1" a="1"/>
  <c r="CN158" i="38" s="1"/>
  <c r="CC130" i="38"/>
  <c r="CP130" i="38" s="1" a="1"/>
  <c r="CP130" i="38" s="1"/>
  <c r="CB130" i="38"/>
  <c r="CN130" i="38" s="1" a="1"/>
  <c r="CN130" i="38" s="1"/>
  <c r="CA130" i="38"/>
  <c r="DI12" i="38"/>
  <c r="CF87" i="38" a="1"/>
  <c r="CF87" i="38" s="1"/>
  <c r="CH87" i="38"/>
  <c r="CA89" i="38" a="1"/>
  <c r="CA89" i="38" s="1"/>
  <c r="CH89" i="38" s="1"/>
  <c r="CA88" i="38" a="1"/>
  <c r="CA88" i="38" s="1"/>
  <c r="CH88" i="38" s="1"/>
  <c r="AV88" i="38" s="1" a="1"/>
  <c r="AV88" i="38" s="1"/>
  <c r="AX88" i="38" s="1"/>
  <c r="CA91" i="38" a="1"/>
  <c r="CA91" i="38" s="1"/>
  <c r="CH91" i="38" s="1"/>
  <c r="CA90" i="38" a="1"/>
  <c r="CA90" i="38" s="1"/>
  <c r="CH90" i="38" s="1"/>
  <c r="CW12" i="38"/>
  <c r="BA54" i="38"/>
  <c r="CC37" i="38"/>
  <c r="CP37" i="38" s="1" a="1"/>
  <c r="CP37" i="38" s="1"/>
  <c r="CB37" i="38"/>
  <c r="CN37" i="38" s="1" a="1"/>
  <c r="CN37" i="38" s="1"/>
  <c r="CA37" i="38"/>
  <c r="CF174" i="38" a="1"/>
  <c r="CF174" i="38" s="1"/>
  <c r="CF163" i="38" a="1"/>
  <c r="CF163" i="38" s="1"/>
  <c r="AU55" i="38"/>
  <c r="CB174" i="38"/>
  <c r="CN174" i="38" s="1" a="1"/>
  <c r="CN174" i="38" s="1"/>
  <c r="CC174" i="38"/>
  <c r="CP174" i="38" s="1" a="1"/>
  <c r="CP174" i="38" s="1"/>
  <c r="CA174" i="38"/>
  <c r="CF133" i="38" a="1"/>
  <c r="CF133" i="38" s="1"/>
  <c r="DR14" i="38"/>
  <c r="DV14" i="38" s="1"/>
  <c r="DX14" i="38" s="1"/>
  <c r="EB14" i="38" s="1"/>
  <c r="DB12" i="38"/>
  <c r="CF49" i="38" a="1"/>
  <c r="CF49" i="38" s="1"/>
  <c r="CF127" i="38" a="1"/>
  <c r="CF127" i="38" s="1"/>
  <c r="CA15" i="38"/>
  <c r="CA21" i="38" s="1" a="1"/>
  <c r="CA21" i="38" s="1"/>
  <c r="CH21" i="38" s="1"/>
  <c r="CB15" i="38"/>
  <c r="CC15" i="38"/>
  <c r="CA163" i="38"/>
  <c r="CC163" i="38"/>
  <c r="CP163" i="38" s="1" a="1"/>
  <c r="CP163" i="38" s="1"/>
  <c r="CB163" i="38"/>
  <c r="CN163" i="38" s="1" a="1"/>
  <c r="CN163" i="38" s="1"/>
  <c r="CV12" i="38"/>
  <c r="AT13" i="38" a="1"/>
  <c r="AT13" i="38" s="1"/>
  <c r="AY13" i="38" s="1" a="1"/>
  <c r="AY13" i="38" s="1"/>
  <c r="AZ13" i="38" s="1"/>
  <c r="DF13" i="38" s="1"/>
  <c r="DF12" i="38" s="1"/>
  <c r="AS13" i="38" a="1"/>
  <c r="AS13" i="38" s="1"/>
  <c r="CF121" i="38" a="1"/>
  <c r="CF121" i="38" s="1"/>
  <c r="BB186" i="38"/>
  <c r="BC186" i="38" s="1" a="1"/>
  <c r="BC186" i="38" s="1"/>
  <c r="BB188" i="38"/>
  <c r="BN188" i="38" s="1" a="1"/>
  <c r="BN188" i="38" s="1"/>
  <c r="BO188" i="38" s="1"/>
  <c r="BF187" i="38"/>
  <c r="BB187" i="38"/>
  <c r="BM16" i="38" l="1"/>
  <c r="CA23" i="38" a="1"/>
  <c r="CA23" i="38" s="1"/>
  <c r="CH23" i="38" s="1"/>
  <c r="CA22" i="38" a="1"/>
  <c r="CA22" i="38" s="1"/>
  <c r="CH22" i="38" s="1"/>
  <c r="CA70" i="38" a="1"/>
  <c r="CA70" i="38" s="1"/>
  <c r="CH70" i="38" s="1"/>
  <c r="CA68" i="38" a="1"/>
  <c r="CA68" i="38" s="1"/>
  <c r="CH68" i="38" s="1"/>
  <c r="CA72" i="38" a="1"/>
  <c r="CA72" i="38" s="1"/>
  <c r="CH72" i="38" s="1"/>
  <c r="CA71" i="38" a="1"/>
  <c r="CA71" i="38" s="1"/>
  <c r="CH71" i="38" s="1"/>
  <c r="CA74" i="38" a="1"/>
  <c r="CA74" i="38" s="1"/>
  <c r="CH74" i="38" s="1"/>
  <c r="CA73" i="38" a="1"/>
  <c r="CA73" i="38" s="1"/>
  <c r="CH73" i="38" s="1"/>
  <c r="CA76" i="38" a="1"/>
  <c r="CA76" i="38" s="1"/>
  <c r="CH76" i="38" s="1"/>
  <c r="CA75" i="38" a="1"/>
  <c r="CA75" i="38" s="1"/>
  <c r="CH75" i="38" s="1"/>
  <c r="CA78" i="38" a="1"/>
  <c r="CA78" i="38" s="1"/>
  <c r="CH78" i="38" s="1"/>
  <c r="CA77" i="38" a="1"/>
  <c r="CA77" i="38" s="1"/>
  <c r="CH77" i="38" s="1"/>
  <c r="CA58" i="38" a="1"/>
  <c r="CA58" i="38" s="1"/>
  <c r="CH58" i="38" s="1"/>
  <c r="CA79" i="38" a="1"/>
  <c r="CA79" i="38" s="1"/>
  <c r="CH79" i="38" s="1"/>
  <c r="CA60" i="38" a="1"/>
  <c r="CA60" i="38" s="1"/>
  <c r="CH60" i="38" s="1"/>
  <c r="CA63" i="38" a="1"/>
  <c r="CA63" i="38" s="1"/>
  <c r="CH63" i="38" s="1"/>
  <c r="CA62" i="38" a="1"/>
  <c r="CA62" i="38" s="1"/>
  <c r="CH62" i="38" s="1"/>
  <c r="CA52" i="38" a="1"/>
  <c r="CA52" i="38" s="1"/>
  <c r="CH52" i="38" s="1"/>
  <c r="CA59" i="38" a="1"/>
  <c r="CA59" i="38" s="1"/>
  <c r="CH59" i="38" s="1"/>
  <c r="CA55" i="38" a="1"/>
  <c r="CA55" i="38" s="1"/>
  <c r="CH55" i="38" s="1"/>
  <c r="CA64" i="38" a="1"/>
  <c r="CA64" i="38" s="1"/>
  <c r="CH64" i="38" s="1"/>
  <c r="CA115" i="38" a="1"/>
  <c r="CA115" i="38" s="1"/>
  <c r="CH115" i="38" s="1"/>
  <c r="CA84" i="38" a="1"/>
  <c r="CA84" i="38" s="1"/>
  <c r="CA83" i="38" a="1"/>
  <c r="CA83" i="38" s="1"/>
  <c r="CH83" i="38" s="1"/>
  <c r="CA51" i="38" a="1"/>
  <c r="CA51" i="38" s="1"/>
  <c r="CH51" i="38" s="1"/>
  <c r="CA125" i="38" a="1"/>
  <c r="CA125" i="38" s="1"/>
  <c r="CA124" i="38" a="1"/>
  <c r="CA124" i="38" s="1"/>
  <c r="CH124" i="38" s="1"/>
  <c r="CA65" i="38" a="1"/>
  <c r="CA65" i="38" s="1"/>
  <c r="CH65" i="38" s="1"/>
  <c r="CA116" i="38" a="1"/>
  <c r="CA116" i="38" s="1"/>
  <c r="CH110" i="38"/>
  <c r="CA109" i="38" a="1"/>
  <c r="CA109" i="38" s="1"/>
  <c r="CH109" i="38" s="1"/>
  <c r="CA111" i="38" a="1"/>
  <c r="CA111" i="38" s="1"/>
  <c r="CH111" i="38" s="1"/>
  <c r="CA146" i="38" a="1"/>
  <c r="CA146" i="38" s="1"/>
  <c r="CH146" i="38" s="1"/>
  <c r="CA142" i="38" a="1"/>
  <c r="CA142" i="38" s="1"/>
  <c r="CH142" i="38" s="1"/>
  <c r="CA143" i="38" a="1"/>
  <c r="CA143" i="38" s="1"/>
  <c r="CA54" i="38" a="1"/>
  <c r="CA54" i="38" s="1"/>
  <c r="CH54" i="38" s="1"/>
  <c r="CA61" i="38" a="1"/>
  <c r="CA61" i="38" s="1"/>
  <c r="CH61" i="38" s="1"/>
  <c r="CA57" i="38" a="1"/>
  <c r="CA57" i="38" s="1"/>
  <c r="CH57" i="38" s="1"/>
  <c r="CA53" i="38" a="1"/>
  <c r="CA53" i="38" s="1"/>
  <c r="CH53" i="38" s="1"/>
  <c r="CA66" i="38" a="1"/>
  <c r="CA66" i="38" s="1"/>
  <c r="CA50" i="38" a="1"/>
  <c r="CA50" i="38" s="1"/>
  <c r="CH50" i="38" s="1"/>
  <c r="CA67" i="38" a="1"/>
  <c r="CA67" i="38" s="1"/>
  <c r="CH67" i="38" s="1"/>
  <c r="CA139" i="38" a="1"/>
  <c r="CA139" i="38" s="1"/>
  <c r="CA144" i="38" a="1"/>
  <c r="CA144" i="38" s="1"/>
  <c r="CH144" i="38" s="1"/>
  <c r="CA153" i="38" a="1"/>
  <c r="CA153" i="38" s="1"/>
  <c r="CH153" i="38" s="1"/>
  <c r="CA154" i="38" a="1"/>
  <c r="CA154" i="38" s="1"/>
  <c r="CA150" i="38" a="1"/>
  <c r="CA150" i="38" s="1"/>
  <c r="CA155" i="38" a="1"/>
  <c r="CA155" i="38" s="1"/>
  <c r="CH155" i="38" s="1"/>
  <c r="CA152" i="38" a="1"/>
  <c r="CA152" i="38" s="1"/>
  <c r="CA151" i="38" a="1"/>
  <c r="CA151" i="38" s="1"/>
  <c r="CH151" i="38" s="1"/>
  <c r="CA141" i="38" a="1"/>
  <c r="CA141" i="38" s="1"/>
  <c r="CA140" i="38" a="1"/>
  <c r="CA140" i="38" s="1"/>
  <c r="CH140" i="38" s="1"/>
  <c r="CA169" i="38" a="1"/>
  <c r="CA169" i="38" s="1"/>
  <c r="CH169" i="38" s="1"/>
  <c r="CA168" i="38" a="1"/>
  <c r="CA168" i="38" s="1"/>
  <c r="CA173" i="38" a="1"/>
  <c r="CA173" i="38" s="1"/>
  <c r="CH173" i="38" s="1"/>
  <c r="CA172" i="38" a="1"/>
  <c r="CA172" i="38" s="1"/>
  <c r="CA166" i="38" a="1"/>
  <c r="CA166" i="38" s="1"/>
  <c r="CA165" i="38" a="1"/>
  <c r="CA165" i="38" s="1"/>
  <c r="CH165" i="38" s="1"/>
  <c r="CA182" i="38" a="1"/>
  <c r="CA182" i="38" s="1"/>
  <c r="CH182" i="38" s="1"/>
  <c r="CA181" i="38" a="1"/>
  <c r="CA181" i="38" s="1"/>
  <c r="AV61" i="38" a="1"/>
  <c r="AV61" i="38" s="1"/>
  <c r="AX61" i="38" s="1"/>
  <c r="BA61" i="38" s="1"/>
  <c r="CA183" i="38" a="1"/>
  <c r="CA183" i="38" s="1"/>
  <c r="CA179" i="38" a="1"/>
  <c r="CA179" i="38" s="1"/>
  <c r="CA178" i="38" a="1"/>
  <c r="CA178" i="38" s="1"/>
  <c r="CH178" i="38" s="1"/>
  <c r="CA180" i="38" a="1"/>
  <c r="CA180" i="38" s="1"/>
  <c r="CH180" i="38" s="1"/>
  <c r="CA102" i="38" a="1"/>
  <c r="CA102" i="38" s="1"/>
  <c r="CH102" i="38" s="1"/>
  <c r="CA101" i="38" a="1"/>
  <c r="CA101" i="38" s="1"/>
  <c r="CH101" i="38" s="1"/>
  <c r="AV60" i="38" a="1"/>
  <c r="AV60" i="38" s="1"/>
  <c r="AX60" i="38" s="1"/>
  <c r="BA60" i="38" s="1"/>
  <c r="BB60" i="38" s="1"/>
  <c r="CA103" i="38" a="1"/>
  <c r="CA103" i="38" s="1"/>
  <c r="CA105" i="38" a="1"/>
  <c r="CA105" i="38" s="1"/>
  <c r="CH105" i="38" s="1"/>
  <c r="CA104" i="38" a="1"/>
  <c r="CA104" i="38" s="1"/>
  <c r="CH104" i="38" s="1"/>
  <c r="CA107" i="38" a="1"/>
  <c r="CA107" i="38" s="1"/>
  <c r="CH107" i="38" s="1"/>
  <c r="CA106" i="38" a="1"/>
  <c r="CA106" i="38" s="1"/>
  <c r="BM56" i="38"/>
  <c r="CA29" i="38" a="1"/>
  <c r="CA29" i="38" s="1"/>
  <c r="CA33" i="38" a="1"/>
  <c r="CA33" i="38" s="1"/>
  <c r="CA31" i="38" a="1"/>
  <c r="CA31" i="38" s="1"/>
  <c r="CH31" i="38" s="1"/>
  <c r="CA30" i="38" a="1"/>
  <c r="CA30" i="38" s="1"/>
  <c r="BM59" i="38"/>
  <c r="BM63" i="38"/>
  <c r="CA43" i="38" a="1"/>
  <c r="CA43" i="38" s="1"/>
  <c r="CH43" i="38" s="1"/>
  <c r="CA42" i="38" a="1"/>
  <c r="CA42" i="38" s="1"/>
  <c r="AV18" i="38" a="1"/>
  <c r="AV18" i="38" s="1"/>
  <c r="AX18" i="38" s="1"/>
  <c r="BA18" i="38" s="1"/>
  <c r="BF18" i="38" s="1"/>
  <c r="CA45" i="38" a="1"/>
  <c r="CA45" i="38" s="1"/>
  <c r="CA44" i="38" a="1"/>
  <c r="CA44" i="38" s="1"/>
  <c r="CH44" i="38" s="1"/>
  <c r="AV58" i="38" a="1"/>
  <c r="AV58" i="38" s="1"/>
  <c r="AX58" i="38" s="1"/>
  <c r="BA58" i="38" s="1"/>
  <c r="BF58" i="38" s="1"/>
  <c r="BM50" i="38"/>
  <c r="AV62" i="38" a="1"/>
  <c r="AV62" i="38" s="1"/>
  <c r="AX62" i="38" s="1"/>
  <c r="BA62" i="38" s="1"/>
  <c r="BF62" i="38" s="1"/>
  <c r="CM37" i="38" a="1"/>
  <c r="CM37" i="38" s="1"/>
  <c r="CR37" i="38" s="1" a="1"/>
  <c r="CR37" i="38" s="1"/>
  <c r="BM53" i="38"/>
  <c r="BF59" i="38"/>
  <c r="BB59" i="38"/>
  <c r="CH130" i="38"/>
  <c r="CA131" i="38" a="1"/>
  <c r="CA131" i="38" s="1"/>
  <c r="CH131" i="38" s="1"/>
  <c r="AV131" i="38" s="1" a="1"/>
  <c r="AV131" i="38" s="1"/>
  <c r="AX131" i="38" s="1"/>
  <c r="CA132" i="38" a="1"/>
  <c r="CA132" i="38" s="1"/>
  <c r="CH132" i="38" s="1"/>
  <c r="CH121" i="38"/>
  <c r="CA126" i="38" a="1"/>
  <c r="CA126" i="38" s="1"/>
  <c r="CH126" i="38" s="1"/>
  <c r="CA122" i="38" a="1"/>
  <c r="CA122" i="38" s="1"/>
  <c r="CH122" i="38" s="1"/>
  <c r="CA123" i="38" a="1"/>
  <c r="CA123" i="38" s="1"/>
  <c r="CH123" i="38" s="1"/>
  <c r="BA53" i="38"/>
  <c r="CM112" i="38" a="1"/>
  <c r="CM112" i="38" s="1"/>
  <c r="CO112" i="38" a="1"/>
  <c r="CO112" i="38" s="1"/>
  <c r="CS112" i="38" s="1" a="1"/>
  <c r="CS112" i="38" s="1"/>
  <c r="CH127" i="38"/>
  <c r="CA129" i="38" a="1"/>
  <c r="CA129" i="38" s="1"/>
  <c r="CH129" i="38" s="1"/>
  <c r="CA128" i="38" a="1"/>
  <c r="CA128" i="38" s="1"/>
  <c r="CH128" i="38" s="1"/>
  <c r="AV128" i="38" s="1" a="1"/>
  <c r="AV128" i="38" s="1"/>
  <c r="AX128" i="38" s="1"/>
  <c r="CH163" i="38"/>
  <c r="CA171" i="38" a="1"/>
  <c r="CA171" i="38" s="1"/>
  <c r="CH171" i="38" s="1"/>
  <c r="CA170" i="38" a="1"/>
  <c r="CA170" i="38" s="1"/>
  <c r="CA164" i="38" a="1"/>
  <c r="CA164" i="38" s="1"/>
  <c r="CH164" i="38" s="1"/>
  <c r="AV164" i="38" s="1" a="1"/>
  <c r="AV164" i="38" s="1"/>
  <c r="AX164" i="38" s="1"/>
  <c r="CA167" i="38" a="1"/>
  <c r="CA167" i="38" s="1"/>
  <c r="CH167" i="38" s="1"/>
  <c r="CA177" i="38" a="1"/>
  <c r="CA177" i="38" s="1"/>
  <c r="CA184" i="38" a="1"/>
  <c r="CA184" i="38" s="1"/>
  <c r="CH184" i="38" s="1"/>
  <c r="CH174" i="38"/>
  <c r="CA175" i="38" a="1"/>
  <c r="CA175" i="38" s="1"/>
  <c r="CH175" i="38" s="1"/>
  <c r="AV175" i="38" s="1" a="1"/>
  <c r="AV175" i="38" s="1"/>
  <c r="AX175" i="38" s="1"/>
  <c r="CA176" i="38" a="1"/>
  <c r="CA176" i="38" s="1"/>
  <c r="CH176" i="38" s="1"/>
  <c r="CH37" i="38"/>
  <c r="CA41" i="38" a="1"/>
  <c r="CA41" i="38" s="1"/>
  <c r="CA47" i="38" a="1"/>
  <c r="CA47" i="38" s="1"/>
  <c r="CA40" i="38" a="1"/>
  <c r="CA40" i="38" s="1"/>
  <c r="CH40" i="38" s="1"/>
  <c r="CA46" i="38" a="1"/>
  <c r="CA46" i="38" s="1"/>
  <c r="CH46" i="38" s="1"/>
  <c r="CA38" i="38" a="1"/>
  <c r="CA38" i="38" s="1"/>
  <c r="CH38" i="38" s="1"/>
  <c r="AV38" i="38" s="1" a="1"/>
  <c r="AV38" i="38" s="1"/>
  <c r="AX38" i="38" s="1"/>
  <c r="CA39" i="38" a="1"/>
  <c r="CA39" i="38" s="1"/>
  <c r="CH39" i="38" s="1"/>
  <c r="CA48" i="38" a="1"/>
  <c r="CA48" i="38" s="1"/>
  <c r="CH48" i="38" s="1"/>
  <c r="CH147" i="38"/>
  <c r="CA156" i="38" a="1"/>
  <c r="CA156" i="38" s="1"/>
  <c r="CA157" i="38" a="1"/>
  <c r="CA157" i="38" s="1"/>
  <c r="CH157" i="38" s="1"/>
  <c r="CA148" i="38" a="1"/>
  <c r="CA148" i="38" s="1"/>
  <c r="CH148" i="38" s="1"/>
  <c r="AV148" i="38" s="1" a="1"/>
  <c r="AV148" i="38" s="1"/>
  <c r="AX148" i="38" s="1"/>
  <c r="CA149" i="38" a="1"/>
  <c r="CA149" i="38" s="1"/>
  <c r="CH149" i="38" s="1"/>
  <c r="CH92" i="38"/>
  <c r="CA94" i="38" a="1"/>
  <c r="CA94" i="38" s="1"/>
  <c r="CH94" i="38" s="1"/>
  <c r="CA93" i="38" a="1"/>
  <c r="CA93" i="38" s="1"/>
  <c r="CH93" i="38" s="1"/>
  <c r="AV93" i="38" s="1" a="1"/>
  <c r="AV93" i="38" s="1"/>
  <c r="AX93" i="38" s="1"/>
  <c r="CA96" i="38" a="1"/>
  <c r="CA96" i="38" s="1"/>
  <c r="CH96" i="38" s="1"/>
  <c r="CA97" i="38" a="1"/>
  <c r="CA97" i="38" s="1"/>
  <c r="CH97" i="38" s="1"/>
  <c r="CP15" i="38" a="1"/>
  <c r="CP15" i="38" s="1"/>
  <c r="CO15" i="38" a="1"/>
  <c r="CO15" i="38" s="1"/>
  <c r="CM80" i="38" a="1"/>
  <c r="CM80" i="38" s="1"/>
  <c r="CO80" i="38" a="1"/>
  <c r="CO80" i="38" s="1"/>
  <c r="CS80" i="38" s="1" a="1"/>
  <c r="CS80" i="38" s="1"/>
  <c r="CO136" i="38" a="1"/>
  <c r="CO136" i="38" s="1"/>
  <c r="CS136" i="38" s="1" a="1"/>
  <c r="CS136" i="38" s="1"/>
  <c r="CM136" i="38" a="1"/>
  <c r="CM136" i="38" s="1"/>
  <c r="CA108" i="38" a="1"/>
  <c r="CA108" i="38" s="1"/>
  <c r="CH98" i="38"/>
  <c r="CA99" i="38" a="1"/>
  <c r="CA99" i="38" s="1"/>
  <c r="CH99" i="38" s="1"/>
  <c r="AV99" i="38" s="1" a="1"/>
  <c r="AV99" i="38" s="1"/>
  <c r="AX99" i="38" s="1"/>
  <c r="CA100" i="38" a="1"/>
  <c r="CA100" i="38" s="1"/>
  <c r="CH100" i="38" s="1"/>
  <c r="AV100" i="38" s="1" a="1"/>
  <c r="AV100" i="38" s="1"/>
  <c r="AX100" i="38" s="1"/>
  <c r="BM52" i="38"/>
  <c r="AV52" i="38" a="1"/>
  <c r="AV52" i="38" s="1"/>
  <c r="AX52" i="38" s="1"/>
  <c r="BA52" i="38" s="1"/>
  <c r="CH15" i="38"/>
  <c r="CA17" i="38" a="1"/>
  <c r="CA17" i="38" s="1"/>
  <c r="CH17" i="38" s="1"/>
  <c r="CA24" i="38" a="1"/>
  <c r="CA24" i="38" s="1"/>
  <c r="CH24" i="38" s="1"/>
  <c r="CA20" i="38" a="1"/>
  <c r="CA20" i="38" s="1"/>
  <c r="CA19" i="38" a="1"/>
  <c r="CA19" i="38" s="1"/>
  <c r="CH19" i="38" s="1"/>
  <c r="CA16" i="38" a="1"/>
  <c r="CA16" i="38" s="1"/>
  <c r="CH16" i="38" s="1"/>
  <c r="CA18" i="38" a="1"/>
  <c r="CA18" i="38" s="1"/>
  <c r="CH18" i="38" s="1"/>
  <c r="CO87" i="38" a="1"/>
  <c r="CO87" i="38" s="1"/>
  <c r="CS87" i="38" s="1" a="1"/>
  <c r="CS87" i="38" s="1"/>
  <c r="CM87" i="38" a="1"/>
  <c r="CM87" i="38" s="1"/>
  <c r="AU13" i="38"/>
  <c r="CH112" i="38"/>
  <c r="CA117" i="38" a="1"/>
  <c r="CA117" i="38" s="1"/>
  <c r="CH117" i="38" s="1"/>
  <c r="CA113" i="38" a="1"/>
  <c r="CA113" i="38" s="1"/>
  <c r="CH113" i="38" s="1"/>
  <c r="CA114" i="38" a="1"/>
  <c r="CA114" i="38" s="1"/>
  <c r="CH114" i="38" s="1"/>
  <c r="CM163" i="38" a="1"/>
  <c r="CM163" i="38" s="1"/>
  <c r="CO163" i="38" a="1"/>
  <c r="CO163" i="38" s="1"/>
  <c r="CS163" i="38" s="1" a="1"/>
  <c r="CS163" i="38" s="1"/>
  <c r="CH133" i="38"/>
  <c r="CA135" i="38" a="1"/>
  <c r="CA135" i="38" s="1"/>
  <c r="CH135" i="38" s="1"/>
  <c r="CA134" i="38" a="1"/>
  <c r="CA134" i="38" s="1"/>
  <c r="CH134" i="38" s="1"/>
  <c r="AV134" i="38" s="1" a="1"/>
  <c r="AV134" i="38" s="1"/>
  <c r="AX134" i="38" s="1"/>
  <c r="CO147" i="38" a="1"/>
  <c r="CO147" i="38" s="1"/>
  <c r="CS147" i="38" s="1" a="1"/>
  <c r="CS147" i="38" s="1"/>
  <c r="CM147" i="38" a="1"/>
  <c r="CM147" i="38" s="1"/>
  <c r="CM127" i="38" a="1"/>
  <c r="CM127" i="38" s="1"/>
  <c r="CO127" i="38" a="1"/>
  <c r="CO127" i="38" s="1"/>
  <c r="CS127" i="38" s="1" a="1"/>
  <c r="CS127" i="38" s="1"/>
  <c r="BM55" i="38"/>
  <c r="AV55" i="38" a="1"/>
  <c r="AV55" i="38" s="1"/>
  <c r="AX55" i="38" s="1"/>
  <c r="BM51" i="38"/>
  <c r="AV51" i="38" a="1"/>
  <c r="AV51" i="38" s="1"/>
  <c r="AX51" i="38" s="1"/>
  <c r="BA51" i="38" s="1"/>
  <c r="CO130" i="38" a="1"/>
  <c r="CO130" i="38" s="1"/>
  <c r="CS130" i="38" s="1" a="1"/>
  <c r="CS130" i="38" s="1"/>
  <c r="CM130" i="38" a="1"/>
  <c r="CM130" i="38" s="1"/>
  <c r="CM118" i="38" a="1"/>
  <c r="CM118" i="38" s="1"/>
  <c r="CO118" i="38" a="1"/>
  <c r="CO118" i="38" s="1"/>
  <c r="CS118" i="38" s="1" a="1"/>
  <c r="CS118" i="38" s="1"/>
  <c r="CH118" i="38"/>
  <c r="CA120" i="38" a="1"/>
  <c r="CA120" i="38" s="1"/>
  <c r="CH120" i="38" s="1"/>
  <c r="CA119" i="38" a="1"/>
  <c r="CA119" i="38" s="1"/>
  <c r="CH119" i="38" s="1"/>
  <c r="AV119" i="38" s="1" a="1"/>
  <c r="AV119" i="38" s="1"/>
  <c r="AX119" i="38" s="1"/>
  <c r="CH80" i="38"/>
  <c r="CA82" i="38" a="1"/>
  <c r="CA82" i="38" s="1"/>
  <c r="CH82" i="38" s="1"/>
  <c r="CA81" i="38" a="1"/>
  <c r="CA81" i="38" s="1"/>
  <c r="CH81" i="38" s="1"/>
  <c r="CA85" i="38" a="1"/>
  <c r="CA85" i="38" s="1"/>
  <c r="CH85" i="38" s="1"/>
  <c r="CA86" i="38" a="1"/>
  <c r="CA86" i="38" s="1"/>
  <c r="CH86" i="38" s="1"/>
  <c r="BA56" i="38"/>
  <c r="CO98" i="38" a="1"/>
  <c r="CO98" i="38" s="1"/>
  <c r="CS98" i="38" s="1" a="1"/>
  <c r="CS98" i="38" s="1"/>
  <c r="CM98" i="38" a="1"/>
  <c r="CM98" i="38" s="1"/>
  <c r="CO49" i="38" a="1"/>
  <c r="CO49" i="38" s="1"/>
  <c r="CS49" i="38" s="1" a="1"/>
  <c r="CS49" i="38" s="1"/>
  <c r="CM49" i="38" a="1"/>
  <c r="CM49" i="38" s="1"/>
  <c r="CM174" i="38" a="1"/>
  <c r="CM174" i="38" s="1"/>
  <c r="CO174" i="38" a="1"/>
  <c r="CO174" i="38" s="1"/>
  <c r="CS174" i="38" s="1" a="1"/>
  <c r="CS174" i="38" s="1"/>
  <c r="BA63" i="38"/>
  <c r="CO92" i="38" a="1"/>
  <c r="CO92" i="38" s="1"/>
  <c r="CS92" i="38" s="1" a="1"/>
  <c r="CS92" i="38" s="1"/>
  <c r="CM92" i="38" a="1"/>
  <c r="CM92" i="38" s="1"/>
  <c r="CA162" i="38" a="1"/>
  <c r="CA162" i="38" s="1"/>
  <c r="CH162" i="38" s="1"/>
  <c r="CA159" i="38" a="1"/>
  <c r="CA159" i="38" s="1"/>
  <c r="CH159" i="38" s="1"/>
  <c r="AV159" i="38" s="1" a="1"/>
  <c r="AV159" i="38" s="1"/>
  <c r="AX159" i="38" s="1"/>
  <c r="CH158" i="38"/>
  <c r="CA161" i="38" a="1"/>
  <c r="CA161" i="38" s="1"/>
  <c r="CH161" i="38" s="1"/>
  <c r="CA160" i="38" a="1"/>
  <c r="CA160" i="38" s="1"/>
  <c r="CH160" i="38" s="1"/>
  <c r="CP158" i="38" a="1"/>
  <c r="CP158" i="38" s="1"/>
  <c r="CO158" i="38" a="1"/>
  <c r="CO158" i="38" s="1"/>
  <c r="CA35" i="38" a="1"/>
  <c r="CA35" i="38" s="1"/>
  <c r="CA28" i="38" a="1"/>
  <c r="CA28" i="38" s="1"/>
  <c r="CH28" i="38" s="1"/>
  <c r="CA34" i="38" a="1"/>
  <c r="CA34" i="38" s="1"/>
  <c r="CH34" i="38" s="1"/>
  <c r="CH25" i="38"/>
  <c r="CA32" i="38" a="1"/>
  <c r="CA32" i="38" s="1"/>
  <c r="CH32" i="38" s="1"/>
  <c r="CA36" i="38" a="1"/>
  <c r="CA36" i="38" s="1"/>
  <c r="CH36" i="38" s="1"/>
  <c r="CA26" i="38" a="1"/>
  <c r="CA26" i="38" s="1"/>
  <c r="CH26" i="38" s="1"/>
  <c r="AV26" i="38" s="1" a="1"/>
  <c r="AV26" i="38" s="1"/>
  <c r="AX26" i="38" s="1"/>
  <c r="CA27" i="38" a="1"/>
  <c r="CA27" i="38" s="1"/>
  <c r="CH27" i="38" s="1"/>
  <c r="CM121" i="38" a="1"/>
  <c r="CM121" i="38" s="1"/>
  <c r="CO121" i="38" a="1"/>
  <c r="CO121" i="38" s="1"/>
  <c r="CS121" i="38" s="1" a="1"/>
  <c r="CS121" i="38" s="1"/>
  <c r="CN15" i="38" a="1"/>
  <c r="CN15" i="38" s="1"/>
  <c r="CM15" i="38" a="1"/>
  <c r="CM15" i="38" s="1"/>
  <c r="AV57" i="38" a="1"/>
  <c r="AV57" i="38" s="1"/>
  <c r="AX57" i="38" s="1"/>
  <c r="BM57" i="38"/>
  <c r="CO37" i="38" a="1"/>
  <c r="CO37" i="38" s="1"/>
  <c r="CS37" i="38" s="1" a="1"/>
  <c r="CS37" i="38" s="1"/>
  <c r="CM133" i="38" a="1"/>
  <c r="CM133" i="38" s="1"/>
  <c r="CO133" i="38" a="1"/>
  <c r="CO133" i="38" s="1"/>
  <c r="CS133" i="38" s="1" a="1"/>
  <c r="CS133" i="38" s="1"/>
  <c r="CO25" i="38" a="1"/>
  <c r="CO25" i="38" s="1"/>
  <c r="CS25" i="38" s="1" a="1"/>
  <c r="CS25" i="38" s="1"/>
  <c r="CM25" i="38" a="1"/>
  <c r="CM25" i="38" s="1"/>
  <c r="BA50" i="38"/>
  <c r="BB54" i="38"/>
  <c r="BF54" i="38"/>
  <c r="BA16" i="38"/>
  <c r="BE64" i="38" a="1"/>
  <c r="BE64" i="38" s="1"/>
  <c r="BL64" i="38" a="1"/>
  <c r="BL64" i="38" s="1"/>
  <c r="BJ64" i="38" a="1"/>
  <c r="BJ64" i="38" s="1"/>
  <c r="BC64" i="38" a="1"/>
  <c r="BC64" i="38" s="1"/>
  <c r="BN64" i="38" a="1"/>
  <c r="BN64" i="38" s="1"/>
  <c r="BO64" i="38" s="1"/>
  <c r="BG64" i="38" a="1"/>
  <c r="BG64" i="38" s="1"/>
  <c r="BH64" i="38" s="1"/>
  <c r="BI64" i="38" s="1"/>
  <c r="BM17" i="38"/>
  <c r="AV17" i="38" a="1"/>
  <c r="AV17" i="38" s="1"/>
  <c r="AX17" i="38" s="1"/>
  <c r="BA17" i="38" s="1"/>
  <c r="CH136" i="38"/>
  <c r="CA138" i="38" a="1"/>
  <c r="CA138" i="38" s="1"/>
  <c r="CH138" i="38" s="1"/>
  <c r="CA137" i="38" a="1"/>
  <c r="CA137" i="38" s="1"/>
  <c r="CH137" i="38" s="1"/>
  <c r="AV137" i="38" s="1" a="1"/>
  <c r="AV137" i="38" s="1"/>
  <c r="AX137" i="38" s="1"/>
  <c r="CA145" i="38" a="1"/>
  <c r="CA145" i="38" s="1"/>
  <c r="CM158" i="38" a="1"/>
  <c r="CM158" i="38" s="1"/>
  <c r="BG186" i="38" a="1"/>
  <c r="BG186" i="38" s="1"/>
  <c r="BH186" i="38" s="1"/>
  <c r="BI186" i="38" s="1"/>
  <c r="BL186" i="38" a="1"/>
  <c r="BL186" i="38" s="1"/>
  <c r="BE186" i="38" a="1"/>
  <c r="BE186" i="38" s="1"/>
  <c r="BJ186" i="38" a="1"/>
  <c r="BJ186" i="38" s="1"/>
  <c r="BN186" i="38" a="1"/>
  <c r="BN186" i="38" s="1"/>
  <c r="BO186" i="38" s="1"/>
  <c r="BG188" i="38" a="1"/>
  <c r="BG188" i="38" s="1"/>
  <c r="BH188" i="38" s="1"/>
  <c r="BI188" i="38" s="1"/>
  <c r="BL188" i="38" a="1"/>
  <c r="BL188" i="38" s="1"/>
  <c r="BC188" i="38" a="1"/>
  <c r="BC188" i="38" s="1"/>
  <c r="BE188" i="38" a="1"/>
  <c r="BE188" i="38" s="1"/>
  <c r="BJ188" i="38" a="1"/>
  <c r="BJ188" i="38" s="1"/>
  <c r="BL187" i="38" a="1"/>
  <c r="BL187" i="38" s="1"/>
  <c r="BE187" i="38" a="1"/>
  <c r="BE187" i="38" s="1"/>
  <c r="BG187" i="38" a="1"/>
  <c r="BG187" i="38" s="1"/>
  <c r="BH187" i="38" s="1"/>
  <c r="BC187" i="38" a="1"/>
  <c r="BC187" i="38" s="1"/>
  <c r="BN187" i="38" a="1"/>
  <c r="BN187" i="38" s="1"/>
  <c r="BO187" i="38" s="1"/>
  <c r="BJ187" i="38" a="1"/>
  <c r="BJ187" i="38" s="1"/>
  <c r="D33" i="85"/>
  <c r="D31" i="85"/>
  <c r="D28" i="85"/>
  <c r="D25" i="85"/>
  <c r="D24" i="85"/>
  <c r="D23" i="85"/>
  <c r="D22" i="85"/>
  <c r="D21" i="85"/>
  <c r="CH20" i="38" l="1"/>
  <c r="CH66" i="38"/>
  <c r="CH84" i="38"/>
  <c r="CH125" i="38"/>
  <c r="CH116" i="38"/>
  <c r="CH156" i="38"/>
  <c r="CH154" i="38"/>
  <c r="CH152" i="38"/>
  <c r="CH150" i="38"/>
  <c r="CH145" i="38"/>
  <c r="CH143" i="38"/>
  <c r="CH141" i="38"/>
  <c r="CH139" i="38"/>
  <c r="CH172" i="38"/>
  <c r="CH170" i="38"/>
  <c r="CH168" i="38"/>
  <c r="CH166" i="38"/>
  <c r="CH181" i="38"/>
  <c r="CH183" i="38"/>
  <c r="CH179" i="38"/>
  <c r="CH177" i="38"/>
  <c r="BF60" i="38"/>
  <c r="CH103" i="38"/>
  <c r="CH106" i="38"/>
  <c r="CH108" i="38"/>
  <c r="CH42" i="38"/>
  <c r="CH41" i="38"/>
  <c r="CH45" i="38"/>
  <c r="CH47" i="38"/>
  <c r="CH30" i="38"/>
  <c r="CH29" i="38"/>
  <c r="CH33" i="38"/>
  <c r="CH35" i="38"/>
  <c r="BB62" i="38"/>
  <c r="BG62" i="38" s="1" a="1"/>
  <c r="BG62" i="38" s="1"/>
  <c r="BH62" i="38" s="1"/>
  <c r="BB18" i="38"/>
  <c r="BL18" i="38" s="1" a="1"/>
  <c r="BL18" i="38" s="1"/>
  <c r="CS15" i="38" a="1"/>
  <c r="CS15" i="38" s="1"/>
  <c r="BB58" i="38"/>
  <c r="BL58" i="38" s="1" a="1"/>
  <c r="BL58" i="38" s="1"/>
  <c r="CS158" i="38" a="1"/>
  <c r="CS158" i="38" s="1"/>
  <c r="CQ37" i="38" a="1"/>
  <c r="CQ37" i="38" s="1"/>
  <c r="BB52" i="38"/>
  <c r="BF52" i="38"/>
  <c r="BB17" i="38"/>
  <c r="BF17" i="38"/>
  <c r="CR158" i="38" a="1"/>
  <c r="CR158" i="38" s="1"/>
  <c r="CQ158" i="38" a="1"/>
  <c r="CQ158" i="38" s="1"/>
  <c r="BP64" i="38" a="1"/>
  <c r="BP64" i="38" s="1"/>
  <c r="BR64" i="38" s="1"/>
  <c r="BS64" i="38" s="1"/>
  <c r="BT64" i="38" s="1"/>
  <c r="BB50" i="38"/>
  <c r="BF50" i="38"/>
  <c r="BJ60" i="38" a="1"/>
  <c r="BJ60" i="38" s="1"/>
  <c r="BN60" i="38" a="1"/>
  <c r="BN60" i="38" s="1"/>
  <c r="BO60" i="38" s="1"/>
  <c r="BL60" i="38" a="1"/>
  <c r="BL60" i="38" s="1"/>
  <c r="BE60" i="38" a="1"/>
  <c r="BE60" i="38" s="1"/>
  <c r="BC60" i="38" a="1"/>
  <c r="BC60" i="38" s="1"/>
  <c r="BG60" i="38" a="1"/>
  <c r="BG60" i="38" s="1"/>
  <c r="BH60" i="38" s="1"/>
  <c r="CR163" i="38" a="1"/>
  <c r="CR163" i="38" s="1"/>
  <c r="CQ163" i="38" a="1"/>
  <c r="CQ163" i="38" s="1"/>
  <c r="BG59" i="38" a="1"/>
  <c r="BG59" i="38" s="1"/>
  <c r="BH59" i="38" s="1"/>
  <c r="BE59" i="38" a="1"/>
  <c r="BE59" i="38" s="1"/>
  <c r="BL59" i="38" a="1"/>
  <c r="BL59" i="38" s="1"/>
  <c r="BN59" i="38" a="1"/>
  <c r="BN59" i="38" s="1"/>
  <c r="BO59" i="38" s="1"/>
  <c r="BJ59" i="38" a="1"/>
  <c r="BJ59" i="38" s="1"/>
  <c r="BC59" i="38" a="1"/>
  <c r="BC59" i="38" s="1"/>
  <c r="CR136" i="38" a="1"/>
  <c r="CR136" i="38" s="1"/>
  <c r="CQ136" i="38" a="1"/>
  <c r="CQ136" i="38" s="1"/>
  <c r="CQ49" i="38" a="1"/>
  <c r="CQ49" i="38" s="1"/>
  <c r="CR49" i="38" a="1"/>
  <c r="CR49" i="38" s="1"/>
  <c r="CR118" i="38" a="1"/>
  <c r="CR118" i="38" s="1"/>
  <c r="CQ118" i="38" a="1"/>
  <c r="CQ118" i="38" s="1"/>
  <c r="CR127" i="38" a="1"/>
  <c r="CR127" i="38" s="1"/>
  <c r="CQ127" i="38" a="1"/>
  <c r="CQ127" i="38" s="1"/>
  <c r="CR15" i="38" a="1"/>
  <c r="CR15" i="38" s="1"/>
  <c r="CQ15" i="38" a="1"/>
  <c r="CQ15" i="38" s="1"/>
  <c r="CR130" i="38" a="1"/>
  <c r="CR130" i="38" s="1"/>
  <c r="CQ130" i="38" a="1"/>
  <c r="CQ130" i="38" s="1"/>
  <c r="BF61" i="38"/>
  <c r="BB61" i="38"/>
  <c r="CR98" i="38" a="1"/>
  <c r="CR98" i="38" s="1"/>
  <c r="CQ98" i="38" a="1"/>
  <c r="CQ98" i="38" s="1"/>
  <c r="CR80" i="38" a="1"/>
  <c r="CR80" i="38" s="1"/>
  <c r="CQ80" i="38" a="1"/>
  <c r="CQ80" i="38" s="1"/>
  <c r="BB63" i="38"/>
  <c r="BF63" i="38"/>
  <c r="BA55" i="38"/>
  <c r="BB16" i="38"/>
  <c r="BF16" i="38"/>
  <c r="CR147" i="38" a="1"/>
  <c r="CR147" i="38" s="1"/>
  <c r="CQ147" i="38" a="1"/>
  <c r="CQ147" i="38" s="1"/>
  <c r="CR133" i="38" a="1"/>
  <c r="CR133" i="38" s="1"/>
  <c r="CQ133" i="38" a="1"/>
  <c r="CQ133" i="38" s="1"/>
  <c r="AV13" i="38" a="1"/>
  <c r="AV13" i="38" s="1"/>
  <c r="AX13" i="38" s="1"/>
  <c r="DE13" i="38" s="1"/>
  <c r="DE12" i="38" s="1"/>
  <c r="DD13" i="38"/>
  <c r="DD12" i="38" s="1"/>
  <c r="BM13" i="38"/>
  <c r="DM13" i="38" s="1"/>
  <c r="DM12" i="38" s="1"/>
  <c r="BC54" i="38" a="1"/>
  <c r="BC54" i="38" s="1"/>
  <c r="BN54" i="38" a="1"/>
  <c r="BN54" i="38" s="1"/>
  <c r="BO54" i="38" s="1"/>
  <c r="BJ54" i="38" a="1"/>
  <c r="BJ54" i="38" s="1"/>
  <c r="BE54" i="38" a="1"/>
  <c r="BE54" i="38" s="1"/>
  <c r="BG54" i="38" a="1"/>
  <c r="BG54" i="38" s="1"/>
  <c r="BH54" i="38" s="1"/>
  <c r="BL54" i="38" a="1"/>
  <c r="BL54" i="38" s="1"/>
  <c r="BB56" i="38"/>
  <c r="BF56" i="38"/>
  <c r="CQ87" i="38" a="1"/>
  <c r="CQ87" i="38" s="1"/>
  <c r="CR87" i="38" a="1"/>
  <c r="CR87" i="38" s="1"/>
  <c r="CR112" i="38" a="1"/>
  <c r="CR112" i="38" s="1"/>
  <c r="CQ112" i="38" a="1"/>
  <c r="CQ112" i="38" s="1"/>
  <c r="CR25" i="38" a="1"/>
  <c r="CR25" i="38" s="1"/>
  <c r="CQ25" i="38" a="1"/>
  <c r="CQ25" i="38" s="1"/>
  <c r="BA57" i="38"/>
  <c r="CR174" i="38" a="1"/>
  <c r="CR174" i="38" s="1"/>
  <c r="CQ174" i="38" a="1"/>
  <c r="CQ174" i="38" s="1"/>
  <c r="BB53" i="38"/>
  <c r="BF53" i="38"/>
  <c r="CR121" i="38" a="1"/>
  <c r="CR121" i="38" s="1"/>
  <c r="CQ121" i="38" a="1"/>
  <c r="CQ121" i="38" s="1"/>
  <c r="CQ92" i="38" a="1"/>
  <c r="CQ92" i="38" s="1"/>
  <c r="CR92" i="38" a="1"/>
  <c r="CR92" i="38" s="1"/>
  <c r="BF51" i="38"/>
  <c r="BB51" i="38"/>
  <c r="BP188" i="38" a="1"/>
  <c r="BP188" i="38" s="1"/>
  <c r="BR188" i="38" s="1"/>
  <c r="BI187" i="38"/>
  <c r="BP186" i="38" a="1"/>
  <c r="BP186" i="38" s="1"/>
  <c r="BR186" i="38" s="1"/>
  <c r="BS186" i="38" s="1"/>
  <c r="BI60" i="38" l="1"/>
  <c r="BP60" i="38" s="1" a="1"/>
  <c r="BP60" i="38" s="1"/>
  <c r="BR60" i="38" s="1"/>
  <c r="BS60" i="38" s="1"/>
  <c r="BT60" i="38" s="1"/>
  <c r="BG58" i="38" a="1"/>
  <c r="BG58" i="38" s="1"/>
  <c r="BH58" i="38" s="1"/>
  <c r="BI58" i="38" s="1"/>
  <c r="BP58" i="38" s="1" a="1"/>
  <c r="BP58" i="38" s="1"/>
  <c r="BE58" i="38" a="1"/>
  <c r="BE58" i="38" s="1"/>
  <c r="BC58" i="38" a="1"/>
  <c r="BC58" i="38" s="1"/>
  <c r="BN62" i="38" a="1"/>
  <c r="BN62" i="38" s="1"/>
  <c r="BO62" i="38" s="1"/>
  <c r="BC62" i="38" a="1"/>
  <c r="BC62" i="38" s="1"/>
  <c r="BN18" i="38" a="1"/>
  <c r="BN18" i="38" s="1"/>
  <c r="BO18" i="38" s="1"/>
  <c r="BE18" i="38" a="1"/>
  <c r="BE18" i="38" s="1"/>
  <c r="BJ18" i="38" a="1"/>
  <c r="BJ18" i="38" s="1"/>
  <c r="BG18" i="38" a="1"/>
  <c r="BG18" i="38" s="1"/>
  <c r="BH18" i="38" s="1"/>
  <c r="BI18" i="38" s="1"/>
  <c r="BP18" i="38" s="1" a="1"/>
  <c r="BP18" i="38" s="1"/>
  <c r="BC18" i="38" a="1"/>
  <c r="BC18" i="38" s="1"/>
  <c r="BL62" i="38" a="1"/>
  <c r="BL62" i="38" s="1"/>
  <c r="BJ58" i="38" a="1"/>
  <c r="BJ58" i="38" s="1"/>
  <c r="BJ62" i="38" a="1"/>
  <c r="BJ62" i="38" s="1"/>
  <c r="BE62" i="38" a="1"/>
  <c r="BE62" i="38" s="1"/>
  <c r="BN58" i="38" a="1"/>
  <c r="BN58" i="38" s="1"/>
  <c r="BO58" i="38" s="1"/>
  <c r="BA13" i="38"/>
  <c r="BF13" i="38" s="1"/>
  <c r="DJ13" i="38" s="1"/>
  <c r="DJ12" i="38" s="1"/>
  <c r="BC53" i="38" a="1"/>
  <c r="BC53" i="38" s="1"/>
  <c r="BN53" i="38" a="1"/>
  <c r="BN53" i="38" s="1"/>
  <c r="BO53" i="38" s="1"/>
  <c r="BE53" i="38" a="1"/>
  <c r="BE53" i="38" s="1"/>
  <c r="BL53" i="38" a="1"/>
  <c r="BL53" i="38" s="1"/>
  <c r="BG53" i="38" a="1"/>
  <c r="BG53" i="38" s="1"/>
  <c r="BH53" i="38" s="1"/>
  <c r="BI53" i="38" s="1"/>
  <c r="BJ53" i="38" a="1"/>
  <c r="BJ53" i="38" s="1"/>
  <c r="CC64" i="38" a="1"/>
  <c r="CC64" i="38" s="1"/>
  <c r="CB64" i="38" a="1"/>
  <c r="CB64" i="38" s="1"/>
  <c r="BU64" i="38"/>
  <c r="BN61" i="38" a="1"/>
  <c r="BN61" i="38" s="1"/>
  <c r="BO61" i="38" s="1"/>
  <c r="BC61" i="38" a="1"/>
  <c r="BC61" i="38" s="1"/>
  <c r="BJ61" i="38" a="1"/>
  <c r="BJ61" i="38" s="1"/>
  <c r="BL61" i="38" a="1"/>
  <c r="BL61" i="38" s="1"/>
  <c r="BE61" i="38" a="1"/>
  <c r="BE61" i="38" s="1"/>
  <c r="BG61" i="38" a="1"/>
  <c r="BG61" i="38" s="1"/>
  <c r="BH61" i="38" s="1"/>
  <c r="BN51" i="38" a="1"/>
  <c r="BN51" i="38" s="1"/>
  <c r="BO51" i="38" s="1"/>
  <c r="BJ51" i="38" a="1"/>
  <c r="BJ51" i="38" s="1"/>
  <c r="BE51" i="38" a="1"/>
  <c r="BE51" i="38" s="1"/>
  <c r="BL51" i="38" a="1"/>
  <c r="BL51" i="38" s="1"/>
  <c r="BC51" i="38" a="1"/>
  <c r="BC51" i="38" s="1"/>
  <c r="BG51" i="38" a="1"/>
  <c r="BG51" i="38" s="1"/>
  <c r="BH51" i="38" s="1"/>
  <c r="BI51" i="38" s="1"/>
  <c r="BN63" i="38" a="1"/>
  <c r="BN63" i="38" s="1"/>
  <c r="BO63" i="38" s="1"/>
  <c r="BE63" i="38" a="1"/>
  <c r="BE63" i="38" s="1"/>
  <c r="BG63" i="38" a="1"/>
  <c r="BG63" i="38" s="1"/>
  <c r="BH63" i="38" s="1"/>
  <c r="BL63" i="38" a="1"/>
  <c r="BL63" i="38" s="1"/>
  <c r="BC63" i="38" a="1"/>
  <c r="BC63" i="38" s="1"/>
  <c r="BJ63" i="38" a="1"/>
  <c r="BJ63" i="38" s="1"/>
  <c r="BJ56" i="38" a="1"/>
  <c r="BJ56" i="38" s="1"/>
  <c r="BG56" i="38" a="1"/>
  <c r="BG56" i="38" s="1"/>
  <c r="BH56" i="38" s="1"/>
  <c r="BI56" i="38" s="1"/>
  <c r="BN56" i="38" a="1"/>
  <c r="BN56" i="38" s="1"/>
  <c r="BO56" i="38" s="1"/>
  <c r="BL56" i="38" a="1"/>
  <c r="BL56" i="38" s="1"/>
  <c r="BE56" i="38" a="1"/>
  <c r="BE56" i="38" s="1"/>
  <c r="BC56" i="38" a="1"/>
  <c r="BC56" i="38" s="1"/>
  <c r="BG50" i="38" a="1"/>
  <c r="BG50" i="38" s="1"/>
  <c r="BH50" i="38" s="1"/>
  <c r="BI50" i="38" s="1"/>
  <c r="BN50" i="38" a="1"/>
  <c r="BN50" i="38" s="1"/>
  <c r="BO50" i="38" s="1"/>
  <c r="BJ50" i="38" a="1"/>
  <c r="BJ50" i="38" s="1"/>
  <c r="BL50" i="38" a="1"/>
  <c r="BL50" i="38" s="1"/>
  <c r="BE50" i="38" a="1"/>
  <c r="BE50" i="38" s="1"/>
  <c r="BC50" i="38" a="1"/>
  <c r="BC50" i="38" s="1"/>
  <c r="BL16" i="38" a="1"/>
  <c r="BL16" i="38" s="1"/>
  <c r="BE16" i="38" a="1"/>
  <c r="BE16" i="38" s="1"/>
  <c r="BG16" i="38" a="1"/>
  <c r="BG16" i="38" s="1"/>
  <c r="BH16" i="38" s="1"/>
  <c r="BI16" i="38" s="1"/>
  <c r="BC16" i="38" a="1"/>
  <c r="BC16" i="38" s="1"/>
  <c r="BJ16" i="38" a="1"/>
  <c r="BJ16" i="38" s="1"/>
  <c r="BN16" i="38" a="1"/>
  <c r="BN16" i="38" s="1"/>
  <c r="BO16" i="38" s="1"/>
  <c r="BF55" i="38"/>
  <c r="BB55" i="38"/>
  <c r="BI59" i="38"/>
  <c r="BI62" i="38"/>
  <c r="BP62" i="38" s="1" a="1"/>
  <c r="BP62" i="38" s="1"/>
  <c r="BF57" i="38"/>
  <c r="BB57" i="38"/>
  <c r="BC17" i="38" a="1"/>
  <c r="BC17" i="38" s="1"/>
  <c r="BJ17" i="38" a="1"/>
  <c r="BJ17" i="38" s="1"/>
  <c r="BE17" i="38" a="1"/>
  <c r="BE17" i="38" s="1"/>
  <c r="BN17" i="38" a="1"/>
  <c r="BN17" i="38" s="1"/>
  <c r="BO17" i="38" s="1"/>
  <c r="BL17" i="38" a="1"/>
  <c r="BL17" i="38" s="1"/>
  <c r="BG17" i="38" a="1"/>
  <c r="BG17" i="38" s="1"/>
  <c r="BH17" i="38" s="1"/>
  <c r="BI17" i="38" s="1"/>
  <c r="BI54" i="38"/>
  <c r="BE52" i="38" a="1"/>
  <c r="BE52" i="38" s="1"/>
  <c r="BC52" i="38" a="1"/>
  <c r="BC52" i="38" s="1"/>
  <c r="BN52" i="38" a="1"/>
  <c r="BN52" i="38" s="1"/>
  <c r="BO52" i="38" s="1"/>
  <c r="BG52" i="38" a="1"/>
  <c r="BG52" i="38" s="1"/>
  <c r="BH52" i="38" s="1"/>
  <c r="BI52" i="38" s="1"/>
  <c r="BJ52" i="38" a="1"/>
  <c r="BJ52" i="38" s="1"/>
  <c r="BL52" i="38" a="1"/>
  <c r="BL52" i="38" s="1"/>
  <c r="BS188" i="38"/>
  <c r="BT188" i="38" s="1"/>
  <c r="BT186" i="38"/>
  <c r="BP187" i="38" a="1"/>
  <c r="BP187" i="38" s="1"/>
  <c r="BR187" i="38" s="1"/>
  <c r="BR18" i="38" l="1"/>
  <c r="BS18" i="38" s="1"/>
  <c r="BT18" i="38" s="1"/>
  <c r="CC18" i="38" s="1" a="1"/>
  <c r="CC18" i="38" s="1"/>
  <c r="BR62" i="38"/>
  <c r="BS62" i="38" s="1"/>
  <c r="BT62" i="38" s="1"/>
  <c r="BB13" i="38"/>
  <c r="BL13" i="38" s="1" a="1"/>
  <c r="BL13" i="38" s="1"/>
  <c r="BR58" i="38"/>
  <c r="BS58" i="38" s="1"/>
  <c r="BT58" i="38" s="1"/>
  <c r="CC58" i="38" s="1" a="1"/>
  <c r="CC58" i="38" s="1"/>
  <c r="DG13" i="38"/>
  <c r="DG12" i="38" s="1"/>
  <c r="BP16" i="38" a="1"/>
  <c r="BP16" i="38" s="1"/>
  <c r="BR16" i="38" s="1"/>
  <c r="BS16" i="38" s="1"/>
  <c r="BP52" i="38" a="1"/>
  <c r="BP52" i="38" s="1"/>
  <c r="BR52" i="38" s="1"/>
  <c r="BS52" i="38" s="1"/>
  <c r="BT52" i="38" s="1"/>
  <c r="BP50" i="38" a="1"/>
  <c r="BP50" i="38" s="1"/>
  <c r="BR50" i="38" s="1"/>
  <c r="BS50" i="38" s="1"/>
  <c r="BP54" i="38" a="1"/>
  <c r="BP54" i="38" s="1"/>
  <c r="BR54" i="38" s="1"/>
  <c r="BP56" i="38" a="1"/>
  <c r="BP56" i="38" s="1"/>
  <c r="BR56" i="38" s="1"/>
  <c r="BS56" i="38" s="1"/>
  <c r="BT56" i="38" s="1"/>
  <c r="BP17" i="38" a="1"/>
  <c r="BP17" i="38" s="1"/>
  <c r="BR17" i="38" s="1"/>
  <c r="BS17" i="38" s="1"/>
  <c r="BT17" i="38" s="1"/>
  <c r="BJ57" i="38" a="1"/>
  <c r="BJ57" i="38" s="1"/>
  <c r="BG57" i="38" a="1"/>
  <c r="BG57" i="38" s="1"/>
  <c r="BH57" i="38" s="1"/>
  <c r="BI57" i="38" s="1"/>
  <c r="BC57" i="38" a="1"/>
  <c r="BC57" i="38" s="1"/>
  <c r="BN57" i="38" a="1"/>
  <c r="BN57" i="38" s="1"/>
  <c r="BO57" i="38" s="1"/>
  <c r="BL57" i="38" a="1"/>
  <c r="BL57" i="38" s="1"/>
  <c r="BE57" i="38" a="1"/>
  <c r="BE57" i="38" s="1"/>
  <c r="BU60" i="38"/>
  <c r="CC60" i="38" a="1"/>
  <c r="CC60" i="38" s="1"/>
  <c r="CB60" i="38" a="1"/>
  <c r="CB60" i="38" s="1"/>
  <c r="BP51" i="38" a="1"/>
  <c r="BP51" i="38" s="1"/>
  <c r="BR51" i="38" s="1"/>
  <c r="BS51" i="38" s="1"/>
  <c r="BT51" i="38" s="1"/>
  <c r="DT64" i="38" a="1"/>
  <c r="DT64" i="38" s="1"/>
  <c r="DS64" i="38" a="1"/>
  <c r="DS64" i="38" s="1"/>
  <c r="DU64" i="38"/>
  <c r="DQ64" i="38"/>
  <c r="CN64" i="38" a="1"/>
  <c r="CN64" i="38" s="1"/>
  <c r="BE55" i="38" a="1"/>
  <c r="BE55" i="38" s="1"/>
  <c r="BJ55" i="38" a="1"/>
  <c r="BJ55" i="38" s="1"/>
  <c r="BL55" i="38" a="1"/>
  <c r="BL55" i="38" s="1"/>
  <c r="BN55" i="38" a="1"/>
  <c r="BN55" i="38" s="1"/>
  <c r="BO55" i="38" s="1"/>
  <c r="BC55" i="38" a="1"/>
  <c r="BC55" i="38" s="1"/>
  <c r="BG55" i="38" a="1"/>
  <c r="BG55" i="38" s="1"/>
  <c r="BH55" i="38" s="1"/>
  <c r="BI55" i="38" s="1"/>
  <c r="BP53" i="38" a="1"/>
  <c r="BP53" i="38" s="1"/>
  <c r="BR53" i="38" s="1"/>
  <c r="BS53" i="38" s="1"/>
  <c r="BT53" i="38" s="1"/>
  <c r="BI61" i="38"/>
  <c r="BP59" i="38" a="1"/>
  <c r="BP59" i="38" s="1"/>
  <c r="BR59" i="38" s="1"/>
  <c r="BS59" i="38" s="1"/>
  <c r="BT59" i="38" s="1"/>
  <c r="BI63" i="38"/>
  <c r="CP64" i="38" a="1"/>
  <c r="CP64" i="38" s="1"/>
  <c r="DW64" i="38"/>
  <c r="EA64" i="38"/>
  <c r="DZ64" i="38" a="1"/>
  <c r="DZ64" i="38" s="1"/>
  <c r="DY64" i="38" a="1"/>
  <c r="DY64" i="38" s="1"/>
  <c r="BS187" i="38"/>
  <c r="BU186" i="38"/>
  <c r="CB186" i="38" a="1"/>
  <c r="CB186" i="38" s="1"/>
  <c r="CC186" i="38" a="1"/>
  <c r="CC186" i="38" s="1"/>
  <c r="BU188" i="38"/>
  <c r="CB188" i="38" a="1"/>
  <c r="CB188" i="38" s="1"/>
  <c r="CC188" i="38" a="1"/>
  <c r="CC188" i="38" s="1"/>
  <c r="BU58" i="38" l="1"/>
  <c r="CB18" i="38" a="1"/>
  <c r="CB18" i="38" s="1"/>
  <c r="DS18" i="38" s="1" a="1"/>
  <c r="DS18" i="38" s="1"/>
  <c r="BU18" i="38"/>
  <c r="BG13" i="38" a="1"/>
  <c r="BG13" i="38" s="1"/>
  <c r="BH13" i="38" s="1"/>
  <c r="DK13" i="38" s="1"/>
  <c r="DK12" i="38" s="1"/>
  <c r="BJ13" i="38" a="1"/>
  <c r="BJ13" i="38" s="1"/>
  <c r="BN13" i="38" a="1"/>
  <c r="BN13" i="38" s="1"/>
  <c r="BO13" i="38" s="1"/>
  <c r="DN13" i="38" s="1"/>
  <c r="DN12" i="38" s="1"/>
  <c r="BE13" i="38" a="1"/>
  <c r="BE13" i="38" s="1"/>
  <c r="BC13" i="38" a="1"/>
  <c r="BC13" i="38" s="1"/>
  <c r="DH13" i="38"/>
  <c r="DH12" i="38" s="1"/>
  <c r="CB58" i="38" a="1"/>
  <c r="CB58" i="38" s="1"/>
  <c r="DT58" i="38" s="1" a="1"/>
  <c r="DT58" i="38" s="1"/>
  <c r="BT16" i="38"/>
  <c r="BS54" i="38"/>
  <c r="BT54" i="38" s="1"/>
  <c r="CP58" i="38" a="1"/>
  <c r="CP58" i="38" s="1"/>
  <c r="DZ58" i="38" a="1"/>
  <c r="DZ58" i="38" s="1"/>
  <c r="DW58" i="38"/>
  <c r="EA58" i="38"/>
  <c r="DY58" i="38" a="1"/>
  <c r="DY58" i="38" s="1"/>
  <c r="DZ60" i="38" a="1"/>
  <c r="DZ60" i="38" s="1"/>
  <c r="CP60" i="38" a="1"/>
  <c r="CP60" i="38" s="1"/>
  <c r="EA60" i="38"/>
  <c r="DY60" i="38" a="1"/>
  <c r="DY60" i="38" s="1"/>
  <c r="DW60" i="38"/>
  <c r="BU51" i="38"/>
  <c r="CB51" i="38" a="1"/>
  <c r="CB51" i="38" s="1"/>
  <c r="CC51" i="38" a="1"/>
  <c r="CC51" i="38" s="1"/>
  <c r="CB56" i="38" a="1"/>
  <c r="CB56" i="38" s="1"/>
  <c r="CC56" i="38" a="1"/>
  <c r="CC56" i="38" s="1"/>
  <c r="BU56" i="38"/>
  <c r="BU52" i="38"/>
  <c r="CB52" i="38" a="1"/>
  <c r="CB52" i="38" s="1"/>
  <c r="CC52" i="38" a="1"/>
  <c r="CC52" i="38" s="1"/>
  <c r="BP57" i="38" a="1"/>
  <c r="BP57" i="38" s="1"/>
  <c r="BR57" i="38" s="1"/>
  <c r="BS57" i="38" s="1"/>
  <c r="BT57" i="38" s="1"/>
  <c r="BU53" i="38"/>
  <c r="CB53" i="38" a="1"/>
  <c r="CB53" i="38" s="1"/>
  <c r="CC53" i="38" a="1"/>
  <c r="CC53" i="38" s="1"/>
  <c r="BP63" i="38" a="1"/>
  <c r="BP63" i="38" s="1"/>
  <c r="BR63" i="38" s="1"/>
  <c r="BS63" i="38" s="1"/>
  <c r="BT63" i="38" s="1"/>
  <c r="DT60" i="38" a="1"/>
  <c r="DT60" i="38" s="1"/>
  <c r="DQ60" i="38"/>
  <c r="CN60" i="38" a="1"/>
  <c r="CN60" i="38" s="1"/>
  <c r="DU60" i="38"/>
  <c r="DS60" i="38" a="1"/>
  <c r="DS60" i="38" s="1"/>
  <c r="BP55" i="38" a="1"/>
  <c r="BP55" i="38" s="1"/>
  <c r="BR55" i="38" s="1"/>
  <c r="BS55" i="38" s="1"/>
  <c r="BT55" i="38" s="1"/>
  <c r="BT50" i="38"/>
  <c r="CC62" i="38" a="1"/>
  <c r="CC62" i="38" s="1"/>
  <c r="CB62" i="38" a="1"/>
  <c r="CB62" i="38" s="1"/>
  <c r="BU62" i="38"/>
  <c r="BP61" i="38" a="1"/>
  <c r="BP61" i="38" s="1"/>
  <c r="BR61" i="38" s="1"/>
  <c r="BS61" i="38" s="1"/>
  <c r="BT61" i="38" s="1"/>
  <c r="CC17" i="38" a="1"/>
  <c r="CC17" i="38" s="1"/>
  <c r="CB17" i="38" a="1"/>
  <c r="CB17" i="38" s="1"/>
  <c r="BU17" i="38"/>
  <c r="BU59" i="38"/>
  <c r="CB59" i="38" a="1"/>
  <c r="CB59" i="38" s="1"/>
  <c r="CC59" i="38" a="1"/>
  <c r="CC59" i="38" s="1"/>
  <c r="DW18" i="38"/>
  <c r="EA18" i="38"/>
  <c r="CP18" i="38" a="1"/>
  <c r="CP18" i="38" s="1"/>
  <c r="DY18" i="38" a="1"/>
  <c r="DY18" i="38" s="1"/>
  <c r="DZ18" i="38" a="1"/>
  <c r="DZ18" i="38" s="1"/>
  <c r="DW186" i="38"/>
  <c r="CP186" i="38" a="1"/>
  <c r="CP186" i="38" s="1"/>
  <c r="DY186" i="38" a="1"/>
  <c r="DY186" i="38" s="1"/>
  <c r="DZ186" i="38" a="1"/>
  <c r="DZ186" i="38" s="1"/>
  <c r="EA186" i="38"/>
  <c r="DQ186" i="38"/>
  <c r="DS186" i="38" a="1"/>
  <c r="DS186" i="38" s="1"/>
  <c r="DT186" i="38" a="1"/>
  <c r="DT186" i="38" s="1"/>
  <c r="CN186" i="38" a="1"/>
  <c r="CN186" i="38" s="1"/>
  <c r="DU186" i="38"/>
  <c r="BT187" i="38"/>
  <c r="BS185" i="38"/>
  <c r="DW188" i="38"/>
  <c r="CP188" i="38" a="1"/>
  <c r="CP188" i="38" s="1"/>
  <c r="DY188" i="38" a="1"/>
  <c r="DY188" i="38" s="1"/>
  <c r="DZ188" i="38" a="1"/>
  <c r="DZ188" i="38" s="1"/>
  <c r="EA188" i="38"/>
  <c r="DQ188" i="38"/>
  <c r="DS188" i="38" a="1"/>
  <c r="DS188" i="38" s="1"/>
  <c r="CN188" i="38" a="1"/>
  <c r="CN188" i="38" s="1"/>
  <c r="DT188" i="38" a="1"/>
  <c r="DT188" i="38" s="1"/>
  <c r="DU188" i="38"/>
  <c r="DT18" i="38" l="1" a="1"/>
  <c r="DT18" i="38" s="1"/>
  <c r="DU18" i="38"/>
  <c r="DQ18" i="38"/>
  <c r="CN18" i="38" a="1"/>
  <c r="CN18" i="38" s="1"/>
  <c r="DU58" i="38"/>
  <c r="BI13" i="38"/>
  <c r="BP13" i="38" s="1" a="1"/>
  <c r="BP13" i="38" s="1"/>
  <c r="DS58" i="38" a="1"/>
  <c r="DS58" i="38" s="1"/>
  <c r="DQ58" i="38"/>
  <c r="CN58" i="38" a="1"/>
  <c r="CN58" i="38" s="1"/>
  <c r="DQ62" i="38"/>
  <c r="DT62" i="38" a="1"/>
  <c r="DT62" i="38" s="1"/>
  <c r="DS62" i="38" a="1"/>
  <c r="DS62" i="38" s="1"/>
  <c r="CN62" i="38" a="1"/>
  <c r="CN62" i="38" s="1"/>
  <c r="DU62" i="38"/>
  <c r="DS17" i="38" a="1"/>
  <c r="DS17" i="38" s="1"/>
  <c r="CN17" i="38" a="1"/>
  <c r="CN17" i="38" s="1"/>
  <c r="DU17" i="38"/>
  <c r="DQ17" i="38"/>
  <c r="DT17" i="38" a="1"/>
  <c r="DT17" i="38" s="1"/>
  <c r="CP62" i="38" a="1"/>
  <c r="CP62" i="38" s="1"/>
  <c r="DZ62" i="38" a="1"/>
  <c r="DZ62" i="38" s="1"/>
  <c r="EA62" i="38"/>
  <c r="DW62" i="38"/>
  <c r="DY62" i="38" a="1"/>
  <c r="DY62" i="38" s="1"/>
  <c r="DY17" i="38" a="1"/>
  <c r="DY17" i="38" s="1"/>
  <c r="CP17" i="38" a="1"/>
  <c r="CP17" i="38" s="1"/>
  <c r="EA17" i="38"/>
  <c r="DW17" i="38"/>
  <c r="DZ17" i="38" a="1"/>
  <c r="DZ17" i="38" s="1"/>
  <c r="CC61" i="38" a="1"/>
  <c r="CC61" i="38" s="1"/>
  <c r="CB61" i="38" a="1"/>
  <c r="CB61" i="38" s="1"/>
  <c r="BU61" i="38"/>
  <c r="EA52" i="38"/>
  <c r="DW52" i="38"/>
  <c r="DY52" i="38" a="1"/>
  <c r="DY52" i="38" s="1"/>
  <c r="DZ52" i="38" a="1"/>
  <c r="DZ52" i="38" s="1"/>
  <c r="CP52" i="38" a="1"/>
  <c r="CP52" i="38" s="1"/>
  <c r="BU50" i="38"/>
  <c r="CC50" i="38" a="1"/>
  <c r="CC50" i="38" s="1"/>
  <c r="CB50" i="38" a="1"/>
  <c r="CB50" i="38" s="1"/>
  <c r="BU63" i="38"/>
  <c r="CB63" i="38" a="1"/>
  <c r="CB63" i="38" s="1"/>
  <c r="CC63" i="38" a="1"/>
  <c r="CC63" i="38" s="1"/>
  <c r="DS52" i="38" a="1"/>
  <c r="DS52" i="38" s="1"/>
  <c r="DQ52" i="38"/>
  <c r="CN52" i="38" a="1"/>
  <c r="CN52" i="38" s="1"/>
  <c r="DU52" i="38"/>
  <c r="DT52" i="38" a="1"/>
  <c r="DT52" i="38" s="1"/>
  <c r="EA53" i="38"/>
  <c r="DZ53" i="38" a="1"/>
  <c r="DZ53" i="38" s="1"/>
  <c r="DW53" i="38"/>
  <c r="DY53" i="38" a="1"/>
  <c r="DY53" i="38" s="1"/>
  <c r="CP53" i="38" a="1"/>
  <c r="CP53" i="38" s="1"/>
  <c r="DQ53" i="38"/>
  <c r="DT53" i="38" a="1"/>
  <c r="DT53" i="38" s="1"/>
  <c r="DU53" i="38"/>
  <c r="CN53" i="38" a="1"/>
  <c r="CN53" i="38" s="1"/>
  <c r="DS53" i="38" a="1"/>
  <c r="DS53" i="38" s="1"/>
  <c r="DW59" i="38"/>
  <c r="CP59" i="38" a="1"/>
  <c r="CP59" i="38" s="1"/>
  <c r="DY59" i="38" a="1"/>
  <c r="DY59" i="38" s="1"/>
  <c r="DZ59" i="38" a="1"/>
  <c r="DZ59" i="38" s="1"/>
  <c r="EA59" i="38"/>
  <c r="CN56" i="38" a="1"/>
  <c r="CN56" i="38" s="1"/>
  <c r="DU56" i="38"/>
  <c r="DS56" i="38" a="1"/>
  <c r="DS56" i="38" s="1"/>
  <c r="DQ56" i="38"/>
  <c r="DT56" i="38" a="1"/>
  <c r="DT56" i="38" s="1"/>
  <c r="CN51" i="38" a="1"/>
  <c r="CN51" i="38" s="1"/>
  <c r="DS51" i="38" a="1"/>
  <c r="DS51" i="38" s="1"/>
  <c r="DU51" i="38"/>
  <c r="DQ51" i="38"/>
  <c r="DT51" i="38" a="1"/>
  <c r="DT51" i="38" s="1"/>
  <c r="CC57" i="38" a="1"/>
  <c r="CC57" i="38" s="1"/>
  <c r="CB57" i="38" a="1"/>
  <c r="CB57" i="38" s="1"/>
  <c r="BU57" i="38"/>
  <c r="CB54" i="38" a="1"/>
  <c r="CB54" i="38" s="1"/>
  <c r="BU54" i="38"/>
  <c r="CC54" i="38" a="1"/>
  <c r="CC54" i="38" s="1"/>
  <c r="CC55" i="38" a="1"/>
  <c r="CC55" i="38" s="1"/>
  <c r="BU55" i="38"/>
  <c r="CB55" i="38" a="1"/>
  <c r="CB55" i="38" s="1"/>
  <c r="EA56" i="38"/>
  <c r="CP56" i="38" a="1"/>
  <c r="CP56" i="38" s="1"/>
  <c r="DW56" i="38"/>
  <c r="DY56" i="38" a="1"/>
  <c r="DY56" i="38" s="1"/>
  <c r="DZ56" i="38" a="1"/>
  <c r="DZ56" i="38" s="1"/>
  <c r="DT59" i="38" a="1"/>
  <c r="DT59" i="38" s="1"/>
  <c r="CN59" i="38" a="1"/>
  <c r="CN59" i="38" s="1"/>
  <c r="DU59" i="38"/>
  <c r="DQ59" i="38"/>
  <c r="DS59" i="38" a="1"/>
  <c r="DS59" i="38" s="1"/>
  <c r="CP51" i="38" a="1"/>
  <c r="CP51" i="38" s="1"/>
  <c r="DY51" i="38" a="1"/>
  <c r="DY51" i="38" s="1"/>
  <c r="DZ51" i="38" a="1"/>
  <c r="DZ51" i="38" s="1"/>
  <c r="DW51" i="38"/>
  <c r="EA51" i="38"/>
  <c r="CC16" i="38" a="1"/>
  <c r="CC16" i="38" s="1"/>
  <c r="BU16" i="38"/>
  <c r="CB16" i="38" a="1"/>
  <c r="CB16" i="38" s="1"/>
  <c r="CC187" i="38" a="1"/>
  <c r="CC187" i="38" s="1"/>
  <c r="BU187" i="38"/>
  <c r="BV185" i="38" s="1"/>
  <c r="CB187" i="38" a="1"/>
  <c r="CB187" i="38" s="1"/>
  <c r="BT185" i="38"/>
  <c r="BR13" i="38" l="1"/>
  <c r="BS13" i="38" s="1"/>
  <c r="BS12" i="38" s="1"/>
  <c r="DS55" i="38" a="1"/>
  <c r="DS55" i="38" s="1"/>
  <c r="CN55" i="38" a="1"/>
  <c r="CN55" i="38" s="1"/>
  <c r="DT55" i="38" a="1"/>
  <c r="DT55" i="38" s="1"/>
  <c r="DU55" i="38"/>
  <c r="DQ55" i="38"/>
  <c r="DU61" i="38"/>
  <c r="DT61" i="38" a="1"/>
  <c r="DT61" i="38" s="1"/>
  <c r="DS61" i="38" a="1"/>
  <c r="DS61" i="38" s="1"/>
  <c r="CN61" i="38" a="1"/>
  <c r="CN61" i="38" s="1"/>
  <c r="DQ61" i="38"/>
  <c r="DW50" i="38"/>
  <c r="DZ50" i="38" a="1"/>
  <c r="DZ50" i="38" s="1"/>
  <c r="DY50" i="38" a="1"/>
  <c r="DY50" i="38" s="1"/>
  <c r="CP50" i="38" a="1"/>
  <c r="CP50" i="38" s="1"/>
  <c r="EA50" i="38"/>
  <c r="DZ61" i="38" a="1"/>
  <c r="DZ61" i="38" s="1"/>
  <c r="DY61" i="38" a="1"/>
  <c r="DY61" i="38" s="1"/>
  <c r="CP61" i="38" a="1"/>
  <c r="CP61" i="38" s="1"/>
  <c r="DW61" i="38"/>
  <c r="EA61" i="38"/>
  <c r="EA54" i="38"/>
  <c r="CP54" i="38" a="1"/>
  <c r="CP54" i="38" s="1"/>
  <c r="DW54" i="38"/>
  <c r="DY54" i="38" a="1"/>
  <c r="DY54" i="38" s="1"/>
  <c r="DZ54" i="38" a="1"/>
  <c r="DZ54" i="38" s="1"/>
  <c r="DY16" i="38" a="1"/>
  <c r="DY16" i="38" s="1"/>
  <c r="DZ16" i="38" a="1"/>
  <c r="DZ16" i="38" s="1"/>
  <c r="EA16" i="38"/>
  <c r="CP16" i="38" a="1"/>
  <c r="CP16" i="38" s="1"/>
  <c r="DW16" i="38"/>
  <c r="DQ54" i="38"/>
  <c r="DT54" i="38" a="1"/>
  <c r="DT54" i="38" s="1"/>
  <c r="DS54" i="38" a="1"/>
  <c r="DS54" i="38" s="1"/>
  <c r="DU54" i="38"/>
  <c r="CN54" i="38" a="1"/>
  <c r="CN54" i="38" s="1"/>
  <c r="DT57" i="38" a="1"/>
  <c r="DT57" i="38" s="1"/>
  <c r="DS57" i="38" a="1"/>
  <c r="DS57" i="38" s="1"/>
  <c r="DU57" i="38"/>
  <c r="CN57" i="38" a="1"/>
  <c r="CN57" i="38" s="1"/>
  <c r="DQ57" i="38"/>
  <c r="DQ50" i="38"/>
  <c r="DT50" i="38" a="1"/>
  <c r="DT50" i="38" s="1"/>
  <c r="DS50" i="38" a="1"/>
  <c r="DS50" i="38" s="1"/>
  <c r="DU50" i="38"/>
  <c r="CN50" i="38" a="1"/>
  <c r="CN50" i="38" s="1"/>
  <c r="DT16" i="38" a="1"/>
  <c r="DT16" i="38" s="1"/>
  <c r="DS16" i="38" a="1"/>
  <c r="DS16" i="38" s="1"/>
  <c r="DU16" i="38"/>
  <c r="DQ16" i="38"/>
  <c r="CN16" i="38" a="1"/>
  <c r="CN16" i="38" s="1"/>
  <c r="DT63" i="38" a="1"/>
  <c r="DT63" i="38" s="1"/>
  <c r="CN63" i="38" a="1"/>
  <c r="CN63" i="38" s="1"/>
  <c r="DS63" i="38" a="1"/>
  <c r="DS63" i="38" s="1"/>
  <c r="DQ63" i="38"/>
  <c r="DU63" i="38"/>
  <c r="DZ55" i="38" a="1"/>
  <c r="DZ55" i="38" s="1"/>
  <c r="CP55" i="38" a="1"/>
  <c r="CP55" i="38" s="1"/>
  <c r="DY55" i="38" a="1"/>
  <c r="DY55" i="38" s="1"/>
  <c r="DW55" i="38"/>
  <c r="EA55" i="38"/>
  <c r="DW57" i="38"/>
  <c r="DY57" i="38" a="1"/>
  <c r="DY57" i="38" s="1"/>
  <c r="DZ57" i="38" a="1"/>
  <c r="DZ57" i="38" s="1"/>
  <c r="CP57" i="38" a="1"/>
  <c r="CP57" i="38" s="1"/>
  <c r="EA57" i="38"/>
  <c r="EA63" i="38"/>
  <c r="CP63" i="38" a="1"/>
  <c r="CP63" i="38" s="1"/>
  <c r="DZ63" i="38" a="1"/>
  <c r="DZ63" i="38" s="1"/>
  <c r="DW63" i="38"/>
  <c r="DY63" i="38" a="1"/>
  <c r="DY63" i="38" s="1"/>
  <c r="DZ187" i="38" a="1"/>
  <c r="DZ187" i="38" s="1"/>
  <c r="DZ185" i="38" s="1"/>
  <c r="EA187" i="38"/>
  <c r="EA185" i="38" s="1"/>
  <c r="DW187" i="38"/>
  <c r="DW185" i="38" s="1"/>
  <c r="CP187" i="38" a="1"/>
  <c r="CP187" i="38" s="1"/>
  <c r="DY187" i="38" a="1"/>
  <c r="DY187" i="38" s="1"/>
  <c r="DY185" i="38" s="1"/>
  <c r="DT187" i="38" a="1"/>
  <c r="DT187" i="38" s="1"/>
  <c r="DT185" i="38" s="1"/>
  <c r="DU187" i="38"/>
  <c r="DU185" i="38" s="1"/>
  <c r="CN187" i="38" a="1"/>
  <c r="CN187" i="38" s="1"/>
  <c r="DQ187" i="38"/>
  <c r="DS187" i="38" a="1"/>
  <c r="DS187" i="38" s="1"/>
  <c r="DS185" i="38" s="1"/>
  <c r="BT13" i="38" l="1"/>
  <c r="BU13" i="38" s="1"/>
  <c r="BV12" i="38" s="1"/>
  <c r="BW12" i="38" s="1"/>
  <c r="DO13" i="38"/>
  <c r="DO12" i="38" s="1"/>
  <c r="DP13" i="38"/>
  <c r="DP12" i="38" s="1"/>
  <c r="DQ185" i="38"/>
  <c r="C90" i="89"/>
  <c r="C91" i="89"/>
  <c r="C92" i="89"/>
  <c r="C93" i="89"/>
  <c r="C94" i="89"/>
  <c r="C95" i="89"/>
  <c r="C96" i="89"/>
  <c r="C97" i="89"/>
  <c r="C98" i="89"/>
  <c r="C99" i="89"/>
  <c r="C100" i="89"/>
  <c r="C101" i="89"/>
  <c r="C102" i="89"/>
  <c r="C103" i="89"/>
  <c r="C104" i="89"/>
  <c r="C105" i="89"/>
  <c r="C106" i="89"/>
  <c r="C107" i="89"/>
  <c r="C108" i="89"/>
  <c r="E90" i="89"/>
  <c r="E91" i="89"/>
  <c r="E92" i="89"/>
  <c r="E93" i="89"/>
  <c r="E94" i="89"/>
  <c r="E95" i="89"/>
  <c r="E96" i="89"/>
  <c r="E97" i="89"/>
  <c r="E98" i="89"/>
  <c r="E99" i="89"/>
  <c r="E100" i="89"/>
  <c r="E101" i="89"/>
  <c r="E102" i="89"/>
  <c r="E103" i="89"/>
  <c r="E104" i="89"/>
  <c r="E105" i="89"/>
  <c r="E106" i="89"/>
  <c r="E107" i="89"/>
  <c r="E108" i="89"/>
  <c r="CC13" i="38" l="1" a="1"/>
  <c r="CC13" i="38" s="1"/>
  <c r="CP13" i="38" s="1" a="1"/>
  <c r="CP13" i="38" s="1"/>
  <c r="BT12" i="38"/>
  <c r="CB13" i="38" a="1"/>
  <c r="CB13" i="38" s="1"/>
  <c r="DU13" i="38" s="1"/>
  <c r="DU12" i="38" s="1"/>
  <c r="EA13" i="38"/>
  <c r="EA12" i="38" s="1"/>
  <c r="DY13" i="38" a="1"/>
  <c r="DY13" i="38" s="1"/>
  <c r="DY12" i="38" s="1"/>
  <c r="E88" i="89"/>
  <c r="E89" i="89"/>
  <c r="C88" i="89"/>
  <c r="C89" i="89"/>
  <c r="D87" i="89" a="1"/>
  <c r="D87" i="89" s="1"/>
  <c r="F87" i="89" a="1"/>
  <c r="F87" i="89" s="1"/>
  <c r="DW13" i="38" l="1"/>
  <c r="DW12" i="38" s="1"/>
  <c r="DZ13" i="38" a="1"/>
  <c r="DZ13" i="38" s="1"/>
  <c r="DZ12" i="38" s="1"/>
  <c r="DT13" i="38" a="1"/>
  <c r="DT13" i="38" s="1"/>
  <c r="DT12" i="38" s="1"/>
  <c r="DS13" i="38" a="1"/>
  <c r="DS13" i="38" s="1"/>
  <c r="DS12" i="38" s="1"/>
  <c r="DQ13" i="38"/>
  <c r="DR13" i="38" s="1"/>
  <c r="DR12" i="38" s="1"/>
  <c r="CN13" i="38" a="1"/>
  <c r="CN13" i="38" s="1"/>
  <c r="H156" i="100"/>
  <c r="F156" i="100"/>
  <c r="DQ12" i="38" l="1"/>
  <c r="DV13" i="38"/>
  <c r="DX13" i="38" s="1"/>
  <c r="DX12" i="38" s="1"/>
  <c r="B127" i="77"/>
  <c r="B125" i="77"/>
  <c r="B139" i="77"/>
  <c r="B138" i="77"/>
  <c r="DV12" i="38" l="1"/>
  <c r="EB13" i="38"/>
  <c r="EB12" i="38" s="1"/>
  <c r="E55" i="79"/>
  <c r="E54" i="79"/>
  <c r="H45" i="100" l="1"/>
  <c r="F45" i="100"/>
  <c r="I161" i="100" l="1"/>
  <c r="D161" i="100"/>
  <c r="E161" i="100"/>
  <c r="F161" i="100"/>
  <c r="G161" i="100"/>
  <c r="H161" i="100"/>
  <c r="C161" i="100"/>
  <c r="P1001" i="71" l="1" a="1"/>
  <c r="P1001" i="71" s="1"/>
  <c r="R1001" i="71" s="1"/>
  <c r="Q1001" i="71" a="1"/>
  <c r="Q1001" i="71" s="1"/>
  <c r="U1001" i="71" a="1"/>
  <c r="U1001" i="71" s="1"/>
  <c r="V1001" i="71" s="1"/>
  <c r="AA1001" i="71"/>
  <c r="AF1001" i="71"/>
  <c r="AK1001" i="71"/>
  <c r="CJ1002" i="71"/>
  <c r="AS1002" i="71" s="1" a="1"/>
  <c r="AS1002" i="71" s="1"/>
  <c r="CI1002" i="71"/>
  <c r="CJ1001" i="71"/>
  <c r="CI1001" i="71"/>
  <c r="AM1001" i="71" s="1" a="1"/>
  <c r="AM1001" i="71" s="1"/>
  <c r="J1001" i="71"/>
  <c r="I1001" i="71" l="1" a="1"/>
  <c r="I1001" i="71" s="1"/>
  <c r="AN1001" i="71" a="1"/>
  <c r="AN1001" i="71" s="1"/>
  <c r="AT1002" i="71" a="1"/>
  <c r="AT1002" i="71" s="1"/>
  <c r="AY1002" i="71" s="1" a="1"/>
  <c r="AY1002" i="71" s="1"/>
  <c r="AZ1002" i="71" s="1"/>
  <c r="AO1001" i="71"/>
  <c r="AG1001" i="71" a="1"/>
  <c r="AG1001" i="71" s="1"/>
  <c r="AL1001" i="71" s="1"/>
  <c r="B2" i="90"/>
  <c r="AU1002" i="71" l="1"/>
  <c r="AV1002" i="71" s="1" a="1"/>
  <c r="AV1002" i="71" s="1"/>
  <c r="AX1002" i="71" s="1"/>
  <c r="BA1002" i="71" s="1"/>
  <c r="AP1001" i="71"/>
  <c r="BM1002" i="71" l="1"/>
  <c r="BF1002" i="71"/>
  <c r="BB1002" i="71"/>
  <c r="BD1001" i="71"/>
  <c r="BK1001" i="71"/>
  <c r="BB1001" i="71"/>
  <c r="K9" i="101"/>
  <c r="L9" i="101"/>
  <c r="M9" i="101" s="1"/>
  <c r="BJ1001" i="71" l="1" a="1"/>
  <c r="BJ1001" i="71" s="1"/>
  <c r="BN1001" i="71" a="1"/>
  <c r="BN1001" i="71" s="1"/>
  <c r="BO1001" i="71" s="1"/>
  <c r="BG1001" i="71" a="1"/>
  <c r="BG1001" i="71" s="1"/>
  <c r="BH1001" i="71" s="1"/>
  <c r="BI1001" i="71" s="1"/>
  <c r="BC1001" i="71" a="1"/>
  <c r="BC1001" i="71" s="1"/>
  <c r="BG1002" i="71" a="1"/>
  <c r="BG1002" i="71" s="1"/>
  <c r="BH1002" i="71" s="1"/>
  <c r="BI1002" i="71" s="1"/>
  <c r="BE1002" i="71" a="1"/>
  <c r="BE1002" i="71" s="1"/>
  <c r="BN1002" i="71" a="1"/>
  <c r="BN1002" i="71" s="1"/>
  <c r="BO1002" i="71" s="1"/>
  <c r="BL1002" i="71" a="1"/>
  <c r="BL1002" i="71" s="1"/>
  <c r="O9" i="101"/>
  <c r="N9" i="101"/>
  <c r="BP1001" i="71" l="1" a="1"/>
  <c r="BP1001" i="71" s="1"/>
  <c r="BR1001" i="71" s="1"/>
  <c r="BP1002" i="71" a="1"/>
  <c r="BP1002" i="71" s="1"/>
  <c r="BR1002" i="71" s="1"/>
  <c r="BS1002" i="71" l="1"/>
  <c r="BT1002" i="71" s="1"/>
  <c r="BS1001" i="71"/>
  <c r="BT1001" i="71" s="1"/>
  <c r="BU1002" i="71" l="1"/>
  <c r="CC1002" i="71" a="1"/>
  <c r="CC1002" i="71" s="1"/>
  <c r="CB1002" i="71" a="1"/>
  <c r="CB1002" i="71" s="1"/>
  <c r="BU1001" i="71"/>
  <c r="CB1001" i="71" a="1"/>
  <c r="CB1001" i="71" s="1"/>
  <c r="CC1001" i="71" a="1"/>
  <c r="CC1001" i="71" s="1"/>
  <c r="EA1001" i="71" l="1"/>
  <c r="DZ1001" i="71" a="1"/>
  <c r="DZ1001" i="71" s="1"/>
  <c r="DY1001" i="71" a="1"/>
  <c r="DY1001" i="71" s="1"/>
  <c r="DW1001" i="71"/>
  <c r="CP1001" i="71" a="1"/>
  <c r="CP1001" i="71" s="1"/>
  <c r="DS1002" i="71" a="1"/>
  <c r="DS1002" i="71" s="1"/>
  <c r="CN1002" i="71" a="1"/>
  <c r="CN1002" i="71" s="1"/>
  <c r="DQ1002" i="71"/>
  <c r="DU1002" i="71"/>
  <c r="DT1002" i="71" a="1"/>
  <c r="DT1002" i="71" s="1"/>
  <c r="DU1001" i="71"/>
  <c r="CN1001" i="71" a="1"/>
  <c r="CN1001" i="71" s="1"/>
  <c r="DT1001" i="71" a="1"/>
  <c r="DT1001" i="71" s="1"/>
  <c r="DQ1001" i="71"/>
  <c r="DS1001" i="71" a="1"/>
  <c r="DS1001" i="71" s="1"/>
  <c r="CP1002" i="71" a="1"/>
  <c r="CP1002" i="71" s="1"/>
  <c r="DY1002" i="71" a="1"/>
  <c r="DY1002" i="71" s="1"/>
  <c r="DW1002" i="71"/>
  <c r="EA1002" i="71"/>
  <c r="DZ1002" i="71" a="1"/>
  <c r="DZ1002" i="71" s="1"/>
  <c r="J41" i="85" l="1"/>
  <c r="O13" i="193" l="1" a="1"/>
  <c r="O13" i="193" s="1"/>
  <c r="O14" i="193" a="1"/>
  <c r="O14" i="193" s="1"/>
  <c r="O15" i="193" a="1"/>
  <c r="O15" i="193" s="1"/>
  <c r="O16" i="193" a="1"/>
  <c r="O16" i="193" s="1"/>
  <c r="O17" i="193" a="1"/>
  <c r="O17" i="193" s="1"/>
  <c r="N13" i="193" a="1"/>
  <c r="N13" i="193" s="1"/>
  <c r="N14" i="193" a="1"/>
  <c r="N14" i="193" s="1"/>
  <c r="N15" i="193" a="1"/>
  <c r="N15" i="193" s="1"/>
  <c r="N16" i="193" a="1"/>
  <c r="N16" i="193" s="1"/>
  <c r="N17" i="193" a="1"/>
  <c r="N17" i="193" s="1"/>
  <c r="C76" i="76" l="1"/>
  <c r="D467" i="89"/>
  <c r="D468" i="89"/>
  <c r="D469" i="89"/>
  <c r="E465" i="89" l="1"/>
  <c r="E464" i="89"/>
  <c r="C465" i="89" l="1"/>
  <c r="C464" i="89"/>
  <c r="D42" i="45"/>
  <c r="D41" i="45"/>
  <c r="H481" i="89"/>
  <c r="G481" i="89"/>
  <c r="F481" i="89"/>
  <c r="D481" i="89"/>
  <c r="H480" i="89"/>
  <c r="G480" i="89"/>
  <c r="F480" i="89"/>
  <c r="D480" i="89"/>
  <c r="H479" i="89"/>
  <c r="G479" i="89"/>
  <c r="F479" i="89"/>
  <c r="D479" i="89"/>
  <c r="H478" i="89"/>
  <c r="G478" i="89"/>
  <c r="F478" i="89"/>
  <c r="D478" i="89"/>
  <c r="H477" i="89"/>
  <c r="G477" i="89"/>
  <c r="F477" i="89"/>
  <c r="D477" i="89"/>
  <c r="H476" i="89"/>
  <c r="G476" i="89"/>
  <c r="F476" i="89"/>
  <c r="D476" i="89"/>
  <c r="H475" i="89"/>
  <c r="G475" i="89"/>
  <c r="F475" i="89"/>
  <c r="D475" i="89"/>
  <c r="H474" i="89"/>
  <c r="G474" i="89"/>
  <c r="F474" i="89"/>
  <c r="D474" i="89"/>
  <c r="H473" i="89"/>
  <c r="G473" i="89"/>
  <c r="F473" i="89"/>
  <c r="D473" i="89"/>
  <c r="H472" i="89"/>
  <c r="G472" i="89"/>
  <c r="F472" i="89"/>
  <c r="D472" i="89"/>
  <c r="H471" i="89"/>
  <c r="G471" i="89"/>
  <c r="F471" i="89"/>
  <c r="D471" i="89"/>
  <c r="H470" i="89"/>
  <c r="G470" i="89"/>
  <c r="F470" i="89"/>
  <c r="D470" i="89"/>
  <c r="H469" i="89"/>
  <c r="G469" i="89"/>
  <c r="F469" i="89"/>
  <c r="H468" i="89"/>
  <c r="G468" i="89"/>
  <c r="F468" i="89"/>
  <c r="H467" i="89"/>
  <c r="G467" i="89"/>
  <c r="F467" i="89"/>
  <c r="C463" i="89"/>
  <c r="C466" i="89"/>
  <c r="C467" i="89" s="1"/>
  <c r="C482" i="89"/>
  <c r="E482" i="89"/>
  <c r="E466" i="89"/>
  <c r="E478" i="89" s="1"/>
  <c r="E463" i="89"/>
  <c r="E475" i="89" l="1"/>
  <c r="C477" i="89"/>
  <c r="E467" i="89"/>
  <c r="C469" i="89"/>
  <c r="C474" i="89"/>
  <c r="C481" i="89"/>
  <c r="C470" i="89"/>
  <c r="E471" i="89"/>
  <c r="C473" i="89"/>
  <c r="C478" i="89"/>
  <c r="E479" i="89"/>
  <c r="E474" i="89"/>
  <c r="C468" i="89"/>
  <c r="E469" i="89"/>
  <c r="C472" i="89"/>
  <c r="E473" i="89"/>
  <c r="C476" i="89"/>
  <c r="E477" i="89"/>
  <c r="C480" i="89"/>
  <c r="E481" i="89"/>
  <c r="E470" i="89"/>
  <c r="E468" i="89"/>
  <c r="C471" i="89"/>
  <c r="E472" i="89"/>
  <c r="C475" i="89"/>
  <c r="E476" i="89"/>
  <c r="C479" i="89"/>
  <c r="E480" i="89"/>
  <c r="F536" i="89" l="1"/>
  <c r="D536" i="89"/>
  <c r="F535" i="89"/>
  <c r="D535" i="89"/>
  <c r="F534" i="89"/>
  <c r="D534" i="89"/>
  <c r="F533" i="89"/>
  <c r="D533" i="89"/>
  <c r="F532" i="89"/>
  <c r="D532" i="89"/>
  <c r="F531" i="89"/>
  <c r="D531" i="89"/>
  <c r="F530" i="89"/>
  <c r="D530" i="89"/>
  <c r="F529" i="89"/>
  <c r="D529" i="89"/>
  <c r="F528" i="89"/>
  <c r="D528" i="89"/>
  <c r="F527" i="89"/>
  <c r="D527" i="89"/>
  <c r="F526" i="89"/>
  <c r="D526" i="89"/>
  <c r="F525" i="89"/>
  <c r="D525" i="89"/>
  <c r="F524" i="89"/>
  <c r="E524" i="89"/>
  <c r="D524" i="89"/>
  <c r="C524" i="89"/>
  <c r="F523" i="89"/>
  <c r="D523" i="89"/>
  <c r="F522" i="89"/>
  <c r="D522" i="89"/>
  <c r="F521" i="89"/>
  <c r="D521" i="89"/>
  <c r="F520" i="89"/>
  <c r="D520" i="89"/>
  <c r="F519" i="89"/>
  <c r="E519" i="89"/>
  <c r="D519" i="89"/>
  <c r="F518" i="89"/>
  <c r="E518" i="89"/>
  <c r="D518" i="89"/>
  <c r="C518" i="89"/>
  <c r="F517" i="89"/>
  <c r="D517" i="89"/>
  <c r="F516" i="89"/>
  <c r="D516" i="89"/>
  <c r="F515" i="89"/>
  <c r="D515" i="89"/>
  <c r="F514" i="89"/>
  <c r="D514" i="89"/>
  <c r="F513" i="89"/>
  <c r="D513" i="89"/>
  <c r="F512" i="89"/>
  <c r="D512" i="89"/>
  <c r="C487" i="89" l="1"/>
  <c r="C512" i="89" s="1"/>
  <c r="E487" i="89"/>
  <c r="E512" i="89" s="1"/>
  <c r="C488" i="89"/>
  <c r="C513" i="89" s="1"/>
  <c r="E488" i="89"/>
  <c r="E513" i="89" s="1"/>
  <c r="C489" i="89"/>
  <c r="C514" i="89" s="1"/>
  <c r="E489" i="89"/>
  <c r="E514" i="89" s="1"/>
  <c r="C490" i="89"/>
  <c r="C515" i="89" s="1"/>
  <c r="E490" i="89"/>
  <c r="E515" i="89" s="1"/>
  <c r="C491" i="89"/>
  <c r="C516" i="89" s="1"/>
  <c r="E491" i="89"/>
  <c r="E516" i="89" s="1"/>
  <c r="C492" i="89"/>
  <c r="C517" i="89" s="1"/>
  <c r="E492" i="89"/>
  <c r="E517" i="89" s="1"/>
  <c r="C494" i="89"/>
  <c r="C519" i="89" s="1"/>
  <c r="C495" i="89"/>
  <c r="C520" i="89" s="1"/>
  <c r="E495" i="89"/>
  <c r="E520" i="89" s="1"/>
  <c r="C496" i="89"/>
  <c r="C521" i="89" s="1"/>
  <c r="E496" i="89"/>
  <c r="E521" i="89" s="1"/>
  <c r="C497" i="89"/>
  <c r="C522" i="89" s="1"/>
  <c r="E497" i="89"/>
  <c r="E522" i="89" s="1"/>
  <c r="C498" i="89"/>
  <c r="C523" i="89" s="1"/>
  <c r="E498" i="89"/>
  <c r="E523" i="89" s="1"/>
  <c r="C500" i="89"/>
  <c r="C525" i="89" s="1"/>
  <c r="E500" i="89"/>
  <c r="E525" i="89" s="1"/>
  <c r="C501" i="89"/>
  <c r="C526" i="89" s="1"/>
  <c r="E501" i="89"/>
  <c r="E526" i="89" s="1"/>
  <c r="C502" i="89"/>
  <c r="C527" i="89" s="1"/>
  <c r="E502" i="89"/>
  <c r="E527" i="89" s="1"/>
  <c r="C503" i="89"/>
  <c r="C528" i="89" s="1"/>
  <c r="E503" i="89"/>
  <c r="E528" i="89" s="1"/>
  <c r="C504" i="89"/>
  <c r="C529" i="89" s="1"/>
  <c r="E504" i="89"/>
  <c r="E529" i="89" s="1"/>
  <c r="C505" i="89"/>
  <c r="C530" i="89" s="1"/>
  <c r="E505" i="89"/>
  <c r="E530" i="89" s="1"/>
  <c r="C506" i="89"/>
  <c r="C531" i="89" s="1"/>
  <c r="E506" i="89"/>
  <c r="E531" i="89" s="1"/>
  <c r="C507" i="89"/>
  <c r="C532" i="89" s="1"/>
  <c r="E507" i="89"/>
  <c r="E532" i="89" s="1"/>
  <c r="C508" i="89"/>
  <c r="C533" i="89" s="1"/>
  <c r="E508" i="89"/>
  <c r="E533" i="89" s="1"/>
  <c r="C509" i="89"/>
  <c r="C534" i="89" s="1"/>
  <c r="E509" i="89"/>
  <c r="E534" i="89" s="1"/>
  <c r="C510" i="89"/>
  <c r="C535" i="89" s="1"/>
  <c r="E510" i="89"/>
  <c r="E535" i="89" s="1"/>
  <c r="C511" i="89"/>
  <c r="C536" i="89" s="1"/>
  <c r="E511" i="89"/>
  <c r="E536" i="89" s="1"/>
  <c r="C537" i="89"/>
  <c r="E537" i="89"/>
  <c r="C538" i="89"/>
  <c r="E538" i="89"/>
  <c r="C545" i="89"/>
  <c r="E545" i="89"/>
  <c r="B152" i="77" l="1"/>
  <c r="B151" i="77"/>
  <c r="B150" i="77"/>
  <c r="B149" i="77"/>
  <c r="C458" i="89" l="1"/>
  <c r="AE9" i="82" l="1"/>
  <c r="AG9" i="82" s="1"/>
  <c r="AA9" i="82"/>
  <c r="AC9" i="82" s="1"/>
  <c r="V9" i="82"/>
  <c r="X9" i="82" s="1"/>
  <c r="R9" i="82"/>
  <c r="T9" i="82" s="1"/>
  <c r="N9" i="82"/>
  <c r="P9" i="82" s="1"/>
  <c r="J9" i="82"/>
  <c r="L9" i="82" s="1"/>
  <c r="AE8" i="82"/>
  <c r="AG8" i="82" s="1"/>
  <c r="AA8" i="82"/>
  <c r="AC8" i="82" s="1"/>
  <c r="V8" i="82"/>
  <c r="X8" i="82" s="1"/>
  <c r="R8" i="82"/>
  <c r="T8" i="82" s="1"/>
  <c r="N8" i="82"/>
  <c r="P8" i="82" s="1"/>
  <c r="J8" i="82"/>
  <c r="L8" i="82" s="1"/>
  <c r="AE7" i="82"/>
  <c r="AG7" i="82" s="1"/>
  <c r="AA7" i="82"/>
  <c r="AC7" i="82" s="1"/>
  <c r="V7" i="82"/>
  <c r="X7" i="82" s="1"/>
  <c r="R7" i="82"/>
  <c r="T7" i="82" s="1"/>
  <c r="N7" i="82"/>
  <c r="P7" i="82" s="1"/>
  <c r="J7" i="82"/>
  <c r="L7" i="82" s="1"/>
  <c r="AE6" i="82"/>
  <c r="AG6" i="82" s="1"/>
  <c r="AA6" i="82"/>
  <c r="AC6" i="82" s="1"/>
  <c r="V6" i="82"/>
  <c r="X6" i="82" s="1"/>
  <c r="R6" i="82"/>
  <c r="T6" i="82" s="1"/>
  <c r="N6" i="82"/>
  <c r="P6" i="82" s="1"/>
  <c r="J6" i="82"/>
  <c r="L6" i="82" s="1"/>
  <c r="AE5" i="82"/>
  <c r="AG5" i="82" s="1"/>
  <c r="AA5" i="82"/>
  <c r="AC5" i="82" s="1"/>
  <c r="V5" i="82"/>
  <c r="X5" i="82" s="1"/>
  <c r="R5" i="82"/>
  <c r="T5" i="82" s="1"/>
  <c r="N5" i="82"/>
  <c r="P5" i="82" s="1"/>
  <c r="J5" i="82"/>
  <c r="L5" i="82" s="1"/>
  <c r="V25" i="82"/>
  <c r="X25" i="82" s="1"/>
  <c r="R25" i="82"/>
  <c r="T25" i="82" s="1"/>
  <c r="N25" i="82"/>
  <c r="P25" i="82" s="1"/>
  <c r="J25" i="82"/>
  <c r="L25" i="82" s="1"/>
  <c r="V24" i="82"/>
  <c r="X24" i="82" s="1"/>
  <c r="R24" i="82"/>
  <c r="T24" i="82" s="1"/>
  <c r="N24" i="82"/>
  <c r="P24" i="82" s="1"/>
  <c r="J24" i="82"/>
  <c r="L24" i="82" s="1"/>
  <c r="V23" i="82"/>
  <c r="X23" i="82" s="1"/>
  <c r="R23" i="82"/>
  <c r="T23" i="82" s="1"/>
  <c r="N23" i="82"/>
  <c r="P23" i="82" s="1"/>
  <c r="J23" i="82"/>
  <c r="L23" i="82" s="1"/>
  <c r="V22" i="82"/>
  <c r="X22" i="82" s="1"/>
  <c r="R22" i="82"/>
  <c r="T22" i="82" s="1"/>
  <c r="N22" i="82"/>
  <c r="P22" i="82" s="1"/>
  <c r="J22" i="82"/>
  <c r="L22" i="82" s="1"/>
  <c r="V21" i="82"/>
  <c r="X21" i="82" s="1"/>
  <c r="R21" i="82"/>
  <c r="T21" i="82" s="1"/>
  <c r="N21" i="82"/>
  <c r="P21" i="82" s="1"/>
  <c r="J21" i="82"/>
  <c r="L21" i="82" s="1"/>
  <c r="AH24" i="82" l="1"/>
  <c r="E24" i="82" s="1"/>
  <c r="AH6" i="82"/>
  <c r="E6" i="82" s="1"/>
  <c r="AH5" i="82"/>
  <c r="E5" i="82" s="1"/>
  <c r="AH7" i="82"/>
  <c r="E7" i="82" s="1"/>
  <c r="AH22" i="82"/>
  <c r="E22" i="82" s="1"/>
  <c r="AH9" i="82"/>
  <c r="E9" i="82" s="1"/>
  <c r="AH25" i="82"/>
  <c r="E25" i="82" s="1"/>
  <c r="AH23" i="82"/>
  <c r="E23" i="82" s="1"/>
  <c r="AH8" i="82"/>
  <c r="E8" i="82" s="1"/>
  <c r="AH21" i="82"/>
  <c r="E21" i="82" s="1"/>
  <c r="E424" i="89" l="1"/>
  <c r="C425" i="89"/>
  <c r="C426" i="89"/>
  <c r="E425" i="89"/>
  <c r="E426" i="89"/>
  <c r="EW190" i="38" l="1" a="1"/>
  <c r="EW190" i="38" s="1"/>
  <c r="EV190" i="38" a="1"/>
  <c r="EV190" i="38" s="1"/>
  <c r="EU190" i="38" a="1"/>
  <c r="EU190" i="38" s="1"/>
  <c r="EE190" i="38" a="1"/>
  <c r="EE190" i="38" s="1"/>
  <c r="ES190" i="38" a="1"/>
  <c r="ES190" i="38" s="1"/>
  <c r="EQ190" i="38" a="1"/>
  <c r="EQ190" i="38" s="1"/>
  <c r="EP190" i="38" a="1"/>
  <c r="EP190" i="38" s="1"/>
  <c r="EO190" i="38" a="1"/>
  <c r="EO190" i="38" s="1"/>
  <c r="ET190" i="38" a="1"/>
  <c r="ET190" i="38" s="1"/>
  <c r="EN190" i="38" l="1" a="1"/>
  <c r="EN190" i="38" s="1"/>
  <c r="AV7" i="48" l="1"/>
  <c r="D40" i="85" l="1"/>
  <c r="D39" i="85" s="1"/>
  <c r="B41" i="85"/>
  <c r="B40" i="85"/>
  <c r="B39" i="85"/>
  <c r="B38" i="85"/>
  <c r="B37" i="85"/>
  <c r="B36" i="85"/>
  <c r="C153" i="77" l="1"/>
  <c r="C152" i="77"/>
  <c r="C151" i="77"/>
  <c r="C150" i="77"/>
  <c r="C149" i="77"/>
  <c r="C148" i="77"/>
  <c r="B153" i="77"/>
  <c r="F417" i="89" l="1"/>
  <c r="D417" i="89"/>
  <c r="G417" i="89"/>
  <c r="H417" i="89"/>
  <c r="I417" i="89"/>
  <c r="J417" i="89"/>
  <c r="H416" i="89"/>
  <c r="I416" i="89"/>
  <c r="J416" i="89"/>
  <c r="D416" i="89"/>
  <c r="F416" i="89"/>
  <c r="G416" i="89"/>
  <c r="C418" i="89"/>
  <c r="C419" i="89"/>
  <c r="C420" i="89"/>
  <c r="C421" i="89"/>
  <c r="C422" i="89"/>
  <c r="C423" i="89"/>
  <c r="E418" i="89"/>
  <c r="E419" i="89"/>
  <c r="E420" i="89"/>
  <c r="E421" i="89"/>
  <c r="E422" i="89"/>
  <c r="E423" i="89"/>
  <c r="C75" i="76" l="1"/>
  <c r="C74" i="76"/>
  <c r="C73" i="76"/>
  <c r="C72" i="76"/>
  <c r="C70" i="76"/>
  <c r="C69" i="76"/>
  <c r="C68" i="76"/>
  <c r="C67" i="76"/>
  <c r="C6" i="76"/>
  <c r="P17" i="193"/>
  <c r="B17" i="193"/>
  <c r="P16" i="193"/>
  <c r="B16" i="193"/>
  <c r="P15" i="193"/>
  <c r="B15" i="193"/>
  <c r="P14" i="193"/>
  <c r="B14" i="193"/>
  <c r="P13" i="193"/>
  <c r="B13" i="193"/>
  <c r="H157" i="100"/>
  <c r="F157" i="100"/>
  <c r="H155" i="100"/>
  <c r="F155" i="100"/>
  <c r="H154" i="100"/>
  <c r="F154" i="100"/>
  <c r="K62" i="100"/>
  <c r="J62" i="100"/>
  <c r="I62" i="100"/>
  <c r="H62" i="100"/>
  <c r="G62" i="100"/>
  <c r="F62" i="100"/>
  <c r="E62" i="100"/>
  <c r="D62" i="100"/>
  <c r="K61" i="100"/>
  <c r="J61" i="100"/>
  <c r="I61" i="100"/>
  <c r="H61" i="100"/>
  <c r="G61" i="100"/>
  <c r="F61" i="100"/>
  <c r="E61" i="100"/>
  <c r="D61" i="100"/>
  <c r="C61" i="100"/>
  <c r="K55" i="100"/>
  <c r="J55" i="100"/>
  <c r="I55" i="100"/>
  <c r="H55" i="100"/>
  <c r="G55" i="100"/>
  <c r="F55" i="100"/>
  <c r="E55" i="100"/>
  <c r="D55" i="100"/>
  <c r="C55" i="100"/>
  <c r="K54" i="100"/>
  <c r="J54" i="100"/>
  <c r="I54" i="100"/>
  <c r="H54" i="100"/>
  <c r="G54" i="100"/>
  <c r="F54" i="100"/>
  <c r="E54" i="100"/>
  <c r="D54" i="100"/>
  <c r="C54" i="100"/>
  <c r="K53" i="100"/>
  <c r="J53" i="100"/>
  <c r="I53" i="100"/>
  <c r="H53" i="100"/>
  <c r="G53" i="100"/>
  <c r="F53" i="100"/>
  <c r="E53" i="100"/>
  <c r="D53" i="100"/>
  <c r="C53" i="100"/>
  <c r="K52" i="100"/>
  <c r="J52" i="100"/>
  <c r="I52" i="100"/>
  <c r="H52" i="100"/>
  <c r="G52" i="100"/>
  <c r="F52" i="100"/>
  <c r="E52" i="100"/>
  <c r="D52" i="100"/>
  <c r="K51" i="100"/>
  <c r="J51" i="100"/>
  <c r="I51" i="100"/>
  <c r="H51" i="100"/>
  <c r="G51" i="100"/>
  <c r="F51" i="100"/>
  <c r="E51" i="100"/>
  <c r="D51" i="100"/>
  <c r="K50" i="100"/>
  <c r="J50" i="100"/>
  <c r="I50" i="100"/>
  <c r="H50" i="100"/>
  <c r="G50" i="100"/>
  <c r="F50" i="100"/>
  <c r="E50" i="100"/>
  <c r="D50" i="100"/>
  <c r="C50" i="100"/>
  <c r="K49" i="100"/>
  <c r="J49" i="100"/>
  <c r="I49" i="100"/>
  <c r="H49" i="100"/>
  <c r="G49" i="100"/>
  <c r="F49" i="100"/>
  <c r="E49" i="100"/>
  <c r="D49" i="100"/>
  <c r="K48" i="100"/>
  <c r="J48" i="100"/>
  <c r="I48" i="100"/>
  <c r="H48" i="100"/>
  <c r="G48" i="100"/>
  <c r="F48" i="100"/>
  <c r="E48" i="100"/>
  <c r="D48" i="100"/>
  <c r="H40" i="100"/>
  <c r="F40" i="100"/>
  <c r="K39" i="100"/>
  <c r="J39" i="100"/>
  <c r="I39" i="100"/>
  <c r="H39" i="100"/>
  <c r="G39" i="100"/>
  <c r="F39" i="100"/>
  <c r="C39" i="100"/>
  <c r="K37" i="100"/>
  <c r="J37" i="100"/>
  <c r="I37" i="100"/>
  <c r="H37" i="100"/>
  <c r="G37" i="100"/>
  <c r="F37" i="100"/>
  <c r="E37" i="100"/>
  <c r="D37" i="100"/>
  <c r="K36" i="100"/>
  <c r="J36" i="100"/>
  <c r="I36" i="100"/>
  <c r="H36" i="100"/>
  <c r="G36" i="100"/>
  <c r="F36" i="100"/>
  <c r="E36" i="100"/>
  <c r="D36" i="100"/>
  <c r="K34" i="100"/>
  <c r="J34" i="100"/>
  <c r="I34" i="100"/>
  <c r="H34" i="100"/>
  <c r="G34" i="100"/>
  <c r="F34" i="100"/>
  <c r="E34" i="100"/>
  <c r="D34" i="100"/>
  <c r="K33" i="100"/>
  <c r="J33" i="100"/>
  <c r="K32" i="100"/>
  <c r="J32" i="100"/>
  <c r="K29" i="100"/>
  <c r="K35" i="100" s="1"/>
  <c r="J29" i="100"/>
  <c r="J35" i="100" s="1"/>
  <c r="I29" i="100"/>
  <c r="I35" i="100" s="1"/>
  <c r="H29" i="100"/>
  <c r="H35" i="100" s="1"/>
  <c r="G29" i="100"/>
  <c r="G35" i="100" s="1"/>
  <c r="F29" i="100"/>
  <c r="F35" i="100" s="1"/>
  <c r="E29" i="100"/>
  <c r="E35" i="100" s="1"/>
  <c r="D29" i="100"/>
  <c r="D35" i="100" s="1"/>
  <c r="K10" i="100"/>
  <c r="J10" i="100"/>
  <c r="I10" i="100"/>
  <c r="I8" i="100" s="1"/>
  <c r="H10" i="100"/>
  <c r="G10" i="100"/>
  <c r="G8" i="100" s="1"/>
  <c r="F10" i="100"/>
  <c r="E10" i="100"/>
  <c r="D10" i="100"/>
  <c r="K9" i="100"/>
  <c r="J9" i="100"/>
  <c r="I9" i="100"/>
  <c r="H9" i="100"/>
  <c r="G9" i="100"/>
  <c r="F9" i="100"/>
  <c r="E9" i="100"/>
  <c r="D9" i="100"/>
  <c r="K8" i="100"/>
  <c r="J8" i="100"/>
  <c r="I5" i="100"/>
  <c r="G5" i="100"/>
  <c r="E23" i="104"/>
  <c r="C23" i="104"/>
  <c r="E22" i="104"/>
  <c r="C22" i="104"/>
  <c r="E21" i="104"/>
  <c r="C21" i="104"/>
  <c r="E20" i="104"/>
  <c r="C20" i="104"/>
  <c r="E19" i="104"/>
  <c r="C19" i="104"/>
  <c r="E18" i="104"/>
  <c r="C18" i="104"/>
  <c r="E17" i="104"/>
  <c r="C17" i="104"/>
  <c r="E16" i="104"/>
  <c r="C16" i="104"/>
  <c r="E15" i="104"/>
  <c r="C15" i="104"/>
  <c r="E14" i="104"/>
  <c r="C14" i="104"/>
  <c r="E13" i="104"/>
  <c r="C13" i="104"/>
  <c r="F12" i="104"/>
  <c r="E12" i="104"/>
  <c r="D12" i="104"/>
  <c r="C12" i="104"/>
  <c r="E11" i="104"/>
  <c r="C11" i="104"/>
  <c r="E10" i="104"/>
  <c r="C10" i="104"/>
  <c r="E9" i="104"/>
  <c r="C9" i="104"/>
  <c r="E8" i="104"/>
  <c r="C8" i="104"/>
  <c r="E7" i="104"/>
  <c r="C7" i="104"/>
  <c r="E6" i="104"/>
  <c r="C6" i="104"/>
  <c r="E5" i="104"/>
  <c r="C5" i="104"/>
  <c r="E4" i="104"/>
  <c r="C4" i="104"/>
  <c r="E452" i="89"/>
  <c r="C452" i="89"/>
  <c r="E451" i="89"/>
  <c r="C451" i="89"/>
  <c r="E450" i="89"/>
  <c r="C450" i="89"/>
  <c r="E449" i="89"/>
  <c r="C449" i="89"/>
  <c r="E448" i="89"/>
  <c r="C448" i="89"/>
  <c r="E447" i="89"/>
  <c r="C447" i="89"/>
  <c r="E446" i="89"/>
  <c r="C446" i="89"/>
  <c r="E445" i="89"/>
  <c r="C445" i="89"/>
  <c r="E444" i="89"/>
  <c r="C444" i="89"/>
  <c r="E443" i="89"/>
  <c r="C443" i="89"/>
  <c r="E442" i="89"/>
  <c r="C442" i="89"/>
  <c r="E441" i="89"/>
  <c r="C441" i="89"/>
  <c r="E440" i="89"/>
  <c r="C440" i="89"/>
  <c r="E439" i="89"/>
  <c r="C439" i="89"/>
  <c r="E438" i="89"/>
  <c r="C438" i="89"/>
  <c r="E437" i="89"/>
  <c r="C437" i="89"/>
  <c r="E436" i="89"/>
  <c r="C436" i="89"/>
  <c r="E435" i="89"/>
  <c r="E417" i="89" s="1"/>
  <c r="C435" i="89"/>
  <c r="C417" i="89" s="1"/>
  <c r="E434" i="89"/>
  <c r="C434" i="89"/>
  <c r="E433" i="89"/>
  <c r="C433" i="89"/>
  <c r="E432" i="89"/>
  <c r="C432" i="89"/>
  <c r="E431" i="89"/>
  <c r="C431" i="89"/>
  <c r="E430" i="89"/>
  <c r="C430" i="89"/>
  <c r="E429" i="89"/>
  <c r="E416" i="89" s="1"/>
  <c r="C429" i="89"/>
  <c r="C416" i="89" s="1"/>
  <c r="E428" i="89"/>
  <c r="C428" i="89"/>
  <c r="E427" i="89"/>
  <c r="C427" i="89"/>
  <c r="E415" i="89"/>
  <c r="C415" i="89"/>
  <c r="E414" i="89"/>
  <c r="C414" i="89"/>
  <c r="E413" i="89"/>
  <c r="C413" i="89"/>
  <c r="E412" i="89"/>
  <c r="C412" i="89"/>
  <c r="E411" i="89"/>
  <c r="C411" i="89"/>
  <c r="E410" i="89"/>
  <c r="C410" i="89"/>
  <c r="E409" i="89"/>
  <c r="C409" i="89"/>
  <c r="E408" i="89"/>
  <c r="C408" i="89"/>
  <c r="E407" i="89"/>
  <c r="C407" i="89"/>
  <c r="E406" i="89"/>
  <c r="C406" i="89"/>
  <c r="E405" i="89"/>
  <c r="C405" i="89"/>
  <c r="E404" i="89"/>
  <c r="C404" i="89"/>
  <c r="E403" i="89"/>
  <c r="C403" i="89"/>
  <c r="E402" i="89"/>
  <c r="C402" i="89"/>
  <c r="E401" i="89"/>
  <c r="C401" i="89"/>
  <c r="E400" i="89"/>
  <c r="C400" i="89"/>
  <c r="E399" i="89"/>
  <c r="C399" i="89"/>
  <c r="E398" i="89"/>
  <c r="C398" i="89"/>
  <c r="E397" i="89"/>
  <c r="C397" i="89"/>
  <c r="C391" i="89"/>
  <c r="E391" i="89" s="1"/>
  <c r="C390" i="89"/>
  <c r="E390" i="89" s="1"/>
  <c r="E389" i="89"/>
  <c r="C388" i="89"/>
  <c r="E388" i="89" s="1"/>
  <c r="C387" i="89"/>
  <c r="E387" i="89" s="1"/>
  <c r="E386" i="89"/>
  <c r="C385" i="89"/>
  <c r="E385" i="89" s="1"/>
  <c r="E384" i="89"/>
  <c r="C383" i="89"/>
  <c r="E383" i="89" s="1"/>
  <c r="E378" i="89"/>
  <c r="C378" i="89"/>
  <c r="E373" i="89"/>
  <c r="C373" i="89"/>
  <c r="E368" i="89"/>
  <c r="C368" i="89"/>
  <c r="E367" i="89"/>
  <c r="C367" i="89"/>
  <c r="E366" i="89"/>
  <c r="C366" i="89"/>
  <c r="E365" i="89"/>
  <c r="C365" i="89"/>
  <c r="E364" i="89"/>
  <c r="C364" i="89"/>
  <c r="E363" i="89"/>
  <c r="C363" i="89"/>
  <c r="E362" i="89"/>
  <c r="C362" i="89"/>
  <c r="E361" i="89"/>
  <c r="C361" i="89"/>
  <c r="E360" i="89"/>
  <c r="C360" i="89"/>
  <c r="E359" i="89"/>
  <c r="C359" i="89"/>
  <c r="E358" i="89"/>
  <c r="C358" i="89"/>
  <c r="E357" i="89"/>
  <c r="C357" i="89"/>
  <c r="E356" i="89"/>
  <c r="C356" i="89"/>
  <c r="E355" i="89"/>
  <c r="C355" i="89"/>
  <c r="E354" i="89"/>
  <c r="C354" i="89"/>
  <c r="E353" i="89"/>
  <c r="C353" i="89"/>
  <c r="E352" i="89"/>
  <c r="C352" i="89"/>
  <c r="E351" i="89"/>
  <c r="C351" i="89"/>
  <c r="E350" i="89"/>
  <c r="C350" i="89"/>
  <c r="E349" i="89"/>
  <c r="C349" i="89"/>
  <c r="E348" i="89"/>
  <c r="C348" i="89"/>
  <c r="E347" i="89"/>
  <c r="C347" i="89"/>
  <c r="E346" i="89"/>
  <c r="C346" i="89"/>
  <c r="F345" i="89"/>
  <c r="F346" i="89" s="1"/>
  <c r="F347" i="89" s="1"/>
  <c r="F348" i="89" s="1"/>
  <c r="F349" i="89" s="1"/>
  <c r="F350" i="89" s="1"/>
  <c r="F351" i="89" s="1"/>
  <c r="F352" i="89" s="1"/>
  <c r="E345" i="89"/>
  <c r="D345" i="89"/>
  <c r="D346" i="89" s="1"/>
  <c r="D347" i="89" s="1"/>
  <c r="D348" i="89" s="1"/>
  <c r="D349" i="89" s="1"/>
  <c r="D350" i="89" s="1"/>
  <c r="D351" i="89" s="1"/>
  <c r="D352" i="89" s="1"/>
  <c r="C345" i="89"/>
  <c r="E344" i="89"/>
  <c r="C344" i="89"/>
  <c r="E343" i="89"/>
  <c r="C343" i="89"/>
  <c r="E342" i="89"/>
  <c r="C342" i="89"/>
  <c r="E341" i="89"/>
  <c r="C341" i="89"/>
  <c r="E340" i="89"/>
  <c r="C340" i="89"/>
  <c r="E339" i="89"/>
  <c r="C339" i="89"/>
  <c r="J338" i="89"/>
  <c r="E338" i="89" s="1"/>
  <c r="H338" i="89"/>
  <c r="C338" i="89" s="1"/>
  <c r="F338" i="89"/>
  <c r="D338" i="89"/>
  <c r="J337" i="89"/>
  <c r="E337" i="89" s="1"/>
  <c r="H337" i="89"/>
  <c r="C337" i="89" s="1"/>
  <c r="F337" i="89"/>
  <c r="D337" i="89"/>
  <c r="J336" i="89"/>
  <c r="E336" i="89" s="1"/>
  <c r="H336" i="89"/>
  <c r="C336" i="89" s="1"/>
  <c r="F336" i="89"/>
  <c r="D336" i="89"/>
  <c r="J335" i="89"/>
  <c r="E335" i="89" s="1"/>
  <c r="H335" i="89"/>
  <c r="C335" i="89" s="1"/>
  <c r="F335" i="89"/>
  <c r="D335" i="89"/>
  <c r="J334" i="89"/>
  <c r="E334" i="89" s="1"/>
  <c r="H334" i="89"/>
  <c r="C334" i="89" s="1"/>
  <c r="F334" i="89"/>
  <c r="D334" i="89"/>
  <c r="J333" i="89"/>
  <c r="E333" i="89" s="1"/>
  <c r="H333" i="89"/>
  <c r="C333" i="89" s="1"/>
  <c r="E332" i="89"/>
  <c r="C332" i="89"/>
  <c r="E331" i="89"/>
  <c r="C331" i="89"/>
  <c r="E330" i="89"/>
  <c r="C330" i="89"/>
  <c r="E329" i="89"/>
  <c r="C329" i="89"/>
  <c r="E328" i="89"/>
  <c r="C328" i="89"/>
  <c r="E327" i="89"/>
  <c r="C327" i="89"/>
  <c r="E326" i="89"/>
  <c r="C326" i="89"/>
  <c r="E325" i="89"/>
  <c r="C325" i="89"/>
  <c r="E324" i="89"/>
  <c r="C324" i="89"/>
  <c r="E323" i="89"/>
  <c r="C323" i="89"/>
  <c r="E318" i="89"/>
  <c r="C318" i="89"/>
  <c r="E317" i="89"/>
  <c r="C317" i="89"/>
  <c r="E316" i="89"/>
  <c r="C316" i="89"/>
  <c r="E315" i="89"/>
  <c r="C315" i="89"/>
  <c r="E314" i="89"/>
  <c r="C314" i="89"/>
  <c r="E313" i="89"/>
  <c r="C313" i="89"/>
  <c r="E312" i="89"/>
  <c r="C312" i="89"/>
  <c r="E311" i="89"/>
  <c r="C311" i="89"/>
  <c r="E310" i="89"/>
  <c r="C310" i="89"/>
  <c r="E309" i="89"/>
  <c r="C309" i="89"/>
  <c r="E308" i="89"/>
  <c r="C308" i="89"/>
  <c r="E307" i="89"/>
  <c r="C307" i="89"/>
  <c r="E306" i="89"/>
  <c r="C306" i="89"/>
  <c r="E305" i="89"/>
  <c r="C305" i="89"/>
  <c r="E304" i="89"/>
  <c r="C304" i="89"/>
  <c r="E303" i="89"/>
  <c r="C303" i="89"/>
  <c r="E302" i="89"/>
  <c r="C302" i="89"/>
  <c r="E297" i="89"/>
  <c r="C297" i="89"/>
  <c r="E296" i="89"/>
  <c r="C296" i="89"/>
  <c r="E295" i="89"/>
  <c r="C295" i="89"/>
  <c r="E294" i="89"/>
  <c r="C294" i="89"/>
  <c r="E293" i="89"/>
  <c r="C293" i="89"/>
  <c r="E292" i="89"/>
  <c r="C292" i="89"/>
  <c r="E291" i="89"/>
  <c r="C291" i="89"/>
  <c r="E290" i="89"/>
  <c r="C290" i="89"/>
  <c r="E289" i="89"/>
  <c r="C289" i="89"/>
  <c r="E288" i="89"/>
  <c r="C288" i="89"/>
  <c r="E287" i="89"/>
  <c r="C287" i="89"/>
  <c r="E286" i="89"/>
  <c r="C286" i="89"/>
  <c r="E285" i="89"/>
  <c r="C285" i="89"/>
  <c r="E283" i="89"/>
  <c r="C283" i="89"/>
  <c r="E282" i="89"/>
  <c r="C282" i="89"/>
  <c r="E281" i="89"/>
  <c r="C281" i="89"/>
  <c r="E280" i="89"/>
  <c r="C280" i="89"/>
  <c r="E279" i="89"/>
  <c r="C279" i="89"/>
  <c r="E278" i="89"/>
  <c r="C278" i="89"/>
  <c r="E277" i="89"/>
  <c r="C277" i="89"/>
  <c r="E276" i="89"/>
  <c r="C276" i="89"/>
  <c r="E275" i="89"/>
  <c r="C275" i="89"/>
  <c r="E274" i="89"/>
  <c r="C274" i="89"/>
  <c r="E269" i="89"/>
  <c r="C269" i="89"/>
  <c r="E268" i="89"/>
  <c r="C268" i="89"/>
  <c r="E267" i="89"/>
  <c r="C267" i="89"/>
  <c r="E266" i="89"/>
  <c r="C266" i="89"/>
  <c r="E265" i="89"/>
  <c r="C265" i="89"/>
  <c r="E264" i="89"/>
  <c r="C264" i="89"/>
  <c r="E263" i="89"/>
  <c r="C263" i="89"/>
  <c r="E262" i="89"/>
  <c r="C262" i="89"/>
  <c r="E261" i="89"/>
  <c r="C261" i="89"/>
  <c r="E260" i="89"/>
  <c r="C260" i="89"/>
  <c r="E259" i="89"/>
  <c r="C259" i="89"/>
  <c r="E258" i="89"/>
  <c r="C258" i="89"/>
  <c r="E257" i="89"/>
  <c r="C257" i="89"/>
  <c r="E256" i="89"/>
  <c r="C256" i="89"/>
  <c r="E255" i="89"/>
  <c r="C255" i="89"/>
  <c r="E254" i="89"/>
  <c r="C254" i="89"/>
  <c r="E253" i="89"/>
  <c r="C253" i="89"/>
  <c r="E252" i="89"/>
  <c r="C252" i="89"/>
  <c r="E251" i="89"/>
  <c r="C251" i="89"/>
  <c r="E250" i="89"/>
  <c r="C250" i="89"/>
  <c r="E249" i="89"/>
  <c r="C249" i="89"/>
  <c r="E248" i="89"/>
  <c r="C248" i="89"/>
  <c r="E247" i="89"/>
  <c r="C247" i="89"/>
  <c r="E246" i="89"/>
  <c r="C246" i="89"/>
  <c r="E245" i="89"/>
  <c r="C245" i="89"/>
  <c r="E244" i="89"/>
  <c r="C244" i="89"/>
  <c r="E243" i="89"/>
  <c r="C243" i="89"/>
  <c r="E242" i="89"/>
  <c r="C242" i="89"/>
  <c r="E237" i="89"/>
  <c r="C237" i="89"/>
  <c r="E236" i="89"/>
  <c r="C236" i="89"/>
  <c r="E235" i="89"/>
  <c r="C235" i="89"/>
  <c r="E234" i="89"/>
  <c r="C234" i="89"/>
  <c r="E233" i="89"/>
  <c r="C233" i="89"/>
  <c r="E232" i="89"/>
  <c r="C232" i="89"/>
  <c r="E231" i="89"/>
  <c r="C231" i="89"/>
  <c r="E230" i="89"/>
  <c r="C230" i="89"/>
  <c r="E229" i="89"/>
  <c r="C229" i="89"/>
  <c r="E228" i="89"/>
  <c r="C228" i="89"/>
  <c r="E227" i="89"/>
  <c r="C227" i="89"/>
  <c r="E226" i="89"/>
  <c r="C226" i="89"/>
  <c r="E225" i="89"/>
  <c r="C225" i="89"/>
  <c r="E224" i="89"/>
  <c r="C224" i="89"/>
  <c r="E223" i="89"/>
  <c r="C223" i="89"/>
  <c r="E222" i="89"/>
  <c r="C222" i="89"/>
  <c r="E221" i="89"/>
  <c r="C221" i="89"/>
  <c r="E220" i="89"/>
  <c r="C220" i="89"/>
  <c r="E219" i="89"/>
  <c r="C219" i="89"/>
  <c r="E218" i="89"/>
  <c r="C218" i="89"/>
  <c r="E217" i="89"/>
  <c r="C217" i="89"/>
  <c r="E216" i="89"/>
  <c r="C216" i="89"/>
  <c r="E215" i="89"/>
  <c r="C215" i="89"/>
  <c r="E214" i="89"/>
  <c r="C214" i="89"/>
  <c r="E213" i="89"/>
  <c r="C213" i="89"/>
  <c r="E212" i="89"/>
  <c r="C212" i="89"/>
  <c r="E211" i="89"/>
  <c r="C211" i="89"/>
  <c r="E210" i="89"/>
  <c r="C210" i="89"/>
  <c r="E209" i="89"/>
  <c r="C209" i="89"/>
  <c r="E208" i="89"/>
  <c r="C208" i="89"/>
  <c r="E207" i="89"/>
  <c r="C207" i="89"/>
  <c r="E206" i="89"/>
  <c r="C206" i="89"/>
  <c r="E205" i="89"/>
  <c r="C205" i="89"/>
  <c r="E204" i="89"/>
  <c r="C204" i="89"/>
  <c r="E203" i="89"/>
  <c r="C203" i="89"/>
  <c r="E202" i="89"/>
  <c r="C202" i="89"/>
  <c r="E201" i="89"/>
  <c r="C201" i="89"/>
  <c r="E200" i="89"/>
  <c r="C200" i="89"/>
  <c r="E199" i="89"/>
  <c r="C199" i="89"/>
  <c r="E198" i="89"/>
  <c r="C198" i="89"/>
  <c r="E197" i="89"/>
  <c r="C197" i="89"/>
  <c r="E196" i="89"/>
  <c r="C196" i="89"/>
  <c r="E195" i="89"/>
  <c r="C195" i="89"/>
  <c r="E194" i="89"/>
  <c r="C194" i="89"/>
  <c r="E193" i="89"/>
  <c r="C193" i="89"/>
  <c r="E192" i="89"/>
  <c r="C192" i="89"/>
  <c r="E191" i="89"/>
  <c r="C191" i="89"/>
  <c r="E190" i="89"/>
  <c r="C190" i="89"/>
  <c r="E189" i="89"/>
  <c r="C189" i="89"/>
  <c r="E184" i="89"/>
  <c r="C184" i="89"/>
  <c r="E183" i="89"/>
  <c r="C183" i="89"/>
  <c r="K182" i="89"/>
  <c r="E182" i="89"/>
  <c r="C182" i="89"/>
  <c r="K181" i="89"/>
  <c r="E181" i="89"/>
  <c r="C181" i="89"/>
  <c r="K180" i="89"/>
  <c r="E180" i="89"/>
  <c r="C180" i="89"/>
  <c r="K179" i="89"/>
  <c r="E179" i="89"/>
  <c r="C179" i="89"/>
  <c r="E178" i="89"/>
  <c r="C178" i="89"/>
  <c r="E177" i="89"/>
  <c r="C177" i="89"/>
  <c r="E176" i="89"/>
  <c r="C176" i="89"/>
  <c r="E175" i="89"/>
  <c r="C175" i="89"/>
  <c r="K174" i="89"/>
  <c r="E174" i="89"/>
  <c r="C174" i="89"/>
  <c r="E173" i="89"/>
  <c r="C173" i="89"/>
  <c r="E172" i="89"/>
  <c r="C172" i="89"/>
  <c r="E171" i="89"/>
  <c r="C171" i="89"/>
  <c r="E170" i="89"/>
  <c r="C170" i="89"/>
  <c r="E169" i="89"/>
  <c r="C169" i="89"/>
  <c r="E168" i="89"/>
  <c r="C168" i="89"/>
  <c r="E167" i="89"/>
  <c r="C167" i="89"/>
  <c r="E166" i="89"/>
  <c r="C166" i="89"/>
  <c r="E165" i="89"/>
  <c r="C165" i="89"/>
  <c r="E164" i="89"/>
  <c r="C164" i="89"/>
  <c r="E163" i="89"/>
  <c r="C163" i="89"/>
  <c r="E162" i="89"/>
  <c r="C162" i="89"/>
  <c r="E161" i="89"/>
  <c r="C161" i="89"/>
  <c r="E160" i="89"/>
  <c r="C160" i="89"/>
  <c r="E159" i="89"/>
  <c r="C159" i="89"/>
  <c r="E158" i="89"/>
  <c r="C158" i="89"/>
  <c r="E157" i="89"/>
  <c r="C157" i="89"/>
  <c r="E156" i="89"/>
  <c r="C156" i="89"/>
  <c r="E155" i="89"/>
  <c r="C155" i="89"/>
  <c r="E154" i="89"/>
  <c r="C154" i="89"/>
  <c r="E153" i="89"/>
  <c r="C153" i="89"/>
  <c r="E152" i="89"/>
  <c r="C152" i="89"/>
  <c r="E151" i="89"/>
  <c r="C151" i="89"/>
  <c r="E150" i="89"/>
  <c r="C150" i="89"/>
  <c r="E149" i="89"/>
  <c r="C149" i="89"/>
  <c r="E148" i="89"/>
  <c r="C148" i="89"/>
  <c r="E147" i="89"/>
  <c r="C147" i="89"/>
  <c r="E146" i="89"/>
  <c r="C146" i="89"/>
  <c r="E145" i="89"/>
  <c r="C145" i="89"/>
  <c r="E144" i="89"/>
  <c r="C144" i="89"/>
  <c r="E143" i="89"/>
  <c r="C143" i="89"/>
  <c r="E142" i="89"/>
  <c r="C142" i="89"/>
  <c r="E141" i="89"/>
  <c r="C141" i="89"/>
  <c r="E140" i="89"/>
  <c r="C140" i="89"/>
  <c r="E139" i="89"/>
  <c r="C139" i="89"/>
  <c r="E138" i="89"/>
  <c r="C138" i="89"/>
  <c r="E137" i="89"/>
  <c r="C137" i="89"/>
  <c r="E136" i="89"/>
  <c r="C136" i="89"/>
  <c r="E135" i="89"/>
  <c r="C135" i="89"/>
  <c r="E130" i="89"/>
  <c r="C130" i="89"/>
  <c r="E129" i="89"/>
  <c r="C129" i="89"/>
  <c r="E128" i="89"/>
  <c r="C128" i="89"/>
  <c r="E127" i="89"/>
  <c r="C127" i="89"/>
  <c r="E126" i="89"/>
  <c r="C126" i="89"/>
  <c r="E125" i="89"/>
  <c r="C125" i="89"/>
  <c r="E124" i="89"/>
  <c r="C124" i="89"/>
  <c r="E123" i="89"/>
  <c r="C123" i="89"/>
  <c r="E122" i="89"/>
  <c r="C122" i="89"/>
  <c r="E121" i="89"/>
  <c r="C121" i="89"/>
  <c r="E120" i="89"/>
  <c r="C120" i="89"/>
  <c r="E119" i="89"/>
  <c r="C119" i="89"/>
  <c r="E118" i="89"/>
  <c r="C118" i="89"/>
  <c r="E117" i="89"/>
  <c r="C117" i="89"/>
  <c r="E116" i="89"/>
  <c r="C116" i="89"/>
  <c r="E115" i="89"/>
  <c r="C115" i="89"/>
  <c r="E114" i="89"/>
  <c r="C114" i="89"/>
  <c r="E87" i="89"/>
  <c r="C87" i="89"/>
  <c r="E86" i="89"/>
  <c r="C86" i="89"/>
  <c r="E85" i="89"/>
  <c r="C85" i="89"/>
  <c r="E84" i="89"/>
  <c r="C84" i="89"/>
  <c r="E83" i="89"/>
  <c r="C83" i="89"/>
  <c r="E82" i="89"/>
  <c r="C82" i="89"/>
  <c r="E81" i="89"/>
  <c r="C81" i="89"/>
  <c r="E80" i="89"/>
  <c r="C80" i="89"/>
  <c r="E79" i="89"/>
  <c r="C79" i="89"/>
  <c r="E78" i="89"/>
  <c r="C78" i="89"/>
  <c r="E77" i="89"/>
  <c r="C77" i="89"/>
  <c r="E76" i="89"/>
  <c r="C76" i="89"/>
  <c r="E75" i="89"/>
  <c r="C75" i="89"/>
  <c r="E74" i="89"/>
  <c r="C74" i="89"/>
  <c r="E73" i="89"/>
  <c r="C73" i="89"/>
  <c r="E72" i="89"/>
  <c r="C72" i="89"/>
  <c r="E71" i="89"/>
  <c r="C71" i="89"/>
  <c r="E70" i="89"/>
  <c r="C70" i="89"/>
  <c r="E69" i="89"/>
  <c r="C69" i="89"/>
  <c r="E68" i="89"/>
  <c r="C68" i="89"/>
  <c r="E67" i="89"/>
  <c r="C67" i="89"/>
  <c r="E66" i="89"/>
  <c r="C66" i="89"/>
  <c r="E65" i="89"/>
  <c r="C65" i="89"/>
  <c r="E64" i="89"/>
  <c r="C64" i="89"/>
  <c r="E63" i="89"/>
  <c r="C63" i="89"/>
  <c r="E62" i="89"/>
  <c r="C62" i="89"/>
  <c r="E61" i="89"/>
  <c r="C61" i="89"/>
  <c r="E60" i="89"/>
  <c r="C60" i="89"/>
  <c r="E59" i="89"/>
  <c r="C59" i="89"/>
  <c r="E58" i="89"/>
  <c r="C58" i="89"/>
  <c r="E57" i="89"/>
  <c r="C57" i="89"/>
  <c r="E56" i="89"/>
  <c r="C56" i="89"/>
  <c r="E55" i="89"/>
  <c r="C55" i="89"/>
  <c r="E54" i="89"/>
  <c r="C54" i="89"/>
  <c r="E53" i="89"/>
  <c r="C53" i="89"/>
  <c r="E52" i="89"/>
  <c r="C52" i="89"/>
  <c r="E51" i="89"/>
  <c r="C51" i="89"/>
  <c r="E50" i="89"/>
  <c r="C50" i="89"/>
  <c r="E49" i="89"/>
  <c r="C49" i="89"/>
  <c r="E48" i="89"/>
  <c r="C48" i="89"/>
  <c r="E47" i="89"/>
  <c r="C47" i="89"/>
  <c r="E46" i="89"/>
  <c r="C46" i="89"/>
  <c r="E45" i="89"/>
  <c r="C45" i="89"/>
  <c r="E44" i="89"/>
  <c r="C44" i="89"/>
  <c r="E43" i="89"/>
  <c r="C43" i="89"/>
  <c r="E42" i="89"/>
  <c r="C42" i="89"/>
  <c r="E41" i="89"/>
  <c r="C41" i="89"/>
  <c r="E40" i="89"/>
  <c r="C40" i="89"/>
  <c r="E39" i="89"/>
  <c r="C39" i="89"/>
  <c r="E38" i="89"/>
  <c r="C38" i="89"/>
  <c r="E37" i="89"/>
  <c r="C37" i="89"/>
  <c r="E36" i="89"/>
  <c r="C36" i="89"/>
  <c r="E35" i="89"/>
  <c r="C35" i="89"/>
  <c r="E34" i="89"/>
  <c r="C34" i="89"/>
  <c r="E33" i="89"/>
  <c r="C33" i="89"/>
  <c r="E32" i="89"/>
  <c r="C32" i="89"/>
  <c r="E31" i="89"/>
  <c r="C31" i="89"/>
  <c r="E30" i="89"/>
  <c r="C30" i="89"/>
  <c r="E29" i="89"/>
  <c r="C29" i="89"/>
  <c r="E28" i="89"/>
  <c r="C28" i="89"/>
  <c r="E27" i="89"/>
  <c r="C27" i="89"/>
  <c r="E26" i="89"/>
  <c r="C26" i="89"/>
  <c r="E25" i="89"/>
  <c r="C25" i="89"/>
  <c r="E24" i="89"/>
  <c r="C24" i="89"/>
  <c r="E23" i="89"/>
  <c r="C23" i="89"/>
  <c r="E22" i="89"/>
  <c r="C22" i="89"/>
  <c r="E21" i="89"/>
  <c r="C21" i="89"/>
  <c r="E20" i="89"/>
  <c r="C20" i="89"/>
  <c r="E19" i="89"/>
  <c r="C19" i="89"/>
  <c r="E18" i="89"/>
  <c r="C18" i="89"/>
  <c r="E17" i="89"/>
  <c r="C17" i="89"/>
  <c r="E16" i="89"/>
  <c r="C16" i="89"/>
  <c r="E15" i="89"/>
  <c r="C15" i="89"/>
  <c r="E14" i="89"/>
  <c r="C14" i="89"/>
  <c r="E13" i="89"/>
  <c r="C13" i="89"/>
  <c r="E12" i="89"/>
  <c r="C12" i="89"/>
  <c r="E11" i="89"/>
  <c r="C11" i="89"/>
  <c r="E10" i="89"/>
  <c r="C10" i="89"/>
  <c r="E9" i="89"/>
  <c r="C9" i="89"/>
  <c r="I8" i="89"/>
  <c r="E8" i="89" s="1"/>
  <c r="G8" i="89"/>
  <c r="C8" i="89" s="1"/>
  <c r="F8" i="89"/>
  <c r="D8" i="89"/>
  <c r="E7" i="89"/>
  <c r="C7" i="89"/>
  <c r="E6" i="89"/>
  <c r="C6" i="89"/>
  <c r="C295" i="77"/>
  <c r="B295" i="77"/>
  <c r="C226" i="77"/>
  <c r="B226" i="77"/>
  <c r="C178" i="77"/>
  <c r="B178" i="77"/>
  <c r="C177" i="77"/>
  <c r="B177" i="77"/>
  <c r="C176" i="77"/>
  <c r="B176" i="77"/>
  <c r="C160" i="77"/>
  <c r="B160" i="77"/>
  <c r="C159" i="77"/>
  <c r="B159" i="77"/>
  <c r="C158" i="77"/>
  <c r="B158" i="77"/>
  <c r="C156" i="77"/>
  <c r="B156" i="77"/>
  <c r="B148" i="77"/>
  <c r="C147" i="77"/>
  <c r="B147" i="77"/>
  <c r="C146" i="77"/>
  <c r="B146" i="77"/>
  <c r="C145" i="77"/>
  <c r="B145" i="77"/>
  <c r="C144" i="77"/>
  <c r="B144" i="77"/>
  <c r="C143" i="77"/>
  <c r="B143" i="77"/>
  <c r="C142" i="77"/>
  <c r="B142" i="77"/>
  <c r="C141" i="77"/>
  <c r="B141" i="77"/>
  <c r="C140" i="77"/>
  <c r="B140" i="77"/>
  <c r="C139" i="77"/>
  <c r="C138" i="77"/>
  <c r="C132" i="77"/>
  <c r="B132" i="77"/>
  <c r="C131" i="77"/>
  <c r="B131" i="77"/>
  <c r="C127" i="77"/>
  <c r="C125" i="77"/>
  <c r="C33" i="77"/>
  <c r="B33" i="77"/>
  <c r="E25" i="77"/>
  <c r="E23" i="77"/>
  <c r="E22" i="77"/>
  <c r="E21" i="77"/>
  <c r="E20" i="77"/>
  <c r="E19" i="77"/>
  <c r="E18" i="77"/>
  <c r="E12" i="77"/>
  <c r="E11" i="77"/>
  <c r="E9" i="77"/>
  <c r="E8" i="77"/>
  <c r="E7" i="77"/>
  <c r="E6" i="77"/>
  <c r="E3" i="77"/>
  <c r="AW40" i="85"/>
  <c r="L40" i="85"/>
  <c r="L41" i="85" s="1"/>
  <c r="L39" i="85"/>
  <c r="L38" i="85"/>
  <c r="J38" i="85"/>
  <c r="AV38" i="85" s="1"/>
  <c r="L37" i="85"/>
  <c r="G37" i="85"/>
  <c r="L36" i="85"/>
  <c r="L35" i="85"/>
  <c r="G35" i="85"/>
  <c r="L34" i="85"/>
  <c r="J34" i="85"/>
  <c r="AR34" i="85" s="1"/>
  <c r="G34" i="85"/>
  <c r="L33" i="85"/>
  <c r="J33" i="85"/>
  <c r="AP33" i="85" s="1"/>
  <c r="G33" i="85"/>
  <c r="L32" i="85"/>
  <c r="G32" i="85"/>
  <c r="CF31" i="85"/>
  <c r="BD31" i="85"/>
  <c r="BD32" i="85" s="1"/>
  <c r="L31" i="85"/>
  <c r="J31" i="85"/>
  <c r="AR31" i="85" s="1"/>
  <c r="G31" i="85"/>
  <c r="BB28" i="85"/>
  <c r="BD30" i="85"/>
  <c r="L30" i="85"/>
  <c r="J30" i="85"/>
  <c r="AQ30" i="85" s="1"/>
  <c r="G30" i="85"/>
  <c r="BD29" i="85"/>
  <c r="BB29" i="85"/>
  <c r="L29" i="85"/>
  <c r="G29" i="85"/>
  <c r="BD28" i="85"/>
  <c r="L28" i="85"/>
  <c r="BB27" i="85"/>
  <c r="BD27" i="85"/>
  <c r="L27" i="85"/>
  <c r="G27" i="85"/>
  <c r="BD26" i="85"/>
  <c r="AY26" i="85"/>
  <c r="L26" i="85"/>
  <c r="BD25" i="85"/>
  <c r="L25" i="85"/>
  <c r="J29" i="85"/>
  <c r="AV29" i="85" s="1"/>
  <c r="BD24" i="85"/>
  <c r="AY24" i="85"/>
  <c r="L24" i="85"/>
  <c r="J27" i="85"/>
  <c r="AK27" i="85" s="1"/>
  <c r="BD23" i="85"/>
  <c r="J25" i="85"/>
  <c r="AH25" i="85" s="1"/>
  <c r="BD22" i="85"/>
  <c r="L22" i="85"/>
  <c r="L23" i="85" s="1"/>
  <c r="J22" i="85"/>
  <c r="AG22" i="85" s="1"/>
  <c r="J24" i="85"/>
  <c r="AG24" i="85" s="1"/>
  <c r="BD21" i="85"/>
  <c r="L21" i="85"/>
  <c r="G21" i="85"/>
  <c r="J23" i="85"/>
  <c r="AF23" i="85" s="1"/>
  <c r="L20" i="85"/>
  <c r="BD19" i="85"/>
  <c r="BD20" i="85" s="1"/>
  <c r="BB19" i="85"/>
  <c r="BV19" i="85" s="1"/>
  <c r="L19" i="85"/>
  <c r="J21" i="85"/>
  <c r="AH21" i="85" s="1"/>
  <c r="BD18" i="85"/>
  <c r="AY18" i="85"/>
  <c r="L18" i="85"/>
  <c r="G18" i="85"/>
  <c r="J19" i="85"/>
  <c r="BD17" i="85"/>
  <c r="L17" i="85"/>
  <c r="BD16" i="85"/>
  <c r="BB16" i="85"/>
  <c r="BR16" i="85" s="1"/>
  <c r="L16" i="85"/>
  <c r="BB10" i="85"/>
  <c r="BD15" i="85"/>
  <c r="L15" i="85"/>
  <c r="J18" i="85"/>
  <c r="BD14" i="85"/>
  <c r="BB14" i="85"/>
  <c r="BS14" i="85" s="1"/>
  <c r="L14" i="85"/>
  <c r="J14" i="85"/>
  <c r="AD14" i="85" s="1"/>
  <c r="BB15" i="85"/>
  <c r="BQ15" i="85" s="1"/>
  <c r="BD13" i="85"/>
  <c r="L13" i="85"/>
  <c r="J13" i="85"/>
  <c r="AC13" i="85" s="1"/>
  <c r="J15" i="85"/>
  <c r="BD12" i="85"/>
  <c r="AY12" i="85"/>
  <c r="L12" i="85"/>
  <c r="BD11" i="85"/>
  <c r="L11" i="85"/>
  <c r="J11" i="85"/>
  <c r="AA11" i="85" s="1"/>
  <c r="G11" i="85"/>
  <c r="BD10" i="85"/>
  <c r="L10" i="85"/>
  <c r="BB13" i="85"/>
  <c r="BD9" i="85"/>
  <c r="L9" i="85"/>
  <c r="J9" i="85"/>
  <c r="S9" i="85" s="1"/>
  <c r="BD8" i="85"/>
  <c r="BB8" i="85"/>
  <c r="BK8" i="85" s="1"/>
  <c r="L8" i="85"/>
  <c r="J8" i="85"/>
  <c r="S8" i="85" s="1"/>
  <c r="BD7" i="85"/>
  <c r="BB7" i="85"/>
  <c r="BK7" i="85" s="1"/>
  <c r="L7" i="85"/>
  <c r="G7" i="85"/>
  <c r="BD6" i="85"/>
  <c r="BB6" i="85"/>
  <c r="BK6" i="85" s="1"/>
  <c r="L6" i="85"/>
  <c r="J7" i="85"/>
  <c r="Y7" i="85" s="1"/>
  <c r="BD5" i="85"/>
  <c r="BB5" i="85"/>
  <c r="BJ5" i="85" s="1"/>
  <c r="L5" i="85"/>
  <c r="J5" i="85"/>
  <c r="BD4" i="85"/>
  <c r="L4" i="85"/>
  <c r="J4" i="85"/>
  <c r="O4" i="85" s="1"/>
  <c r="BD3" i="85"/>
  <c r="L3" i="85"/>
  <c r="BB3" i="85"/>
  <c r="BK3" i="85" s="1"/>
  <c r="CJ1000" i="71"/>
  <c r="CI1000" i="71"/>
  <c r="AK1000" i="71"/>
  <c r="AF1000" i="71"/>
  <c r="AA1000" i="71"/>
  <c r="U1000" i="71" a="1"/>
  <c r="U1000" i="71" s="1"/>
  <c r="V1000" i="71" s="1"/>
  <c r="Q1000" i="71" a="1"/>
  <c r="Q1000" i="71" s="1"/>
  <c r="P1000" i="71" a="1"/>
  <c r="P1000" i="71" s="1"/>
  <c r="R1000" i="71" s="1"/>
  <c r="J1000" i="71"/>
  <c r="CJ999" i="71"/>
  <c r="CI999" i="71"/>
  <c r="AK999" i="71"/>
  <c r="AF999" i="71"/>
  <c r="AA999" i="71"/>
  <c r="U999" i="71" a="1"/>
  <c r="U999" i="71" s="1"/>
  <c r="V999" i="71" s="1"/>
  <c r="Q999" i="71" a="1"/>
  <c r="Q999" i="71" s="1"/>
  <c r="P999" i="71" a="1"/>
  <c r="P999" i="71" s="1"/>
  <c r="R999" i="71" s="1"/>
  <c r="J999" i="71"/>
  <c r="CE998" i="71" a="1"/>
  <c r="CE998" i="71" s="1"/>
  <c r="P19" i="71" a="1"/>
  <c r="P19" i="71" s="1"/>
  <c r="A19" i="71"/>
  <c r="P18" i="71" a="1"/>
  <c r="P18" i="71" s="1"/>
  <c r="A18" i="71"/>
  <c r="P17" i="71" a="1"/>
  <c r="P17" i="71" s="1"/>
  <c r="A17" i="71"/>
  <c r="P16" i="71" a="1"/>
  <c r="P16" i="71" s="1"/>
  <c r="A16" i="71"/>
  <c r="P15" i="71" a="1"/>
  <c r="P15" i="71" s="1"/>
  <c r="A15" i="71"/>
  <c r="P14" i="71" a="1"/>
  <c r="P14" i="71" s="1"/>
  <c r="A14" i="71"/>
  <c r="P13" i="71" a="1"/>
  <c r="P13" i="71" s="1"/>
  <c r="A13" i="71"/>
  <c r="P12" i="71" a="1"/>
  <c r="P12" i="71" s="1"/>
  <c r="A12" i="71"/>
  <c r="P11" i="71"/>
  <c r="N11" i="71"/>
  <c r="N12" i="71" s="1" a="1"/>
  <c r="N12" i="71" s="1"/>
  <c r="N13" i="71" s="1" a="1"/>
  <c r="N13" i="71" s="1"/>
  <c r="N14" i="71" s="1" a="1"/>
  <c r="N14" i="71" s="1"/>
  <c r="N15" i="71" s="1" a="1"/>
  <c r="N15" i="71" s="1"/>
  <c r="N16" i="71" s="1" a="1"/>
  <c r="N16" i="71" s="1"/>
  <c r="N17" i="71" s="1" a="1"/>
  <c r="N17" i="71" s="1"/>
  <c r="N18" i="71" s="1" a="1"/>
  <c r="N18" i="71" s="1"/>
  <c r="N19" i="71" s="1" a="1"/>
  <c r="N19" i="71" s="1"/>
  <c r="O19" i="71" s="1" a="1"/>
  <c r="O19" i="71" s="1"/>
  <c r="O18" i="71" s="1" a="1"/>
  <c r="O18" i="71" s="1"/>
  <c r="O17" i="71" s="1" a="1"/>
  <c r="O17" i="71" s="1"/>
  <c r="O16" i="71" s="1" a="1"/>
  <c r="O16" i="71" s="1"/>
  <c r="O15" i="71" s="1" a="1"/>
  <c r="O15" i="71" s="1"/>
  <c r="O14" i="71" s="1" a="1"/>
  <c r="O14" i="71" s="1"/>
  <c r="O13" i="71" s="1" a="1"/>
  <c r="O13" i="71" s="1"/>
  <c r="O12" i="71" s="1" a="1"/>
  <c r="O12" i="71" s="1"/>
  <c r="O11" i="71" s="1"/>
  <c r="A11" i="71"/>
  <c r="D50" i="79"/>
  <c r="D47" i="79"/>
  <c r="D44" i="79"/>
  <c r="D42" i="79"/>
  <c r="D52" i="79" s="1"/>
  <c r="D41" i="79"/>
  <c r="E36" i="79"/>
  <c r="E35" i="79"/>
  <c r="E34" i="79"/>
  <c r="E33" i="79"/>
  <c r="E32" i="79"/>
  <c r="I30" i="79" a="1"/>
  <c r="I30" i="79" s="1"/>
  <c r="I29" i="79" a="1"/>
  <c r="I29" i="79" s="1"/>
  <c r="I28" i="79" a="1"/>
  <c r="I28" i="79" s="1"/>
  <c r="I27" i="79" a="1"/>
  <c r="I27" i="79" s="1"/>
  <c r="I26" i="79" a="1"/>
  <c r="I26" i="79" s="1"/>
  <c r="I25" i="79" a="1"/>
  <c r="I25" i="79" s="1"/>
  <c r="I24" i="79" a="1"/>
  <c r="I24" i="79" s="1"/>
  <c r="I23" i="79" a="1"/>
  <c r="I23" i="79" s="1"/>
  <c r="I22" i="79" a="1"/>
  <c r="I22" i="79" s="1"/>
  <c r="I21" i="79" a="1"/>
  <c r="I21" i="79" s="1"/>
  <c r="I20" i="79" a="1"/>
  <c r="I20" i="79" s="1"/>
  <c r="I19" i="79" a="1"/>
  <c r="I19" i="79" s="1"/>
  <c r="I18" i="79" a="1"/>
  <c r="I18" i="79" s="1"/>
  <c r="E18" i="79"/>
  <c r="I17" i="79" a="1"/>
  <c r="I17" i="79" s="1"/>
  <c r="I16" i="79" a="1"/>
  <c r="I16" i="79" s="1"/>
  <c r="I15" i="79" a="1"/>
  <c r="I15" i="79" s="1"/>
  <c r="I14" i="79" a="1"/>
  <c r="I14" i="79" s="1"/>
  <c r="I13" i="79" a="1"/>
  <c r="I13" i="79" s="1"/>
  <c r="I12" i="79" a="1"/>
  <c r="I12" i="79" s="1"/>
  <c r="I11" i="79" a="1"/>
  <c r="I11" i="79" s="1"/>
  <c r="D11" i="79"/>
  <c r="BK26" i="47"/>
  <c r="BE26" i="47"/>
  <c r="BK25" i="47"/>
  <c r="BK24" i="47"/>
  <c r="BE24" i="47"/>
  <c r="BK23" i="47"/>
  <c r="BK22" i="47"/>
  <c r="BK21" i="47"/>
  <c r="BE21" i="47"/>
  <c r="BK20" i="47"/>
  <c r="BE20" i="47"/>
  <c r="BK19" i="47"/>
  <c r="BE19" i="47"/>
  <c r="BE15" i="47"/>
  <c r="BE14" i="47"/>
  <c r="BE13" i="47"/>
  <c r="BE10" i="47"/>
  <c r="BI8" i="47"/>
  <c r="BI7" i="47"/>
  <c r="AT5" i="47"/>
  <c r="AO5" i="47"/>
  <c r="AK5" i="47"/>
  <c r="AG5" i="47"/>
  <c r="C4" i="90"/>
  <c r="I34" i="102"/>
  <c r="I33" i="102"/>
  <c r="F33" i="102"/>
  <c r="F34" i="102" s="1"/>
  <c r="F35" i="102" s="1"/>
  <c r="I32" i="102"/>
  <c r="L8" i="101"/>
  <c r="K8" i="101"/>
  <c r="L7" i="101"/>
  <c r="O7" i="101" s="1"/>
  <c r="K7" i="101"/>
  <c r="L6" i="101"/>
  <c r="L5" i="101"/>
  <c r="K5" i="101"/>
  <c r="R1" i="101"/>
  <c r="Q1" i="101"/>
  <c r="P1" i="101"/>
  <c r="O1" i="101"/>
  <c r="N1" i="101"/>
  <c r="M1" i="101"/>
  <c r="L1" i="101"/>
  <c r="K1" i="101"/>
  <c r="J1" i="101"/>
  <c r="I1" i="101"/>
  <c r="H1" i="101"/>
  <c r="G1" i="101"/>
  <c r="F1" i="101"/>
  <c r="E1" i="101"/>
  <c r="D1" i="101"/>
  <c r="C1" i="101"/>
  <c r="B1" i="101"/>
  <c r="X5" i="48"/>
  <c r="U7" i="43"/>
  <c r="I7" i="43"/>
  <c r="R5" i="43"/>
  <c r="W3" i="43"/>
  <c r="U5" i="44"/>
  <c r="C5" i="44"/>
  <c r="AM3" i="44"/>
  <c r="AM4" i="44" s="1"/>
  <c r="C76" i="45"/>
  <c r="C75" i="45"/>
  <c r="C74" i="45"/>
  <c r="C73" i="45"/>
  <c r="C71" i="45"/>
  <c r="D70" i="45"/>
  <c r="D69" i="45"/>
  <c r="C64" i="45"/>
  <c r="C55" i="45"/>
  <c r="E36" i="45"/>
  <c r="D36" i="45" s="1"/>
  <c r="E35" i="45"/>
  <c r="D35" i="45" s="1"/>
  <c r="E34" i="45"/>
  <c r="D34" i="45" s="1"/>
  <c r="E33" i="45"/>
  <c r="D33" i="45" s="1"/>
  <c r="E32" i="45"/>
  <c r="D32" i="45" s="1"/>
  <c r="C25" i="45"/>
  <c r="C24" i="45"/>
  <c r="C23" i="45"/>
  <c r="C22" i="45"/>
  <c r="C21" i="45"/>
  <c r="E18" i="45"/>
  <c r="D11" i="45"/>
  <c r="B8" i="38"/>
  <c r="BZ7" i="38"/>
  <c r="BX5" i="38"/>
  <c r="BW5" i="38"/>
  <c r="BV5" i="38"/>
  <c r="BT5" i="38"/>
  <c r="BS5" i="38"/>
  <c r="AU5" i="38"/>
  <c r="AT5" i="38"/>
  <c r="AM5" i="38"/>
  <c r="AE5" i="38"/>
  <c r="Z5" i="38"/>
  <c r="U5" i="38"/>
  <c r="Q5" i="38"/>
  <c r="I5" i="38"/>
  <c r="CG185" i="38"/>
  <c r="D185" i="38" l="1" a="1"/>
  <c r="D185" i="38" s="1"/>
  <c r="BX185" i="38" a="1"/>
  <c r="BX185" i="38" s="1"/>
  <c r="CL185" i="38" a="1"/>
  <c r="CL185" i="38" s="1"/>
  <c r="CF185" i="38" s="1" a="1"/>
  <c r="CF185" i="38" s="1"/>
  <c r="CO185" i="38" a="1"/>
  <c r="CO185" i="38" s="1"/>
  <c r="BZ185" i="38" a="1"/>
  <c r="BZ185" i="38" s="1"/>
  <c r="CG187" i="38" a="1"/>
  <c r="CG187" i="38" s="1"/>
  <c r="CM185" i="38" a="1"/>
  <c r="CM185" i="38" s="1"/>
  <c r="CG188" i="38" a="1"/>
  <c r="CG188" i="38" s="1"/>
  <c r="CG186" i="38" a="1"/>
  <c r="CG186" i="38" s="1"/>
  <c r="J6" i="101"/>
  <c r="I5" i="101"/>
  <c r="I8" i="101"/>
  <c r="O8" i="101" s="1"/>
  <c r="I9" i="101"/>
  <c r="N4" i="50" a="1"/>
  <c r="N4" i="50" s="1"/>
  <c r="DC998" i="71"/>
  <c r="DK998" i="71"/>
  <c r="DS998" i="71"/>
  <c r="EA998" i="71"/>
  <c r="CV998" i="71"/>
  <c r="DD998" i="71"/>
  <c r="DL998" i="71"/>
  <c r="DT998" i="71"/>
  <c r="EB998" i="71"/>
  <c r="CW998" i="71"/>
  <c r="DE998" i="71"/>
  <c r="DM998" i="71"/>
  <c r="DU998" i="71"/>
  <c r="CX998" i="71"/>
  <c r="DF998" i="71"/>
  <c r="DN998" i="71"/>
  <c r="DV998" i="71"/>
  <c r="CY998" i="71"/>
  <c r="DG998" i="71"/>
  <c r="DO998" i="71"/>
  <c r="DW998" i="71"/>
  <c r="CZ998" i="71"/>
  <c r="DH998" i="71"/>
  <c r="DP998" i="71"/>
  <c r="DX998" i="71"/>
  <c r="DA998" i="71"/>
  <c r="DI998" i="71"/>
  <c r="DQ998" i="71"/>
  <c r="DY998" i="71"/>
  <c r="DB998" i="71"/>
  <c r="DJ998" i="71"/>
  <c r="DR998" i="71"/>
  <c r="DZ998" i="71"/>
  <c r="BT998" i="71"/>
  <c r="CD1001" i="71"/>
  <c r="CD1002" i="71"/>
  <c r="BV998" i="71"/>
  <c r="BS998" i="71"/>
  <c r="D9" i="101"/>
  <c r="E9" i="101" s="1" a="1"/>
  <c r="E9" i="101" s="1"/>
  <c r="P9" i="101" s="1"/>
  <c r="Q9" i="101" s="1"/>
  <c r="F9" i="101"/>
  <c r="J9" i="101" s="1"/>
  <c r="G9" i="101"/>
  <c r="H9" i="101"/>
  <c r="E66" i="45" a="1"/>
  <c r="E66" i="45" s="1"/>
  <c r="D66" i="45" s="1"/>
  <c r="E26" i="45" a="1"/>
  <c r="E26" i="45" s="1"/>
  <c r="D26" i="45" s="1"/>
  <c r="AA10" i="43" s="1" a="1"/>
  <c r="AA10" i="43" s="1"/>
  <c r="E19" i="45" a="1"/>
  <c r="E19" i="45" s="1"/>
  <c r="D19" i="45" s="1"/>
  <c r="E26" i="79" a="1"/>
  <c r="E26" i="79" s="1"/>
  <c r="E19" i="79" a="1"/>
  <c r="E19" i="79" s="1"/>
  <c r="D19" i="79" s="1"/>
  <c r="D79" i="79" s="1"/>
  <c r="AM999" i="71" a="1"/>
  <c r="AM999" i="71" s="1"/>
  <c r="AT999" i="71" a="1"/>
  <c r="AT999" i="71" s="1"/>
  <c r="AY999" i="71" s="1" a="1"/>
  <c r="AY999" i="71" s="1"/>
  <c r="AZ999" i="71" s="1"/>
  <c r="D17" i="193"/>
  <c r="D14" i="193"/>
  <c r="D16" i="193"/>
  <c r="D13" i="193"/>
  <c r="D15" i="193"/>
  <c r="E71" i="79" a="1"/>
  <c r="E71" i="79" s="1"/>
  <c r="D71" i="79" s="1"/>
  <c r="H181" i="100"/>
  <c r="F181" i="100"/>
  <c r="I1000" i="71" a="1"/>
  <c r="I1000" i="71" s="1"/>
  <c r="AM30" i="85"/>
  <c r="E31" i="45"/>
  <c r="D31" i="45" s="1"/>
  <c r="BJ8" i="85"/>
  <c r="D45" i="79"/>
  <c r="AS33" i="85"/>
  <c r="X11" i="85"/>
  <c r="Y11" i="85"/>
  <c r="AR33" i="85"/>
  <c r="E21" i="79" a="1"/>
  <c r="E21" i="79" s="1"/>
  <c r="E23" i="79" a="1"/>
  <c r="E23" i="79" s="1"/>
  <c r="BI7" i="85"/>
  <c r="BM7" i="85"/>
  <c r="W11" i="85"/>
  <c r="E21" i="45" a="1"/>
  <c r="E21" i="45" s="1"/>
  <c r="D21" i="45" s="1"/>
  <c r="E67" i="79" a="1"/>
  <c r="E67" i="79" s="1"/>
  <c r="D67" i="79" s="1"/>
  <c r="BM8" i="85"/>
  <c r="E24" i="45" a="1"/>
  <c r="E24" i="45" s="1"/>
  <c r="D24" i="45" s="1"/>
  <c r="N7" i="101"/>
  <c r="J3" i="85"/>
  <c r="N3" i="85" s="1"/>
  <c r="T8" i="85"/>
  <c r="T9" i="85"/>
  <c r="V11" i="85"/>
  <c r="E31" i="79"/>
  <c r="BL7" i="85"/>
  <c r="BL8" i="85"/>
  <c r="AC11" i="85"/>
  <c r="AD13" i="85"/>
  <c r="AQ34" i="85"/>
  <c r="E23" i="45" a="1"/>
  <c r="E23" i="45" s="1"/>
  <c r="D23" i="45" s="1"/>
  <c r="M7" i="101"/>
  <c r="AQ33" i="85"/>
  <c r="BS13" i="85"/>
  <c r="BR13" i="85"/>
  <c r="BO13" i="85"/>
  <c r="CC28" i="85"/>
  <c r="CE28" i="85"/>
  <c r="CD28" i="85"/>
  <c r="AD19" i="85"/>
  <c r="AC19" i="85"/>
  <c r="BJ7" i="85"/>
  <c r="U11" i="85"/>
  <c r="AD11" i="85"/>
  <c r="AB13" i="85"/>
  <c r="AK21" i="85"/>
  <c r="BB22" i="85"/>
  <c r="BW22" i="85" s="1"/>
  <c r="AQ31" i="85"/>
  <c r="M8" i="101"/>
  <c r="N8" i="101"/>
  <c r="D48" i="79"/>
  <c r="E24" i="79" a="1"/>
  <c r="E24" i="79" s="1"/>
  <c r="P4" i="85"/>
  <c r="BG5" i="85"/>
  <c r="J10" i="85" a="1"/>
  <c r="J10" i="85" s="1"/>
  <c r="G10" i="85" s="1"/>
  <c r="H10" i="85" s="1"/>
  <c r="J12" i="85"/>
  <c r="J20" i="85" s="1"/>
  <c r="BB24" i="85"/>
  <c r="BZ24" i="85" s="1"/>
  <c r="AS34" i="85"/>
  <c r="BB4" i="85"/>
  <c r="BM4" i="85" s="1"/>
  <c r="BH5" i="85"/>
  <c r="BH6" i="85"/>
  <c r="X7" i="85"/>
  <c r="BP14" i="85"/>
  <c r="E25" i="79" a="1"/>
  <c r="E25" i="79" s="1"/>
  <c r="BI5" i="85"/>
  <c r="BI6" i="85"/>
  <c r="W13" i="85"/>
  <c r="BQ14" i="85"/>
  <c r="J35" i="85"/>
  <c r="AR35" i="85" s="1"/>
  <c r="E22" i="79" a="1"/>
  <c r="E22" i="79" s="1"/>
  <c r="BK5" i="85"/>
  <c r="BJ6" i="85"/>
  <c r="R8" i="85"/>
  <c r="Z11" i="85"/>
  <c r="Y13" i="85"/>
  <c r="BR14" i="85"/>
  <c r="AF22" i="85"/>
  <c r="AN30" i="85"/>
  <c r="AN31" i="85"/>
  <c r="E25" i="45" a="1"/>
  <c r="E25" i="45" s="1"/>
  <c r="D25" i="45" s="1"/>
  <c r="BL5" i="85"/>
  <c r="BL6" i="85"/>
  <c r="AB11" i="85"/>
  <c r="Z13" i="85"/>
  <c r="BB20" i="85"/>
  <c r="AG21" i="85"/>
  <c r="AH22" i="85"/>
  <c r="AO30" i="85"/>
  <c r="AO31" i="85"/>
  <c r="AU38" i="85"/>
  <c r="BM6" i="85"/>
  <c r="AA13" i="85"/>
  <c r="AI22" i="85"/>
  <c r="AP30" i="85"/>
  <c r="AP31" i="85"/>
  <c r="L7" i="43"/>
  <c r="AX3" i="44"/>
  <c r="AM1000" i="71" a="1"/>
  <c r="AM1000" i="71" s="1"/>
  <c r="AS999" i="71" a="1"/>
  <c r="AS999" i="71" s="1"/>
  <c r="AD3" i="43"/>
  <c r="W4" i="43"/>
  <c r="B7" i="38"/>
  <c r="AN999" i="71" a="1"/>
  <c r="AN999" i="71" s="1"/>
  <c r="CD999" i="71"/>
  <c r="CK999" i="71" s="1" a="1"/>
  <c r="CK999" i="71" s="1"/>
  <c r="CV999" i="71" s="1"/>
  <c r="AN1000" i="71" a="1"/>
  <c r="AN1000" i="71" s="1"/>
  <c r="F17" i="193"/>
  <c r="C10" i="193"/>
  <c r="F15" i="193"/>
  <c r="C9" i="193"/>
  <c r="C6" i="193"/>
  <c r="F16" i="193"/>
  <c r="C5" i="193"/>
  <c r="F4" i="193"/>
  <c r="F14" i="193"/>
  <c r="C7" i="193"/>
  <c r="F13" i="193"/>
  <c r="CG998" i="71"/>
  <c r="C8" i="193"/>
  <c r="D7" i="101"/>
  <c r="E7" i="101" s="1" a="1"/>
  <c r="E7" i="101" s="1"/>
  <c r="P7" i="101" s="1"/>
  <c r="Q7" i="101" s="1"/>
  <c r="AR122" i="38" s="1"/>
  <c r="J8" i="101"/>
  <c r="F5" i="101"/>
  <c r="D5" i="101"/>
  <c r="E5" i="101" s="1" a="1"/>
  <c r="E5" i="101" s="1"/>
  <c r="H7" i="101"/>
  <c r="G5" i="101"/>
  <c r="D8" i="101"/>
  <c r="E8" i="101" s="1" a="1"/>
  <c r="E8" i="101" s="1"/>
  <c r="J7" i="101"/>
  <c r="H8" i="101"/>
  <c r="H5" i="101"/>
  <c r="J7" i="43"/>
  <c r="AB7" i="43"/>
  <c r="E67" i="45" a="1"/>
  <c r="E67" i="45" s="1"/>
  <c r="D67" i="45" s="1"/>
  <c r="E68" i="45" a="1"/>
  <c r="E68" i="45" s="1"/>
  <c r="D68" i="45" s="1"/>
  <c r="E71" i="45" a="1"/>
  <c r="E71" i="45" s="1"/>
  <c r="D71" i="45" s="1"/>
  <c r="E22" i="45" a="1"/>
  <c r="E22" i="45" s="1"/>
  <c r="D22" i="45" s="1"/>
  <c r="AA15" i="85"/>
  <c r="Z15" i="85"/>
  <c r="Y15" i="85"/>
  <c r="D51" i="79"/>
  <c r="CB27" i="85"/>
  <c r="CE27" i="85"/>
  <c r="CD27" i="85"/>
  <c r="CC27" i="85"/>
  <c r="AA7" i="85"/>
  <c r="S7" i="85"/>
  <c r="AD7" i="85"/>
  <c r="V7" i="85"/>
  <c r="U7" i="85"/>
  <c r="T7" i="85"/>
  <c r="AC7" i="85"/>
  <c r="R7" i="85"/>
  <c r="AB7" i="85"/>
  <c r="Q7" i="85"/>
  <c r="Z7" i="85"/>
  <c r="BB9" i="85"/>
  <c r="AO999" i="71"/>
  <c r="AG999" i="71" a="1"/>
  <c r="AG999" i="71" s="1"/>
  <c r="AL999" i="71" s="1"/>
  <c r="AS1000" i="71" a="1"/>
  <c r="AS1000" i="71" s="1"/>
  <c r="AT1000" i="71" a="1"/>
  <c r="AT1000" i="71" s="1"/>
  <c r="AC14" i="85"/>
  <c r="AD18" i="85"/>
  <c r="AC18" i="85"/>
  <c r="AB18" i="85"/>
  <c r="AI25" i="85"/>
  <c r="W7" i="85"/>
  <c r="CD1000" i="71"/>
  <c r="BH3" i="85"/>
  <c r="BI3" i="85"/>
  <c r="P5" i="85"/>
  <c r="O5" i="85"/>
  <c r="BU19" i="85"/>
  <c r="BX19" i="85"/>
  <c r="BW19" i="85"/>
  <c r="J37" i="85"/>
  <c r="J39" i="85" s="1"/>
  <c r="J32" i="85"/>
  <c r="AG1000" i="71" a="1"/>
  <c r="AG1000" i="71" s="1"/>
  <c r="AL1000" i="71" s="1"/>
  <c r="AO1000" i="71"/>
  <c r="BG3" i="85"/>
  <c r="BJ3" i="85"/>
  <c r="BF3" i="85"/>
  <c r="BE3" i="85"/>
  <c r="BM3" i="85"/>
  <c r="BL3" i="85"/>
  <c r="BS15" i="85"/>
  <c r="BR15" i="85"/>
  <c r="BL10" i="85"/>
  <c r="BM10" i="85"/>
  <c r="AB14" i="85"/>
  <c r="AA14" i="85"/>
  <c r="Z14" i="85"/>
  <c r="Y14" i="85"/>
  <c r="X14" i="85"/>
  <c r="J16" i="85"/>
  <c r="CE29" i="85"/>
  <c r="CD29" i="85"/>
  <c r="AI23" i="85"/>
  <c r="AH23" i="85"/>
  <c r="AG23" i="85"/>
  <c r="E68" i="79" a="1"/>
  <c r="E68" i="79" s="1"/>
  <c r="D68" i="79" s="1"/>
  <c r="BB12" i="85"/>
  <c r="J26" i="85" a="1"/>
  <c r="J26" i="85" s="1"/>
  <c r="AJ21" i="85"/>
  <c r="AI21" i="85"/>
  <c r="AE21" i="85"/>
  <c r="AR29" i="85"/>
  <c r="AQ29" i="85"/>
  <c r="J28" i="85"/>
  <c r="AU29" i="85"/>
  <c r="AM29" i="85"/>
  <c r="AT29" i="85"/>
  <c r="AL29" i="85"/>
  <c r="AS29" i="85"/>
  <c r="AN29" i="85"/>
  <c r="AW41" i="85"/>
  <c r="E66" i="79" a="1"/>
  <c r="E66" i="79" s="1"/>
  <c r="D66" i="79" s="1"/>
  <c r="I999" i="71" a="1"/>
  <c r="I999" i="71" s="1"/>
  <c r="BB18" i="85"/>
  <c r="BP13" i="85"/>
  <c r="AJ27" i="85"/>
  <c r="AO29" i="85"/>
  <c r="N4" i="85"/>
  <c r="BQ13" i="85"/>
  <c r="BS16" i="85"/>
  <c r="AF21" i="85"/>
  <c r="AI24" i="85"/>
  <c r="AH24" i="85"/>
  <c r="AP29" i="85"/>
  <c r="F182" i="100"/>
  <c r="H182" i="100"/>
  <c r="B1" i="104" a="1"/>
  <c r="B1" i="104" s="1"/>
  <c r="C1" i="104" s="1"/>
  <c r="B1" i="89" a="1"/>
  <c r="B1" i="89" s="1"/>
  <c r="C1" i="89" s="1"/>
  <c r="AR30" i="85"/>
  <c r="AS31" i="85"/>
  <c r="BB21" i="85"/>
  <c r="AS30" i="85"/>
  <c r="BM5" i="85"/>
  <c r="X13" i="85"/>
  <c r="Q20" i="38" l="1" a="1"/>
  <c r="Q20" i="38" s="1"/>
  <c r="Q66" i="38" a="1"/>
  <c r="Q66" i="38" s="1"/>
  <c r="U66" i="38" a="1"/>
  <c r="U66" i="38" s="1"/>
  <c r="V66" i="38" s="1"/>
  <c r="U20" i="38" a="1"/>
  <c r="U20" i="38" s="1"/>
  <c r="V20" i="38" s="1"/>
  <c r="AS16" i="44" a="1"/>
  <c r="AS16" i="44" s="1"/>
  <c r="AT16" i="44" a="1"/>
  <c r="AT16" i="44" s="1"/>
  <c r="AN16" i="44" a="1"/>
  <c r="AN16" i="44" s="1"/>
  <c r="AU16" i="44" a="1"/>
  <c r="AU16" i="44" s="1"/>
  <c r="AO16" i="44" a="1"/>
  <c r="AO16" i="44" s="1"/>
  <c r="AP16" i="44" a="1"/>
  <c r="AP16" i="44" s="1"/>
  <c r="AQ16" i="44" a="1"/>
  <c r="AQ16" i="44" s="1"/>
  <c r="AT15" i="44" a="1"/>
  <c r="AT15" i="44" s="1"/>
  <c r="AS15" i="44" a="1"/>
  <c r="AS15" i="44" s="1"/>
  <c r="AN15" i="44" a="1"/>
  <c r="AN15" i="44" s="1"/>
  <c r="AU15" i="44" a="1"/>
  <c r="AU15" i="44" s="1"/>
  <c r="AO15" i="44" a="1"/>
  <c r="AO15" i="44" s="1"/>
  <c r="AP15" i="44" a="1"/>
  <c r="AP15" i="44" s="1"/>
  <c r="AQ15" i="44" a="1"/>
  <c r="AQ15" i="44" s="1"/>
  <c r="AC22" i="43" a="1"/>
  <c r="AC22" i="43" s="1"/>
  <c r="P8" i="101"/>
  <c r="Q8" i="101" s="1"/>
  <c r="AR81" i="38" s="1"/>
  <c r="X23" i="43" a="1"/>
  <c r="X23" i="43" s="1"/>
  <c r="Y23" i="43" a="1"/>
  <c r="Y23" i="43" s="1"/>
  <c r="Z23" i="43" a="1"/>
  <c r="Z23" i="43" s="1"/>
  <c r="U110" i="38" a="1"/>
  <c r="U110" i="38" s="1"/>
  <c r="V110" i="38" s="1"/>
  <c r="U116" i="38" a="1"/>
  <c r="U116" i="38" s="1"/>
  <c r="V116" i="38" s="1"/>
  <c r="U84" i="38" a="1"/>
  <c r="U84" i="38" s="1"/>
  <c r="V84" i="38" s="1"/>
  <c r="U125" i="38" a="1"/>
  <c r="U125" i="38" s="1"/>
  <c r="V125" i="38" s="1"/>
  <c r="Q110" i="38" a="1"/>
  <c r="Q110" i="38" s="1"/>
  <c r="Q84" i="38" a="1"/>
  <c r="Q84" i="38" s="1"/>
  <c r="Q125" i="38" a="1"/>
  <c r="Q125" i="38" s="1"/>
  <c r="Q116" i="38" a="1"/>
  <c r="Q116" i="38" s="1"/>
  <c r="AA23" i="43" a="1"/>
  <c r="AA23" i="43" s="1"/>
  <c r="AD23" i="43" s="1"/>
  <c r="AR123" i="38"/>
  <c r="AU123" i="38" s="1"/>
  <c r="AV123" i="38" s="1" a="1"/>
  <c r="AV123" i="38" s="1"/>
  <c r="AX123" i="38" s="1"/>
  <c r="AU122" i="38"/>
  <c r="AV122" i="38" s="1" a="1"/>
  <c r="AV122" i="38" s="1"/>
  <c r="AX122" i="38" s="1"/>
  <c r="AS14" i="44" a="1"/>
  <c r="AS14" i="44" s="1"/>
  <c r="AT14" i="44" a="1"/>
  <c r="AT14" i="44" s="1"/>
  <c r="AO14" i="44" a="1"/>
  <c r="AO14" i="44" s="1"/>
  <c r="AU14" i="44" a="1"/>
  <c r="AU14" i="44" s="1"/>
  <c r="AP14" i="44" a="1"/>
  <c r="AP14" i="44" s="1"/>
  <c r="AQ14" i="44" a="1"/>
  <c r="AQ14" i="44" s="1"/>
  <c r="AN14" i="44" a="1"/>
  <c r="AN14" i="44" s="1"/>
  <c r="AS13" i="44" a="1"/>
  <c r="AS13" i="44" s="1"/>
  <c r="AP13" i="44" a="1"/>
  <c r="AP13" i="44" s="1"/>
  <c r="AQ13" i="44" a="1"/>
  <c r="AQ13" i="44" s="1"/>
  <c r="AT13" i="44" a="1"/>
  <c r="AT13" i="44" s="1"/>
  <c r="AO13" i="44" a="1"/>
  <c r="AO13" i="44" s="1"/>
  <c r="AU13" i="44" a="1"/>
  <c r="AU13" i="44" s="1"/>
  <c r="AN13" i="44" a="1"/>
  <c r="AN13" i="44" s="1"/>
  <c r="Q170" i="38" a="1"/>
  <c r="Q170" i="38" s="1"/>
  <c r="Q143" i="38" a="1"/>
  <c r="Q143" i="38" s="1"/>
  <c r="Q168" i="38" a="1"/>
  <c r="Q168" i="38" s="1"/>
  <c r="Q141" i="38" a="1"/>
  <c r="Q141" i="38" s="1"/>
  <c r="Q166" i="38" a="1"/>
  <c r="Q166" i="38" s="1"/>
  <c r="Q156" i="38" a="1"/>
  <c r="Q156" i="38" s="1"/>
  <c r="Q172" i="38" a="1"/>
  <c r="Q172" i="38" s="1"/>
  <c r="Q139" i="38" a="1"/>
  <c r="Q139" i="38" s="1"/>
  <c r="Q183" i="38" a="1"/>
  <c r="Q183" i="38" s="1"/>
  <c r="Q154" i="38" a="1"/>
  <c r="Q154" i="38" s="1"/>
  <c r="Q181" i="38" a="1"/>
  <c r="Q181" i="38" s="1"/>
  <c r="Q152" i="38" a="1"/>
  <c r="Q152" i="38" s="1"/>
  <c r="Q179" i="38" a="1"/>
  <c r="Q179" i="38" s="1"/>
  <c r="Q150" i="38" a="1"/>
  <c r="Q150" i="38" s="1"/>
  <c r="Q177" i="38" a="1"/>
  <c r="Q177" i="38" s="1"/>
  <c r="Q145" i="38" a="1"/>
  <c r="Q145" i="38" s="1"/>
  <c r="U172" i="38" a="1"/>
  <c r="U172" i="38" s="1"/>
  <c r="V172" i="38" s="1"/>
  <c r="U181" i="38" a="1"/>
  <c r="U181" i="38" s="1"/>
  <c r="V181" i="38" s="1"/>
  <c r="U141" i="38" a="1"/>
  <c r="U141" i="38" s="1"/>
  <c r="V141" i="38" s="1"/>
  <c r="U156" i="38" a="1"/>
  <c r="U156" i="38" s="1"/>
  <c r="V156" i="38" s="1"/>
  <c r="U168" i="38" a="1"/>
  <c r="U168" i="38" s="1"/>
  <c r="V168" i="38" s="1"/>
  <c r="U170" i="38" a="1"/>
  <c r="U170" i="38" s="1"/>
  <c r="V170" i="38" s="1"/>
  <c r="U139" i="38" a="1"/>
  <c r="U139" i="38" s="1"/>
  <c r="V139" i="38" s="1"/>
  <c r="U143" i="38" a="1"/>
  <c r="U143" i="38" s="1"/>
  <c r="V143" i="38" s="1"/>
  <c r="U145" i="38" a="1"/>
  <c r="U145" i="38" s="1"/>
  <c r="V145" i="38" s="1"/>
  <c r="U152" i="38" a="1"/>
  <c r="U152" i="38" s="1"/>
  <c r="V152" i="38" s="1"/>
  <c r="U154" i="38" a="1"/>
  <c r="U154" i="38" s="1"/>
  <c r="V154" i="38" s="1"/>
  <c r="U177" i="38" a="1"/>
  <c r="U177" i="38" s="1"/>
  <c r="V177" i="38" s="1"/>
  <c r="U166" i="38" a="1"/>
  <c r="U166" i="38" s="1"/>
  <c r="V166" i="38" s="1"/>
  <c r="U150" i="38" a="1"/>
  <c r="U150" i="38" s="1"/>
  <c r="V150" i="38" s="1"/>
  <c r="U179" i="38" a="1"/>
  <c r="U179" i="38" s="1"/>
  <c r="V179" i="38" s="1"/>
  <c r="U183" i="38" a="1"/>
  <c r="U183" i="38" s="1"/>
  <c r="V183" i="38" s="1"/>
  <c r="U35" i="38" a="1"/>
  <c r="U35" i="38" s="1"/>
  <c r="V35" i="38" s="1"/>
  <c r="U45" i="38" a="1"/>
  <c r="U45" i="38" s="1"/>
  <c r="V45" i="38" s="1"/>
  <c r="U103" i="38" a="1"/>
  <c r="U103" i="38" s="1"/>
  <c r="V103" i="38" s="1"/>
  <c r="U41" i="38" a="1"/>
  <c r="U41" i="38" s="1"/>
  <c r="V41" i="38" s="1"/>
  <c r="U106" i="38" a="1"/>
  <c r="U106" i="38" s="1"/>
  <c r="V106" i="38" s="1"/>
  <c r="U33" i="38" a="1"/>
  <c r="U33" i="38" s="1"/>
  <c r="V33" i="38" s="1"/>
  <c r="U47" i="38" a="1"/>
  <c r="U47" i="38" s="1"/>
  <c r="V47" i="38" s="1"/>
  <c r="U42" i="38" a="1"/>
  <c r="U42" i="38" s="1"/>
  <c r="V42" i="38" s="1"/>
  <c r="U29" i="38" a="1"/>
  <c r="U29" i="38" s="1"/>
  <c r="V29" i="38" s="1"/>
  <c r="U30" i="38" a="1"/>
  <c r="U30" i="38" s="1"/>
  <c r="V30" i="38" s="1"/>
  <c r="U108" i="38" a="1"/>
  <c r="U108" i="38" s="1"/>
  <c r="V108" i="38" s="1"/>
  <c r="Q35" i="38" a="1"/>
  <c r="Q35" i="38" s="1"/>
  <c r="Q106" i="38" a="1"/>
  <c r="Q106" i="38" s="1"/>
  <c r="Q30" i="38" a="1"/>
  <c r="Q30" i="38" s="1"/>
  <c r="Q108" i="38" a="1"/>
  <c r="Q108" i="38" s="1"/>
  <c r="Q45" i="38" a="1"/>
  <c r="Q45" i="38" s="1"/>
  <c r="Q42" i="38" a="1"/>
  <c r="Q42" i="38" s="1"/>
  <c r="Q47" i="38" a="1"/>
  <c r="Q47" i="38" s="1"/>
  <c r="Q33" i="38" a="1"/>
  <c r="Q33" i="38" s="1"/>
  <c r="Q103" i="38" a="1"/>
  <c r="Q103" i="38" s="1"/>
  <c r="Q41" i="38" a="1"/>
  <c r="Q41" i="38" s="1"/>
  <c r="Q29" i="38" a="1"/>
  <c r="Q29" i="38" s="1"/>
  <c r="AA22" i="43" a="1"/>
  <c r="AA22" i="43" s="1"/>
  <c r="AQ12" i="44" a="1"/>
  <c r="AQ12" i="44" s="1"/>
  <c r="AO12" i="44" a="1"/>
  <c r="AO12" i="44" s="1"/>
  <c r="AU12" i="44" a="1"/>
  <c r="AU12" i="44" s="1"/>
  <c r="AP12" i="44" a="1"/>
  <c r="AP12" i="44" s="1"/>
  <c r="AS12" i="44" a="1"/>
  <c r="AS12" i="44" s="1"/>
  <c r="AN12" i="44" a="1"/>
  <c r="AN12" i="44" s="1"/>
  <c r="AT12" i="44" a="1"/>
  <c r="AT12" i="44" s="1"/>
  <c r="AQ11" i="44" a="1"/>
  <c r="AQ11" i="44" s="1"/>
  <c r="AN11" i="44" a="1"/>
  <c r="AN11" i="44" s="1"/>
  <c r="AO11" i="44" a="1"/>
  <c r="AO11" i="44" s="1"/>
  <c r="AU11" i="44" a="1"/>
  <c r="AU11" i="44" s="1"/>
  <c r="AP11" i="44" a="1"/>
  <c r="AP11" i="44" s="1"/>
  <c r="AS11" i="44" a="1"/>
  <c r="AS11" i="44" s="1"/>
  <c r="AT11" i="44" a="1"/>
  <c r="AT11" i="44" s="1"/>
  <c r="Z22" i="43" a="1"/>
  <c r="Z22" i="43" s="1"/>
  <c r="X22" i="43" a="1"/>
  <c r="X22" i="43" s="1"/>
  <c r="Y22" i="43" a="1"/>
  <c r="Y22" i="43" s="1"/>
  <c r="AO10" i="44" a="1"/>
  <c r="AO10" i="44" s="1"/>
  <c r="AQ10" i="44" a="1"/>
  <c r="AQ10" i="44" s="1"/>
  <c r="AS10" i="44" a="1"/>
  <c r="AS10" i="44" s="1"/>
  <c r="AN10" i="44" a="1"/>
  <c r="AN10" i="44" s="1"/>
  <c r="AT10" i="44" a="1"/>
  <c r="AT10" i="44" s="1"/>
  <c r="AU10" i="44" a="1"/>
  <c r="AU10" i="44" s="1"/>
  <c r="AP10" i="44" a="1"/>
  <c r="AP10" i="44" s="1"/>
  <c r="AT9" i="44" a="1"/>
  <c r="AT9" i="44" s="1"/>
  <c r="AO9" i="44" a="1"/>
  <c r="AO9" i="44" s="1"/>
  <c r="AU9" i="44" a="1"/>
  <c r="AU9" i="44" s="1"/>
  <c r="AP9" i="44" a="1"/>
  <c r="AP9" i="44" s="1"/>
  <c r="AQ9" i="44" a="1"/>
  <c r="AQ9" i="44" s="1"/>
  <c r="AS9" i="44" a="1"/>
  <c r="AS9" i="44" s="1"/>
  <c r="AN9" i="44" a="1"/>
  <c r="AN9" i="44" s="1"/>
  <c r="AT8" i="44" a="1"/>
  <c r="AT8" i="44" s="1"/>
  <c r="AO8" i="44" a="1"/>
  <c r="AO8" i="44" s="1"/>
  <c r="AU8" i="44" a="1"/>
  <c r="AU8" i="44" s="1"/>
  <c r="AP8" i="44" a="1"/>
  <c r="AP8" i="44" s="1"/>
  <c r="AQ8" i="44" a="1"/>
  <c r="AQ8" i="44" s="1"/>
  <c r="AS8" i="44" a="1"/>
  <c r="AS8" i="44" s="1"/>
  <c r="AN8" i="44" a="1"/>
  <c r="AN8" i="44" s="1"/>
  <c r="Q90" i="38" a="1"/>
  <c r="Q90" i="38" s="1"/>
  <c r="Q161" i="38" a="1"/>
  <c r="Q161" i="38" s="1"/>
  <c r="AC20" i="43" a="1"/>
  <c r="AC20" i="43" s="1"/>
  <c r="AA20" i="43" a="1"/>
  <c r="AA20" i="43" s="1"/>
  <c r="AC21" i="43" a="1"/>
  <c r="AC21" i="43" s="1"/>
  <c r="U90" i="38" a="1"/>
  <c r="U90" i="38" s="1"/>
  <c r="V90" i="38" s="1"/>
  <c r="U161" i="38" a="1"/>
  <c r="U161" i="38" s="1"/>
  <c r="V161" i="38" s="1"/>
  <c r="N6" i="50" a="1"/>
  <c r="N6" i="50" s="1"/>
  <c r="D15" i="38" a="1"/>
  <c r="D15" i="38" s="1"/>
  <c r="AA21" i="43" a="1"/>
  <c r="AA21" i="43" s="1"/>
  <c r="Y21" i="43" a="1"/>
  <c r="Y21" i="43" s="1"/>
  <c r="X21" i="43" a="1"/>
  <c r="X21" i="43" s="1"/>
  <c r="Z21" i="43" a="1"/>
  <c r="Z21" i="43" s="1"/>
  <c r="AS7" i="44" a="1"/>
  <c r="AS7" i="44" s="1"/>
  <c r="AT7" i="44" a="1"/>
  <c r="AT7" i="44" s="1"/>
  <c r="AO7" i="44" a="1"/>
  <c r="AO7" i="44" s="1"/>
  <c r="AU7" i="44" a="1"/>
  <c r="AU7" i="44" s="1"/>
  <c r="AP7" i="44" a="1"/>
  <c r="AP7" i="44" s="1"/>
  <c r="AQ7" i="44" a="1"/>
  <c r="AQ7" i="44" s="1"/>
  <c r="AN7" i="44" a="1"/>
  <c r="AN7" i="44" s="1"/>
  <c r="Y20" i="43" a="1"/>
  <c r="Y20" i="43" s="1"/>
  <c r="Z20" i="43" a="1"/>
  <c r="Z20" i="43" s="1"/>
  <c r="X20" i="43" a="1"/>
  <c r="X20" i="43" s="1"/>
  <c r="AA19" i="43" a="1"/>
  <c r="AA19" i="43" s="1"/>
  <c r="AC19" i="43" a="1"/>
  <c r="AC19" i="43" s="1"/>
  <c r="X19" i="43" a="1"/>
  <c r="X19" i="43" s="1"/>
  <c r="Z19" i="43" a="1"/>
  <c r="Z19" i="43" s="1"/>
  <c r="Y19" i="43" a="1"/>
  <c r="Y19" i="43" s="1"/>
  <c r="AC16" i="43" a="1"/>
  <c r="AC16" i="43" s="1"/>
  <c r="AA16" i="43" a="1"/>
  <c r="AA16" i="43" s="1"/>
  <c r="AC17" i="43" a="1"/>
  <c r="AC17" i="43" s="1"/>
  <c r="AC18" i="43" a="1"/>
  <c r="AC18" i="43" s="1"/>
  <c r="AA17" i="43" a="1"/>
  <c r="AA17" i="43" s="1"/>
  <c r="AA18" i="43" a="1"/>
  <c r="AA18" i="43" s="1"/>
  <c r="Z18" i="43" a="1"/>
  <c r="Z18" i="43" s="1"/>
  <c r="X18" i="43" a="1"/>
  <c r="X18" i="43" s="1"/>
  <c r="Y18" i="43" a="1"/>
  <c r="Y18" i="43" s="1"/>
  <c r="Z17" i="43" a="1"/>
  <c r="Z17" i="43" s="1"/>
  <c r="X17" i="43" a="1"/>
  <c r="X17" i="43" s="1"/>
  <c r="Y17" i="43" a="1"/>
  <c r="Y17" i="43" s="1"/>
  <c r="X16" i="43" a="1"/>
  <c r="X16" i="43" s="1"/>
  <c r="Y16" i="43" a="1"/>
  <c r="Y16" i="43" s="1"/>
  <c r="Z16" i="43" a="1"/>
  <c r="Z16" i="43" s="1"/>
  <c r="Y15" i="43" a="1"/>
  <c r="Y15" i="43" s="1"/>
  <c r="X13" i="43" a="1"/>
  <c r="X13" i="43" s="1"/>
  <c r="Y13" i="43" a="1"/>
  <c r="Y13" i="43" s="1"/>
  <c r="X14" i="43" a="1"/>
  <c r="X14" i="43" s="1"/>
  <c r="Z15" i="43" a="1"/>
  <c r="Z15" i="43" s="1"/>
  <c r="Y14" i="43" a="1"/>
  <c r="Y14" i="43" s="1"/>
  <c r="Z14" i="43" a="1"/>
  <c r="Z14" i="43" s="1"/>
  <c r="X15" i="43" a="1"/>
  <c r="X15" i="43" s="1"/>
  <c r="Z13" i="43" a="1"/>
  <c r="Z13" i="43" s="1"/>
  <c r="AC13" i="43" a="1"/>
  <c r="AC13" i="43" s="1"/>
  <c r="AC14" i="43" a="1"/>
  <c r="AC14" i="43" s="1"/>
  <c r="AC15" i="43" a="1"/>
  <c r="AC15" i="43" s="1"/>
  <c r="AA13" i="43" a="1"/>
  <c r="AA13" i="43" s="1"/>
  <c r="AA14" i="43" a="1"/>
  <c r="AA14" i="43" s="1"/>
  <c r="AA15" i="43" a="1"/>
  <c r="AA15" i="43" s="1"/>
  <c r="AC12" i="43" a="1"/>
  <c r="AC12" i="43" s="1"/>
  <c r="AA12" i="43" a="1"/>
  <c r="AA12" i="43" s="1"/>
  <c r="Z12" i="43" a="1"/>
  <c r="Z12" i="43" s="1"/>
  <c r="Y12" i="43" a="1"/>
  <c r="Y12" i="43" s="1"/>
  <c r="X12" i="43" a="1"/>
  <c r="X12" i="43" s="1"/>
  <c r="AC11" i="43" a="1"/>
  <c r="AC11" i="43" s="1"/>
  <c r="AA11" i="43" a="1"/>
  <c r="AA11" i="43" s="1"/>
  <c r="Z11" i="43" a="1"/>
  <c r="Z11" i="43" s="1"/>
  <c r="Y11" i="43" a="1"/>
  <c r="Y11" i="43" s="1"/>
  <c r="X11" i="43" a="1"/>
  <c r="X11" i="43" s="1"/>
  <c r="Z10" i="43" a="1"/>
  <c r="Z10" i="43" s="1"/>
  <c r="X10" i="43" a="1"/>
  <c r="X10" i="43" s="1"/>
  <c r="Y10" i="43" a="1"/>
  <c r="Y10" i="43" s="1"/>
  <c r="AA8" i="43" a="1"/>
  <c r="AA8" i="43" s="1"/>
  <c r="AA9" i="43" a="1"/>
  <c r="AA9" i="43" s="1"/>
  <c r="AC10" i="43" a="1"/>
  <c r="AC10" i="43" s="1"/>
  <c r="AD10" i="43" s="1"/>
  <c r="AC8" i="43" a="1"/>
  <c r="AC8" i="43" s="1"/>
  <c r="AC9" i="43" a="1"/>
  <c r="AC9" i="43" s="1"/>
  <c r="Z9" i="43" a="1"/>
  <c r="Z9" i="43" s="1"/>
  <c r="X9" i="43" a="1"/>
  <c r="X9" i="43" s="1"/>
  <c r="Y9" i="43" a="1"/>
  <c r="Y9" i="43" s="1"/>
  <c r="X8" i="43" a="1"/>
  <c r="X8" i="43" s="1"/>
  <c r="Y8" i="43" a="1"/>
  <c r="Y8" i="43" s="1"/>
  <c r="Z8" i="43" a="1"/>
  <c r="Z8" i="43" s="1"/>
  <c r="N7" i="50" a="1"/>
  <c r="N7" i="50" s="1"/>
  <c r="D49" i="38" s="1" a="1"/>
  <c r="D49" i="38" s="1"/>
  <c r="N5" i="50" a="1"/>
  <c r="N5" i="50" s="1"/>
  <c r="CQ185" i="38" a="1"/>
  <c r="CQ185" i="38" s="1"/>
  <c r="CB185" i="38"/>
  <c r="CN185" i="38" s="1" a="1"/>
  <c r="CN185" i="38" s="1"/>
  <c r="CR185" i="38" s="1" a="1"/>
  <c r="CR185" i="38" s="1"/>
  <c r="CC185" i="38"/>
  <c r="CP185" i="38" s="1" a="1"/>
  <c r="CP185" i="38" s="1"/>
  <c r="CS185" i="38" s="1" a="1"/>
  <c r="CS185" i="38" s="1"/>
  <c r="CK187" i="38" a="1"/>
  <c r="CK187" i="38" s="1"/>
  <c r="CK188" i="38" a="1"/>
  <c r="CK188" i="38" s="1"/>
  <c r="CK186" i="38" a="1"/>
  <c r="CK186" i="38" s="1"/>
  <c r="BW185" i="38"/>
  <c r="D47" i="45"/>
  <c r="CA1002" i="71" a="1"/>
  <c r="CA1002" i="71" s="1"/>
  <c r="CH1002" i="71" s="1"/>
  <c r="CG1002" i="71" a="1"/>
  <c r="CG1002" i="71" s="1"/>
  <c r="CK1002" i="71" a="1"/>
  <c r="CK1002" i="71" s="1"/>
  <c r="CG1001" i="71" a="1"/>
  <c r="CG1001" i="71" s="1"/>
  <c r="CK1001" i="71" a="1"/>
  <c r="CK1001" i="71" s="1"/>
  <c r="CA1001" i="71" a="1"/>
  <c r="CA1001" i="71" s="1"/>
  <c r="CH1001" i="71" s="1"/>
  <c r="M6" i="101"/>
  <c r="N6" i="101"/>
  <c r="O6" i="101"/>
  <c r="P6" i="101" s="1"/>
  <c r="Q6" i="101" s="1"/>
  <c r="AR113" i="38" s="1"/>
  <c r="AR114" i="38" s="1"/>
  <c r="CZ999" i="71"/>
  <c r="D52" i="45"/>
  <c r="E16" i="193"/>
  <c r="M16" i="193" s="1"/>
  <c r="AU999" i="71"/>
  <c r="BM999" i="71" s="1"/>
  <c r="DM999" i="71" s="1"/>
  <c r="J6" i="85" a="1"/>
  <c r="J6" i="85" s="1"/>
  <c r="G6" i="85" s="1"/>
  <c r="H6" i="85" s="1"/>
  <c r="E17" i="193"/>
  <c r="M17" i="193" s="1"/>
  <c r="E15" i="193"/>
  <c r="M15" i="193" s="1"/>
  <c r="E14" i="193"/>
  <c r="M14" i="193" s="1"/>
  <c r="E13" i="193"/>
  <c r="M13" i="193" s="1"/>
  <c r="D79" i="45"/>
  <c r="C8" i="38" s="1"/>
  <c r="AA12" i="85"/>
  <c r="O3" i="85"/>
  <c r="BX22" i="85"/>
  <c r="AD12" i="85"/>
  <c r="P3" i="85"/>
  <c r="M3" i="85"/>
  <c r="X12" i="85"/>
  <c r="AB12" i="85"/>
  <c r="BJ4" i="85"/>
  <c r="V12" i="85"/>
  <c r="D50" i="45"/>
  <c r="BY24" i="85"/>
  <c r="D44" i="45"/>
  <c r="AA7" i="43" a="1"/>
  <c r="AA7" i="43" s="1"/>
  <c r="BG4" i="85"/>
  <c r="BF4" i="85"/>
  <c r="BH4" i="85"/>
  <c r="BI4" i="85"/>
  <c r="BK4" i="85"/>
  <c r="T10" i="85"/>
  <c r="BL4" i="85"/>
  <c r="D48" i="45"/>
  <c r="D45" i="45"/>
  <c r="D51" i="45"/>
  <c r="AC7" i="43" a="1"/>
  <c r="AC7" i="43" s="1"/>
  <c r="AS35" i="85"/>
  <c r="Z7" i="43" a="1"/>
  <c r="Z7" i="43" s="1"/>
  <c r="AC12" i="85"/>
  <c r="Z12" i="85"/>
  <c r="Y12" i="85"/>
  <c r="W12" i="85"/>
  <c r="BU20" i="85"/>
  <c r="BV20" i="85"/>
  <c r="BX20" i="85"/>
  <c r="BW20" i="85"/>
  <c r="D49" i="79"/>
  <c r="D46" i="45"/>
  <c r="D43" i="79"/>
  <c r="D43" i="45"/>
  <c r="CG999" i="71" a="1"/>
  <c r="CG999" i="71" s="1"/>
  <c r="CA999" i="71" a="1"/>
  <c r="CA999" i="71" s="1"/>
  <c r="CH999" i="71" s="1"/>
  <c r="DA999" i="71"/>
  <c r="AP1000" i="71"/>
  <c r="BD1000" i="71" s="1"/>
  <c r="DB999" i="71"/>
  <c r="DF999" i="71"/>
  <c r="G39" i="85"/>
  <c r="H39" i="85" s="1"/>
  <c r="AV39" i="85"/>
  <c r="AA16" i="85"/>
  <c r="Z16" i="85"/>
  <c r="D46" i="79"/>
  <c r="K7" i="43"/>
  <c r="AK28" i="85"/>
  <c r="G28" i="85"/>
  <c r="H28" i="85" s="1"/>
  <c r="CW999" i="71"/>
  <c r="AY1000" i="71" a="1"/>
  <c r="AY1000" i="71" s="1"/>
  <c r="AZ1000" i="71" s="1"/>
  <c r="AU1000" i="71"/>
  <c r="X7" i="43" a="1"/>
  <c r="X7" i="43" s="1"/>
  <c r="F6" i="193" a="1"/>
  <c r="F6" i="193" s="1"/>
  <c r="F7" i="193" a="1"/>
  <c r="F7" i="193" s="1"/>
  <c r="F5" i="193" a="1"/>
  <c r="F5" i="193" s="1"/>
  <c r="BZ18" i="85"/>
  <c r="BY18" i="85"/>
  <c r="BU18" i="85"/>
  <c r="BT18" i="85"/>
  <c r="BB17" i="85"/>
  <c r="BX18" i="85"/>
  <c r="BW18" i="85"/>
  <c r="BV18" i="85"/>
  <c r="AI26" i="85"/>
  <c r="G26" i="85"/>
  <c r="H26" i="85" s="1"/>
  <c r="J17" i="85" a="1"/>
  <c r="J17" i="85" s="1"/>
  <c r="AD20" i="85"/>
  <c r="G20" i="85"/>
  <c r="H20" i="85" s="1"/>
  <c r="BT12" i="85"/>
  <c r="BW12" i="85"/>
  <c r="BO12" i="85"/>
  <c r="BB26" i="85"/>
  <c r="BX12" i="85"/>
  <c r="BV12" i="85"/>
  <c r="BU12" i="85"/>
  <c r="BS12" i="85"/>
  <c r="BR12" i="85"/>
  <c r="BB11" i="85"/>
  <c r="BY12" i="85"/>
  <c r="BQ12" i="85"/>
  <c r="BP12" i="85"/>
  <c r="BN12" i="85"/>
  <c r="BZ12" i="85"/>
  <c r="AP999" i="71"/>
  <c r="D49" i="45"/>
  <c r="B1" i="100" a="1"/>
  <c r="B1" i="100" s="1"/>
  <c r="C1" i="100" s="1"/>
  <c r="CX999" i="71"/>
  <c r="BM9" i="85"/>
  <c r="BL9" i="85"/>
  <c r="BK9" i="85"/>
  <c r="CY999" i="71"/>
  <c r="CO998" i="71" a="1"/>
  <c r="CO998" i="71" s="1"/>
  <c r="BZ998" i="71" a="1"/>
  <c r="BZ998" i="71" s="1"/>
  <c r="D998" i="71" a="1"/>
  <c r="D998" i="71" s="1"/>
  <c r="BW998" i="71" s="1"/>
  <c r="BX998" i="71" a="1"/>
  <c r="BX998" i="71" s="1"/>
  <c r="CM998" i="71" a="1"/>
  <c r="CM998" i="71" s="1"/>
  <c r="CL998" i="71" a="1"/>
  <c r="CL998" i="71" s="1"/>
  <c r="CF998" i="71" s="1" a="1"/>
  <c r="CF998" i="71" s="1"/>
  <c r="BX21" i="85"/>
  <c r="BW21" i="85"/>
  <c r="BV21" i="85"/>
  <c r="CG1000" i="71" a="1"/>
  <c r="CG1000" i="71" s="1"/>
  <c r="CK1000" i="71" a="1"/>
  <c r="CK1000" i="71" s="1"/>
  <c r="CA1000" i="71" a="1"/>
  <c r="CA1000" i="71" s="1"/>
  <c r="CH1000" i="71" s="1"/>
  <c r="O5" i="101"/>
  <c r="P5" i="101" s="1"/>
  <c r="Q5" i="101" s="1"/>
  <c r="N5" i="101"/>
  <c r="J5" i="101"/>
  <c r="M5" i="101"/>
  <c r="AP32" i="85"/>
  <c r="AO32" i="85"/>
  <c r="AS32" i="85"/>
  <c r="AR32" i="85"/>
  <c r="AQ32" i="85"/>
  <c r="BB23" i="85"/>
  <c r="AV37" i="85"/>
  <c r="J36" i="85" a="1"/>
  <c r="J36" i="85" s="1"/>
  <c r="AU37" i="85"/>
  <c r="AT37" i="85"/>
  <c r="S7" i="43"/>
  <c r="AD22" i="43" l="1"/>
  <c r="W23" i="43"/>
  <c r="CK21" i="38" a="1"/>
  <c r="CK21" i="38" s="1"/>
  <c r="DB21" i="38" s="1"/>
  <c r="P20" i="38" a="1"/>
  <c r="P20" i="38" s="1"/>
  <c r="AR16" i="44" a="1"/>
  <c r="AR16" i="44" s="1"/>
  <c r="AX16" i="44" s="1" a="1"/>
  <c r="AX16" i="44" s="1"/>
  <c r="AM20" i="38" s="1" a="1"/>
  <c r="AM20" i="38" s="1"/>
  <c r="DG21" i="38"/>
  <c r="CK23" i="38" a="1"/>
  <c r="CK23" i="38" s="1"/>
  <c r="DM23" i="38" s="1"/>
  <c r="CK22" i="38" a="1"/>
  <c r="CK22" i="38" s="1"/>
  <c r="CK69" i="38" a="1"/>
  <c r="CK69" i="38" s="1"/>
  <c r="DC69" i="38" s="1"/>
  <c r="P66" i="38" a="1"/>
  <c r="P66" i="38" s="1"/>
  <c r="AR15" i="44" a="1"/>
  <c r="AR15" i="44" s="1"/>
  <c r="AX15" i="44" s="1" a="1"/>
  <c r="AX15" i="44" s="1"/>
  <c r="AM66" i="38" s="1" a="1"/>
  <c r="AM66" i="38" s="1"/>
  <c r="CK70" i="38" a="1"/>
  <c r="CK70" i="38" s="1"/>
  <c r="CK71" i="38" a="1"/>
  <c r="CK71" i="38" s="1"/>
  <c r="CZ71" i="38" s="1"/>
  <c r="CK68" i="38" a="1"/>
  <c r="CK68" i="38" s="1"/>
  <c r="CK73" i="38" a="1"/>
  <c r="CK73" i="38" s="1"/>
  <c r="CY73" i="38" s="1"/>
  <c r="CK72" i="38" a="1"/>
  <c r="CK72" i="38" s="1"/>
  <c r="CK75" i="38" a="1"/>
  <c r="CK75" i="38" s="1"/>
  <c r="DP75" i="38" s="1"/>
  <c r="CK74" i="38" a="1"/>
  <c r="CK74" i="38" s="1"/>
  <c r="CK77" i="38" a="1"/>
  <c r="CK77" i="38" s="1"/>
  <c r="CY77" i="38" s="1"/>
  <c r="CK76" i="38" a="1"/>
  <c r="CK76" i="38" s="1"/>
  <c r="CK78" i="38" a="1"/>
  <c r="CK78" i="38" s="1"/>
  <c r="CK79" i="38" a="1"/>
  <c r="CK79" i="38" s="1"/>
  <c r="DM79" i="38" s="1"/>
  <c r="AR82" i="38"/>
  <c r="AU82" i="38" s="1"/>
  <c r="AU81" i="38"/>
  <c r="AV81" i="38" s="1" a="1"/>
  <c r="AV81" i="38" s="1"/>
  <c r="AX81" i="38" s="1"/>
  <c r="AU113" i="38"/>
  <c r="AV113" i="38" s="1" a="1"/>
  <c r="AV113" i="38" s="1"/>
  <c r="AX113" i="38" s="1"/>
  <c r="AU114" i="38"/>
  <c r="AV114" i="38" s="1" a="1"/>
  <c r="AV114" i="38" s="1"/>
  <c r="AX114" i="38" s="1"/>
  <c r="BA114" i="38" s="1"/>
  <c r="BB114" i="38" s="1"/>
  <c r="A12" i="38"/>
  <c r="CA185" i="38" s="1"/>
  <c r="CH185" i="38" s="1"/>
  <c r="AD20" i="43"/>
  <c r="AR14" i="44" a="1"/>
  <c r="AR14" i="44" s="1"/>
  <c r="AX14" i="44" s="1" a="1"/>
  <c r="AX14" i="44" s="1"/>
  <c r="AM84" i="38" s="1" a="1"/>
  <c r="AM84" i="38" s="1"/>
  <c r="AR13" i="44" a="1"/>
  <c r="AR13" i="44" s="1"/>
  <c r="AX13" i="44" s="1" a="1"/>
  <c r="AX13" i="44" s="1"/>
  <c r="AM110" i="38" s="1" a="1"/>
  <c r="AM110" i="38" s="1"/>
  <c r="AR12" i="44" a="1"/>
  <c r="AR12" i="44" s="1"/>
  <c r="AX12" i="44" s="1" a="1"/>
  <c r="AX12" i="44" s="1"/>
  <c r="AM154" i="38" s="1" a="1"/>
  <c r="AM154" i="38" s="1"/>
  <c r="AR11" i="44" a="1"/>
  <c r="AR11" i="44" s="1"/>
  <c r="AX11" i="44" s="1" a="1"/>
  <c r="AX11" i="44" s="1"/>
  <c r="W22" i="43"/>
  <c r="AR10" i="44" a="1"/>
  <c r="AR10" i="44" s="1"/>
  <c r="AV10" i="44" s="1"/>
  <c r="AR9" i="44" a="1"/>
  <c r="AR9" i="44" s="1"/>
  <c r="AX9" i="44" s="1" a="1"/>
  <c r="AX9" i="44" s="1"/>
  <c r="AM106" i="38" s="1" a="1"/>
  <c r="AM106" i="38" s="1"/>
  <c r="AD21" i="43"/>
  <c r="AR8" i="44" a="1"/>
  <c r="AR8" i="44" s="1"/>
  <c r="AX8" i="44" s="1" a="1"/>
  <c r="AX8" i="44" s="1"/>
  <c r="AM108" i="38" s="1" a="1"/>
  <c r="AM108" i="38" s="1"/>
  <c r="CK19" i="38" a="1"/>
  <c r="CK19" i="38" s="1"/>
  <c r="CK16" i="38" a="1"/>
  <c r="CK16" i="38" s="1"/>
  <c r="CK20" i="38" a="1"/>
  <c r="CK20" i="38" s="1"/>
  <c r="CK18" i="38" a="1"/>
  <c r="CK18" i="38" s="1"/>
  <c r="CK24" i="38" a="1"/>
  <c r="CK24" i="38" s="1"/>
  <c r="CK17" i="38" a="1"/>
  <c r="CK17" i="38" s="1"/>
  <c r="O6" i="50" a="1"/>
  <c r="O6" i="50" s="1"/>
  <c r="D37" i="38" a="1"/>
  <c r="D37" i="38" s="1"/>
  <c r="O5" i="50" a="1"/>
  <c r="O5" i="50" s="1"/>
  <c r="D25" i="38" a="1"/>
  <c r="D25" i="38" s="1"/>
  <c r="CK53" i="38" a="1"/>
  <c r="CK53" i="38" s="1"/>
  <c r="CK58" i="38" a="1"/>
  <c r="CK58" i="38" s="1"/>
  <c r="CK67" i="38" a="1"/>
  <c r="CK67" i="38" s="1"/>
  <c r="CK65" i="38" a="1"/>
  <c r="CK65" i="38" s="1"/>
  <c r="CK62" i="38" a="1"/>
  <c r="CK62" i="38" s="1"/>
  <c r="CK55" i="38" a="1"/>
  <c r="CK55" i="38" s="1"/>
  <c r="CK54" i="38" a="1"/>
  <c r="CK54" i="38" s="1"/>
  <c r="CK61" i="38" a="1"/>
  <c r="CK61" i="38" s="1"/>
  <c r="CK50" i="38" a="1"/>
  <c r="CK50" i="38" s="1"/>
  <c r="CK51" i="38" a="1"/>
  <c r="CK51" i="38" s="1"/>
  <c r="CK59" i="38" a="1"/>
  <c r="CK59" i="38" s="1"/>
  <c r="CK52" i="38" a="1"/>
  <c r="CK52" i="38" s="1"/>
  <c r="CK60" i="38" a="1"/>
  <c r="CK60" i="38" s="1"/>
  <c r="CK64" i="38" a="1"/>
  <c r="CK64" i="38" s="1"/>
  <c r="CK57" i="38" a="1"/>
  <c r="CK57" i="38" s="1"/>
  <c r="CK66" i="38" a="1"/>
  <c r="CK66" i="38" s="1"/>
  <c r="CK56" i="38" a="1"/>
  <c r="CK56" i="38" s="1"/>
  <c r="CK63" i="38" a="1"/>
  <c r="CK63" i="38" s="1"/>
  <c r="W20" i="43"/>
  <c r="W21" i="43"/>
  <c r="AR7" i="44" a="1"/>
  <c r="AR7" i="44" s="1"/>
  <c r="AX7" i="44" s="1" a="1"/>
  <c r="AX7" i="44" s="1"/>
  <c r="AD19" i="43"/>
  <c r="AD18" i="43"/>
  <c r="W19" i="43"/>
  <c r="AD16" i="43"/>
  <c r="AD17" i="43"/>
  <c r="W18" i="43"/>
  <c r="W15" i="43"/>
  <c r="W17" i="43"/>
  <c r="W16" i="43"/>
  <c r="W14" i="43"/>
  <c r="AD15" i="43"/>
  <c r="AD14" i="43"/>
  <c r="W13" i="43"/>
  <c r="AD13" i="43"/>
  <c r="AD12" i="43"/>
  <c r="W12" i="43"/>
  <c r="AD11" i="43"/>
  <c r="W11" i="43"/>
  <c r="N12" i="50" a="1"/>
  <c r="N12" i="50" s="1"/>
  <c r="N22" i="50" a="1"/>
  <c r="N22" i="50" s="1"/>
  <c r="AD9" i="43"/>
  <c r="AD8" i="43"/>
  <c r="W10" i="43"/>
  <c r="W9" i="43"/>
  <c r="W8" i="43"/>
  <c r="N17" i="50" a="1"/>
  <c r="N17" i="50" s="1"/>
  <c r="N20" i="50" a="1"/>
  <c r="N20" i="50" s="1"/>
  <c r="N19" i="50" a="1"/>
  <c r="N19" i="50" s="1"/>
  <c r="N18" i="50" a="1"/>
  <c r="N18" i="50" s="1"/>
  <c r="N16" i="50" a="1"/>
  <c r="N16" i="50" s="1"/>
  <c r="N21" i="50" a="1"/>
  <c r="N21" i="50" s="1"/>
  <c r="N14" i="50" a="1"/>
  <c r="N14" i="50" s="1"/>
  <c r="N15" i="50" a="1"/>
  <c r="N15" i="50" s="1"/>
  <c r="N11" i="50" a="1"/>
  <c r="N11" i="50" s="1"/>
  <c r="N13" i="50" a="1"/>
  <c r="N13" i="50" s="1"/>
  <c r="N9" i="50" a="1"/>
  <c r="N9" i="50" s="1"/>
  <c r="N10" i="50" a="1"/>
  <c r="N10" i="50" s="1"/>
  <c r="N8" i="50" a="1"/>
  <c r="N8" i="50" s="1"/>
  <c r="CX186" i="38"/>
  <c r="DE186" i="38"/>
  <c r="DB186" i="38"/>
  <c r="CV186" i="38"/>
  <c r="CW186" i="38"/>
  <c r="DF186" i="38"/>
  <c r="DG186" i="38"/>
  <c r="CZ186" i="38"/>
  <c r="DA186" i="38"/>
  <c r="DC186" i="38"/>
  <c r="DD186" i="38"/>
  <c r="CY186" i="38"/>
  <c r="DM186" i="38"/>
  <c r="DI186" i="38"/>
  <c r="DH186" i="38"/>
  <c r="DJ186" i="38"/>
  <c r="DL186" i="38"/>
  <c r="DN186" i="38"/>
  <c r="DK186" i="38"/>
  <c r="DP186" i="38"/>
  <c r="DO186" i="38"/>
  <c r="DB188" i="38"/>
  <c r="DM188" i="38"/>
  <c r="CZ188" i="38"/>
  <c r="DE188" i="38"/>
  <c r="CV188" i="38"/>
  <c r="DF188" i="38"/>
  <c r="DC188" i="38"/>
  <c r="CY188" i="38"/>
  <c r="DD188" i="38"/>
  <c r="CW188" i="38"/>
  <c r="CX188" i="38"/>
  <c r="DG188" i="38"/>
  <c r="DA188" i="38"/>
  <c r="DJ188" i="38"/>
  <c r="DH188" i="38"/>
  <c r="DL188" i="38"/>
  <c r="DI188" i="38"/>
  <c r="DN188" i="38"/>
  <c r="DK188" i="38"/>
  <c r="DO188" i="38"/>
  <c r="DP188" i="38"/>
  <c r="CX187" i="38"/>
  <c r="CV187" i="38"/>
  <c r="DB187" i="38"/>
  <c r="CZ187" i="38"/>
  <c r="CY187" i="38"/>
  <c r="CW187" i="38"/>
  <c r="DD187" i="38"/>
  <c r="DA187" i="38"/>
  <c r="DE187" i="38"/>
  <c r="DM187" i="38"/>
  <c r="DF187" i="38"/>
  <c r="DC187" i="38"/>
  <c r="DG187" i="38"/>
  <c r="DI187" i="38"/>
  <c r="DL187" i="38"/>
  <c r="DH187" i="38"/>
  <c r="DJ187" i="38"/>
  <c r="DN187" i="38"/>
  <c r="DK187" i="38"/>
  <c r="DO187" i="38"/>
  <c r="DP187" i="38"/>
  <c r="CY1001" i="71"/>
  <c r="CZ1001" i="71"/>
  <c r="CV1001" i="71"/>
  <c r="DP1001" i="71"/>
  <c r="CX1001" i="71"/>
  <c r="CW1001" i="71"/>
  <c r="DA1001" i="71"/>
  <c r="DB1001" i="71"/>
  <c r="DC1001" i="71"/>
  <c r="DI1001" i="71"/>
  <c r="DH1001" i="71"/>
  <c r="DL1001" i="71"/>
  <c r="DK1001" i="71"/>
  <c r="DN1001" i="71"/>
  <c r="DO1001" i="71"/>
  <c r="DP1002" i="71"/>
  <c r="DD1002" i="71"/>
  <c r="DF1002" i="71"/>
  <c r="DG1002" i="71"/>
  <c r="DM1002" i="71"/>
  <c r="DE1002" i="71"/>
  <c r="DJ1002" i="71"/>
  <c r="DH1002" i="71"/>
  <c r="DN1002" i="71"/>
  <c r="DK1002" i="71"/>
  <c r="DO1002" i="71"/>
  <c r="DA1000" i="71"/>
  <c r="AV999" i="71" a="1"/>
  <c r="AV999" i="71" s="1"/>
  <c r="AX999" i="71" s="1"/>
  <c r="DE999" i="71" s="1"/>
  <c r="DD999" i="71"/>
  <c r="P6" i="85"/>
  <c r="AD7" i="43"/>
  <c r="BK1000" i="71"/>
  <c r="DL1000" i="71" s="1"/>
  <c r="DB1000" i="71"/>
  <c r="AA17" i="85"/>
  <c r="G17" i="85"/>
  <c r="H17" i="85" s="1"/>
  <c r="Y7" i="43" a="1"/>
  <c r="Y7" i="43" s="1"/>
  <c r="W7" i="43" s="1"/>
  <c r="AS36" i="85"/>
  <c r="G36" i="85"/>
  <c r="H36" i="85" s="1"/>
  <c r="M18" i="193"/>
  <c r="F10" i="193" s="1"/>
  <c r="CE26" i="85"/>
  <c r="BB25" i="85"/>
  <c r="CD26" i="85"/>
  <c r="CC26" i="85"/>
  <c r="CA26" i="85"/>
  <c r="BB32" i="85"/>
  <c r="CB26" i="85"/>
  <c r="CQ998" i="71" a="1"/>
  <c r="CQ998" i="71" s="1"/>
  <c r="BM11" i="85"/>
  <c r="AY11" i="85"/>
  <c r="AZ11" i="85" s="1"/>
  <c r="AV1000" i="71" a="1"/>
  <c r="AV1000" i="71" s="1"/>
  <c r="AX1000" i="71" s="1"/>
  <c r="DE1000" i="71" s="1"/>
  <c r="DD1000" i="71"/>
  <c r="BM1000" i="71"/>
  <c r="DM1000" i="71" s="1"/>
  <c r="CC998" i="71"/>
  <c r="CP998" i="71" s="1" a="1"/>
  <c r="CP998" i="71" s="1"/>
  <c r="CS998" i="71" s="1" a="1"/>
  <c r="CS998" i="71" s="1"/>
  <c r="CB998" i="71"/>
  <c r="CN998" i="71" s="1" a="1"/>
  <c r="CN998" i="71" s="1"/>
  <c r="CR998" i="71" s="1" a="1"/>
  <c r="CR998" i="71" s="1"/>
  <c r="CA998" i="71"/>
  <c r="CH998" i="71" s="1"/>
  <c r="BX23" i="85"/>
  <c r="AY23" i="85"/>
  <c r="AZ23" i="85" s="1"/>
  <c r="CZ1000" i="71"/>
  <c r="CX1000" i="71"/>
  <c r="CW1000" i="71"/>
  <c r="CY1000" i="71"/>
  <c r="CV1000" i="71"/>
  <c r="DF1000" i="71"/>
  <c r="DI1000" i="71"/>
  <c r="BK999" i="71"/>
  <c r="DL999" i="71" s="1"/>
  <c r="DC999" i="71"/>
  <c r="BD999" i="71"/>
  <c r="DI999" i="71" s="1"/>
  <c r="AY17" i="85"/>
  <c r="AZ17" i="85" s="1"/>
  <c r="BS17" i="85"/>
  <c r="DC1000" i="71"/>
  <c r="DA21" i="38" l="1"/>
  <c r="DD21" i="38"/>
  <c r="CX21" i="38"/>
  <c r="CW21" i="38"/>
  <c r="DO21" i="38"/>
  <c r="CY21" i="38"/>
  <c r="DJ21" i="38"/>
  <c r="AV16" i="44"/>
  <c r="CV21" i="38"/>
  <c r="DK21" i="38"/>
  <c r="DL21" i="38"/>
  <c r="DI21" i="38"/>
  <c r="DM21" i="38"/>
  <c r="DH21" i="38"/>
  <c r="CZ21" i="38"/>
  <c r="DC21" i="38"/>
  <c r="DP21" i="38"/>
  <c r="DR21" i="38" s="1"/>
  <c r="DV21" i="38" s="1"/>
  <c r="DE21" i="38"/>
  <c r="DF21" i="38"/>
  <c r="DN21" i="38"/>
  <c r="AW16" i="44"/>
  <c r="DF23" i="38"/>
  <c r="DA23" i="38"/>
  <c r="DE23" i="38"/>
  <c r="DO23" i="38"/>
  <c r="CX23" i="38"/>
  <c r="DN69" i="38"/>
  <c r="DD69" i="38"/>
  <c r="DG23" i="38"/>
  <c r="CW23" i="38"/>
  <c r="DE69" i="38"/>
  <c r="DK69" i="38"/>
  <c r="CW69" i="38"/>
  <c r="DI23" i="38"/>
  <c r="CV23" i="38"/>
  <c r="DH69" i="38"/>
  <c r="CX69" i="38"/>
  <c r="DL23" i="38"/>
  <c r="CY23" i="38"/>
  <c r="CZ69" i="38"/>
  <c r="DD23" i="38"/>
  <c r="DO69" i="38"/>
  <c r="DI69" i="38"/>
  <c r="DP69" i="38"/>
  <c r="DR69" i="38" s="1"/>
  <c r="DV69" i="38" s="1"/>
  <c r="DH23" i="38"/>
  <c r="CZ23" i="38"/>
  <c r="DM69" i="38"/>
  <c r="DN23" i="38"/>
  <c r="DF69" i="38"/>
  <c r="DL69" i="38"/>
  <c r="CV69" i="38"/>
  <c r="DC23" i="38"/>
  <c r="DP23" i="38"/>
  <c r="DR23" i="38" s="1"/>
  <c r="DV23" i="38" s="1"/>
  <c r="DG69" i="38"/>
  <c r="DB69" i="38"/>
  <c r="DB23" i="38"/>
  <c r="DA69" i="38"/>
  <c r="DJ23" i="38"/>
  <c r="DK23" i="38"/>
  <c r="DJ69" i="38"/>
  <c r="CY69" i="38"/>
  <c r="CV22" i="38"/>
  <c r="DP22" i="38"/>
  <c r="CZ22" i="38"/>
  <c r="CY22" i="38"/>
  <c r="CW22" i="38"/>
  <c r="CX22" i="38"/>
  <c r="DA22" i="38"/>
  <c r="DD22" i="38"/>
  <c r="DF22" i="38"/>
  <c r="DC22" i="38"/>
  <c r="DB22" i="38"/>
  <c r="DL22" i="38"/>
  <c r="DI22" i="38"/>
  <c r="DE22" i="38"/>
  <c r="DM22" i="38"/>
  <c r="DG22" i="38"/>
  <c r="DJ22" i="38"/>
  <c r="DH22" i="38"/>
  <c r="DK22" i="38"/>
  <c r="DN22" i="38"/>
  <c r="DO22" i="38"/>
  <c r="AW15" i="44"/>
  <c r="AV15" i="44"/>
  <c r="CY70" i="38"/>
  <c r="DP70" i="38"/>
  <c r="CZ70" i="38"/>
  <c r="CW70" i="38"/>
  <c r="CV70" i="38"/>
  <c r="CX70" i="38"/>
  <c r="DF70" i="38"/>
  <c r="DA70" i="38"/>
  <c r="DD70" i="38"/>
  <c r="DC70" i="38"/>
  <c r="DB70" i="38"/>
  <c r="DM70" i="38"/>
  <c r="DL70" i="38"/>
  <c r="DI70" i="38"/>
  <c r="DE70" i="38"/>
  <c r="DG70" i="38"/>
  <c r="DH70" i="38"/>
  <c r="DJ70" i="38"/>
  <c r="DN70" i="38"/>
  <c r="DK70" i="38"/>
  <c r="DO70" i="38"/>
  <c r="DJ71" i="38"/>
  <c r="DG71" i="38"/>
  <c r="DP71" i="38"/>
  <c r="DR71" i="38" s="1"/>
  <c r="DV71" i="38" s="1"/>
  <c r="DE71" i="38"/>
  <c r="DA71" i="38"/>
  <c r="DC71" i="38"/>
  <c r="DD71" i="38"/>
  <c r="DB71" i="38"/>
  <c r="DO71" i="38"/>
  <c r="DF71" i="38"/>
  <c r="DK71" i="38"/>
  <c r="CV71" i="38"/>
  <c r="DN71" i="38"/>
  <c r="CX71" i="38"/>
  <c r="DM71" i="38"/>
  <c r="DH71" i="38"/>
  <c r="CW71" i="38"/>
  <c r="DI71" i="38"/>
  <c r="CY71" i="38"/>
  <c r="DL71" i="38"/>
  <c r="DM73" i="38"/>
  <c r="DC73" i="38"/>
  <c r="CZ73" i="38"/>
  <c r="CZ68" i="38"/>
  <c r="CY68" i="38"/>
  <c r="CV68" i="38"/>
  <c r="DP68" i="38"/>
  <c r="CW68" i="38"/>
  <c r="CX68" i="38"/>
  <c r="DA68" i="38"/>
  <c r="DB68" i="38"/>
  <c r="DF68" i="38"/>
  <c r="DD68" i="38"/>
  <c r="DM68" i="38"/>
  <c r="DC68" i="38"/>
  <c r="DG68" i="38"/>
  <c r="DE68" i="38"/>
  <c r="DJ68" i="38"/>
  <c r="DL68" i="38"/>
  <c r="DI68" i="38"/>
  <c r="DH68" i="38"/>
  <c r="DK68" i="38"/>
  <c r="DN68" i="38"/>
  <c r="DO68" i="38"/>
  <c r="DE73" i="38"/>
  <c r="DB73" i="38"/>
  <c r="DO73" i="38"/>
  <c r="DF73" i="38"/>
  <c r="DK73" i="38"/>
  <c r="DD73" i="38"/>
  <c r="DJ73" i="38"/>
  <c r="CW73" i="38"/>
  <c r="DH73" i="38"/>
  <c r="CX73" i="38"/>
  <c r="DG73" i="38"/>
  <c r="CV73" i="38"/>
  <c r="DN73" i="38"/>
  <c r="DA73" i="38"/>
  <c r="DL73" i="38"/>
  <c r="DP73" i="38"/>
  <c r="DR73" i="38" s="1"/>
  <c r="DV73" i="38" s="1"/>
  <c r="DI73" i="38"/>
  <c r="DE75" i="38"/>
  <c r="CV75" i="38"/>
  <c r="DP72" i="38"/>
  <c r="CZ72" i="38"/>
  <c r="CY72" i="38"/>
  <c r="CV72" i="38"/>
  <c r="CW72" i="38"/>
  <c r="CX72" i="38"/>
  <c r="DA72" i="38"/>
  <c r="DC72" i="38"/>
  <c r="DF72" i="38"/>
  <c r="DB72" i="38"/>
  <c r="DD72" i="38"/>
  <c r="DM72" i="38"/>
  <c r="DE72" i="38"/>
  <c r="DL72" i="38"/>
  <c r="DI72" i="38"/>
  <c r="DG72" i="38"/>
  <c r="DJ72" i="38"/>
  <c r="DH72" i="38"/>
  <c r="DK72" i="38"/>
  <c r="DN72" i="38"/>
  <c r="DO72" i="38"/>
  <c r="DM75" i="38"/>
  <c r="DK75" i="38"/>
  <c r="DN75" i="38"/>
  <c r="DA75" i="38"/>
  <c r="DH75" i="38"/>
  <c r="DJ75" i="38"/>
  <c r="CX75" i="38"/>
  <c r="DD75" i="38"/>
  <c r="DO75" i="38"/>
  <c r="DI75" i="38"/>
  <c r="CY75" i="38"/>
  <c r="CW75" i="38"/>
  <c r="DL75" i="38"/>
  <c r="CZ75" i="38"/>
  <c r="DC75" i="38"/>
  <c r="DB75" i="38"/>
  <c r="DF75" i="38"/>
  <c r="DG75" i="38"/>
  <c r="DE77" i="38"/>
  <c r="DG77" i="38"/>
  <c r="CZ77" i="38"/>
  <c r="CZ74" i="38"/>
  <c r="CV74" i="38"/>
  <c r="DP74" i="38"/>
  <c r="CY74" i="38"/>
  <c r="CX74" i="38"/>
  <c r="CW74" i="38"/>
  <c r="DA74" i="38"/>
  <c r="DB74" i="38"/>
  <c r="DD74" i="38"/>
  <c r="DF74" i="38"/>
  <c r="DG74" i="38"/>
  <c r="DE74" i="38"/>
  <c r="DM74" i="38"/>
  <c r="DC74" i="38"/>
  <c r="DJ74" i="38"/>
  <c r="DL74" i="38"/>
  <c r="DI74" i="38"/>
  <c r="DH74" i="38"/>
  <c r="DN74" i="38"/>
  <c r="DK74" i="38"/>
  <c r="DO74" i="38"/>
  <c r="DK77" i="38"/>
  <c r="DC77" i="38"/>
  <c r="DN77" i="38"/>
  <c r="DB77" i="38"/>
  <c r="DH77" i="38"/>
  <c r="CV77" i="38"/>
  <c r="DJ77" i="38"/>
  <c r="CW77" i="38"/>
  <c r="DM77" i="38"/>
  <c r="DP77" i="38"/>
  <c r="DR77" i="38" s="1"/>
  <c r="DV77" i="38" s="1"/>
  <c r="DR75" i="38"/>
  <c r="DV75" i="38" s="1"/>
  <c r="DF77" i="38"/>
  <c r="DA77" i="38"/>
  <c r="DO77" i="38"/>
  <c r="DD77" i="38"/>
  <c r="DI77" i="38"/>
  <c r="CX77" i="38"/>
  <c r="DL77" i="38"/>
  <c r="CV76" i="38"/>
  <c r="CZ76" i="38"/>
  <c r="CY76" i="38"/>
  <c r="DP76" i="38"/>
  <c r="CX76" i="38"/>
  <c r="CW76" i="38"/>
  <c r="DA76" i="38"/>
  <c r="DD76" i="38"/>
  <c r="DB76" i="38"/>
  <c r="DF76" i="38"/>
  <c r="DG76" i="38"/>
  <c r="DC76" i="38"/>
  <c r="DM76" i="38"/>
  <c r="DE76" i="38"/>
  <c r="DL76" i="38"/>
  <c r="DJ76" i="38"/>
  <c r="DI76" i="38"/>
  <c r="DH76" i="38"/>
  <c r="DK76" i="38"/>
  <c r="DN76" i="38"/>
  <c r="DO76" i="38"/>
  <c r="CY78" i="38"/>
  <c r="DP78" i="38"/>
  <c r="CZ78" i="38"/>
  <c r="CX78" i="38"/>
  <c r="CV78" i="38"/>
  <c r="CW78" i="38"/>
  <c r="DA78" i="38"/>
  <c r="DD78" i="38"/>
  <c r="DF78" i="38"/>
  <c r="DB78" i="38"/>
  <c r="DE78" i="38"/>
  <c r="DM78" i="38"/>
  <c r="DC78" i="38"/>
  <c r="DG78" i="38"/>
  <c r="DI78" i="38"/>
  <c r="DL78" i="38"/>
  <c r="DH78" i="38"/>
  <c r="DJ78" i="38"/>
  <c r="DK78" i="38"/>
  <c r="DN78" i="38"/>
  <c r="DO78" i="38"/>
  <c r="DO79" i="38"/>
  <c r="DG79" i="38"/>
  <c r="DF79" i="38"/>
  <c r="DB79" i="38"/>
  <c r="DA79" i="38"/>
  <c r="DP79" i="38"/>
  <c r="DR79" i="38" s="1"/>
  <c r="DV79" i="38" s="1"/>
  <c r="DK79" i="38"/>
  <c r="DE79" i="38"/>
  <c r="DN79" i="38"/>
  <c r="CX79" i="38"/>
  <c r="DJ79" i="38"/>
  <c r="DD79" i="38"/>
  <c r="DI79" i="38"/>
  <c r="CW79" i="38"/>
  <c r="DL79" i="38"/>
  <c r="CV79" i="38"/>
  <c r="DH79" i="38"/>
  <c r="CY79" i="38"/>
  <c r="DC79" i="38"/>
  <c r="CZ79" i="38"/>
  <c r="BM82" i="38"/>
  <c r="AV82" i="38" a="1"/>
  <c r="AV82" i="38" s="1"/>
  <c r="AX82" i="38" s="1"/>
  <c r="BA82" i="38" s="1"/>
  <c r="AM116" i="38" a="1"/>
  <c r="AM116" i="38" s="1"/>
  <c r="AM125" i="38" a="1"/>
  <c r="AM125" i="38" s="1"/>
  <c r="CA188" i="38" a="1"/>
  <c r="CA188" i="38" s="1"/>
  <c r="CH188" i="38" s="1"/>
  <c r="CA187" i="38" a="1"/>
  <c r="CA187" i="38" s="1"/>
  <c r="CH187" i="38" s="1"/>
  <c r="CA186" i="38" a="1"/>
  <c r="CA186" i="38" s="1"/>
  <c r="CH186" i="38" s="1"/>
  <c r="BE114" i="38" a="1"/>
  <c r="BE114" i="38" s="1"/>
  <c r="BF114" i="38" s="1"/>
  <c r="BC114" i="38" a="1"/>
  <c r="BC114" i="38" s="1"/>
  <c r="BG114" i="38" a="1"/>
  <c r="BG114" i="38" s="1"/>
  <c r="BH114" i="38" s="1"/>
  <c r="BJ114" i="38" a="1"/>
  <c r="BJ114" i="38" s="1"/>
  <c r="BL114" i="38" a="1"/>
  <c r="BL114" i="38" s="1"/>
  <c r="BM114" i="38" s="1"/>
  <c r="BN114" i="38" a="1"/>
  <c r="BN114" i="38" s="1"/>
  <c r="BO114" i="38" s="1"/>
  <c r="AV14" i="44"/>
  <c r="AW14" i="44"/>
  <c r="AV13" i="44"/>
  <c r="AW13" i="44"/>
  <c r="AM145" i="38" a="1"/>
  <c r="AM145" i="38" s="1"/>
  <c r="AM156" i="38" a="1"/>
  <c r="AM156" i="38" s="1"/>
  <c r="AM150" i="38" a="1"/>
  <c r="AM150" i="38" s="1"/>
  <c r="AM152" i="38" a="1"/>
  <c r="AM152" i="38" s="1"/>
  <c r="AM141" i="38" a="1"/>
  <c r="AM141" i="38" s="1"/>
  <c r="AM143" i="38" a="1"/>
  <c r="AM143" i="38" s="1"/>
  <c r="AM170" i="38" a="1"/>
  <c r="AM170" i="38" s="1"/>
  <c r="AM139" i="38" a="1"/>
  <c r="AM139" i="38" s="1"/>
  <c r="AM183" i="38" a="1"/>
  <c r="AM183" i="38" s="1"/>
  <c r="AM172" i="38" a="1"/>
  <c r="AM172" i="38" s="1"/>
  <c r="AM166" i="38" a="1"/>
  <c r="AM166" i="38" s="1"/>
  <c r="AM168" i="38" a="1"/>
  <c r="AM168" i="38" s="1"/>
  <c r="AM181" i="38" a="1"/>
  <c r="AM181" i="38" s="1"/>
  <c r="AV11" i="44"/>
  <c r="AW11" i="44"/>
  <c r="AW12" i="44"/>
  <c r="AV12" i="44"/>
  <c r="AM177" i="38" a="1"/>
  <c r="AM177" i="38" s="1"/>
  <c r="AM179" i="38" a="1"/>
  <c r="AM179" i="38" s="1"/>
  <c r="P30" i="38" a="1"/>
  <c r="P30" i="38" s="1"/>
  <c r="P29" i="38" a="1"/>
  <c r="P29" i="38" s="1"/>
  <c r="AX10" i="44" a="1"/>
  <c r="AX10" i="44" s="1"/>
  <c r="AM42" i="38" s="1" a="1"/>
  <c r="AM42" i="38" s="1"/>
  <c r="P42" i="38" a="1"/>
  <c r="P42" i="38" s="1"/>
  <c r="P41" i="38" a="1"/>
  <c r="P41" i="38" s="1"/>
  <c r="P45" i="38" a="1"/>
  <c r="P45" i="38" s="1"/>
  <c r="P47" i="38" a="1"/>
  <c r="P47" i="38" s="1"/>
  <c r="AW10" i="44"/>
  <c r="AM10" i="44" s="1"/>
  <c r="I103" i="38" s="1" a="1"/>
  <c r="I103" i="38" s="1"/>
  <c r="AM33" i="38" a="1"/>
  <c r="AM33" i="38" s="1"/>
  <c r="AM45" i="38" a="1"/>
  <c r="AM45" i="38" s="1"/>
  <c r="AM35" i="38" a="1"/>
  <c r="AM35" i="38" s="1"/>
  <c r="AM47" i="38" a="1"/>
  <c r="AM47" i="38" s="1"/>
  <c r="CK33" i="38" a="1"/>
  <c r="CK33" i="38" s="1"/>
  <c r="DM33" i="38" s="1"/>
  <c r="P33" i="38" a="1"/>
  <c r="P33" i="38" s="1"/>
  <c r="AW9" i="44"/>
  <c r="AV9" i="44"/>
  <c r="CK29" i="38" a="1"/>
  <c r="CK29" i="38" s="1"/>
  <c r="DM29" i="38" s="1"/>
  <c r="P35" i="38" a="1"/>
  <c r="P35" i="38" s="1"/>
  <c r="AW8" i="44"/>
  <c r="AV8" i="44"/>
  <c r="CK31" i="38" a="1"/>
  <c r="CK31" i="38" s="1"/>
  <c r="CZ31" i="38" s="1"/>
  <c r="CK30" i="38" a="1"/>
  <c r="CK30" i="38" s="1"/>
  <c r="CK43" i="38" a="1"/>
  <c r="CK43" i="38" s="1"/>
  <c r="CY43" i="38" s="1"/>
  <c r="CK42" i="38" a="1"/>
  <c r="CK42" i="38" s="1"/>
  <c r="CK45" i="38" a="1"/>
  <c r="CK45" i="38" s="1"/>
  <c r="CZ45" i="38" s="1"/>
  <c r="CK44" i="38" a="1"/>
  <c r="CK44" i="38" s="1"/>
  <c r="O14" i="50" a="1"/>
  <c r="O14" i="50" s="1"/>
  <c r="D121" i="38" a="1"/>
  <c r="D121" i="38" s="1"/>
  <c r="P125" i="38" s="1" a="1"/>
  <c r="P125" i="38" s="1"/>
  <c r="O10" i="50" a="1"/>
  <c r="O10" i="50" s="1"/>
  <c r="D92" i="38" a="1"/>
  <c r="D92" i="38" s="1"/>
  <c r="CK95" i="38" s="1" a="1"/>
  <c r="CK95" i="38" s="1"/>
  <c r="O9" i="50" a="1"/>
  <c r="O9" i="50" s="1"/>
  <c r="D87" i="38" a="1"/>
  <c r="D87" i="38" s="1"/>
  <c r="CY51" i="38"/>
  <c r="DA51" i="38"/>
  <c r="CX51" i="38"/>
  <c r="CZ51" i="38"/>
  <c r="DB51" i="38"/>
  <c r="CW51" i="38"/>
  <c r="CV51" i="38"/>
  <c r="DC51" i="38"/>
  <c r="DL51" i="38"/>
  <c r="DI51" i="38"/>
  <c r="DP51" i="38"/>
  <c r="DF51" i="38"/>
  <c r="DD51" i="38"/>
  <c r="DM51" i="38"/>
  <c r="DG51" i="38"/>
  <c r="DE51" i="38"/>
  <c r="DJ51" i="38"/>
  <c r="DH51" i="38"/>
  <c r="DK51" i="38"/>
  <c r="DN51" i="38"/>
  <c r="DO51" i="38"/>
  <c r="CK46" i="38" a="1"/>
  <c r="CK46" i="38" s="1"/>
  <c r="CK47" i="38" a="1"/>
  <c r="CK47" i="38" s="1"/>
  <c r="CK39" i="38" a="1"/>
  <c r="CK39" i="38" s="1"/>
  <c r="CK40" i="38" a="1"/>
  <c r="CK40" i="38" s="1"/>
  <c r="CK41" i="38" a="1"/>
  <c r="CK41" i="38" s="1"/>
  <c r="CK48" i="38" a="1"/>
  <c r="CK48" i="38" s="1"/>
  <c r="CK38" i="38" a="1"/>
  <c r="CK38" i="38" s="1"/>
  <c r="AY38" i="38" s="1" a="1"/>
  <c r="AY38" i="38" s="1"/>
  <c r="AZ38" i="38" s="1"/>
  <c r="O8" i="50" a="1"/>
  <c r="O8" i="50" s="1"/>
  <c r="D80" i="38" a="1"/>
  <c r="D80" i="38" s="1"/>
  <c r="P84" i="38" s="1" a="1"/>
  <c r="P84" i="38" s="1"/>
  <c r="CW59" i="38"/>
  <c r="CY59" i="38"/>
  <c r="DC59" i="38"/>
  <c r="CV59" i="38"/>
  <c r="DA59" i="38"/>
  <c r="CX59" i="38"/>
  <c r="DB59" i="38"/>
  <c r="CZ59" i="38"/>
  <c r="DI59" i="38"/>
  <c r="DL59" i="38"/>
  <c r="DP59" i="38"/>
  <c r="DD59" i="38"/>
  <c r="DF59" i="38"/>
  <c r="DE59" i="38"/>
  <c r="DM59" i="38"/>
  <c r="DG59" i="38"/>
  <c r="DH59" i="38"/>
  <c r="DJ59" i="38"/>
  <c r="DK59" i="38"/>
  <c r="DN59" i="38"/>
  <c r="DO59" i="38"/>
  <c r="O13" i="50" a="1"/>
  <c r="O13" i="50" s="1"/>
  <c r="D118" i="38" a="1"/>
  <c r="D118" i="38" s="1"/>
  <c r="DB50" i="38"/>
  <c r="DC50" i="38"/>
  <c r="CY50" i="38"/>
  <c r="CV50" i="38"/>
  <c r="CX50" i="38"/>
  <c r="CW50" i="38"/>
  <c r="DA50" i="38"/>
  <c r="CZ50" i="38"/>
  <c r="DL50" i="38"/>
  <c r="DI50" i="38"/>
  <c r="DP50" i="38"/>
  <c r="DF50" i="38"/>
  <c r="DD50" i="38"/>
  <c r="DM50" i="38"/>
  <c r="DE50" i="38"/>
  <c r="DG50" i="38"/>
  <c r="DH50" i="38"/>
  <c r="DJ50" i="38"/>
  <c r="DN50" i="38"/>
  <c r="DK50" i="38"/>
  <c r="DO50" i="38"/>
  <c r="O11" i="50" a="1"/>
  <c r="O11" i="50" s="1"/>
  <c r="D98" i="38" a="1"/>
  <c r="D98" i="38" s="1"/>
  <c r="DA61" i="38"/>
  <c r="CY61" i="38"/>
  <c r="CX61" i="38"/>
  <c r="DC61" i="38"/>
  <c r="CZ61" i="38"/>
  <c r="CW61" i="38"/>
  <c r="CV61" i="38"/>
  <c r="DB61" i="38"/>
  <c r="DI61" i="38"/>
  <c r="DL61" i="38"/>
  <c r="DP61" i="38"/>
  <c r="DD61" i="38"/>
  <c r="DF61" i="38"/>
  <c r="DM61" i="38"/>
  <c r="DE61" i="38"/>
  <c r="DG61" i="38"/>
  <c r="DH61" i="38"/>
  <c r="DJ61" i="38"/>
  <c r="DK61" i="38"/>
  <c r="DN61" i="38"/>
  <c r="DO61" i="38"/>
  <c r="O15" i="50" a="1"/>
  <c r="O15" i="50" s="1"/>
  <c r="D127" i="38" a="1"/>
  <c r="D127" i="38" s="1"/>
  <c r="DA54" i="38"/>
  <c r="CY54" i="38"/>
  <c r="CW54" i="38"/>
  <c r="CZ54" i="38"/>
  <c r="DI54" i="38"/>
  <c r="CV54" i="38"/>
  <c r="CX54" i="38"/>
  <c r="DB54" i="38"/>
  <c r="DC54" i="38"/>
  <c r="DL54" i="38"/>
  <c r="DP54" i="38"/>
  <c r="DF54" i="38"/>
  <c r="DD54" i="38"/>
  <c r="DE54" i="38"/>
  <c r="DM54" i="38"/>
  <c r="DG54" i="38"/>
  <c r="DH54" i="38"/>
  <c r="DJ54" i="38"/>
  <c r="DN54" i="38"/>
  <c r="DK54" i="38"/>
  <c r="DO54" i="38"/>
  <c r="CY17" i="38"/>
  <c r="DC17" i="38"/>
  <c r="CW17" i="38"/>
  <c r="DL17" i="38"/>
  <c r="DA17" i="38"/>
  <c r="CX17" i="38"/>
  <c r="CZ17" i="38"/>
  <c r="CV17" i="38"/>
  <c r="DB17" i="38"/>
  <c r="DI17" i="38"/>
  <c r="DP17" i="38"/>
  <c r="DF17" i="38"/>
  <c r="DD17" i="38"/>
  <c r="DM17" i="38"/>
  <c r="DE17" i="38"/>
  <c r="DG17" i="38"/>
  <c r="DJ17" i="38"/>
  <c r="DH17" i="38"/>
  <c r="DN17" i="38"/>
  <c r="DK17" i="38"/>
  <c r="DO17" i="38"/>
  <c r="O22" i="50" a="1"/>
  <c r="O22" i="50" s="1"/>
  <c r="D174" i="38" a="1"/>
  <c r="D174" i="38" s="1"/>
  <c r="P183" i="38" s="1" a="1"/>
  <c r="P183" i="38" s="1"/>
  <c r="CX63" i="38"/>
  <c r="DA63" i="38"/>
  <c r="CW63" i="38"/>
  <c r="DB63" i="38"/>
  <c r="DC63" i="38"/>
  <c r="CY63" i="38"/>
  <c r="CV63" i="38"/>
  <c r="DL63" i="38"/>
  <c r="CZ63" i="38"/>
  <c r="DI63" i="38"/>
  <c r="DP63" i="38"/>
  <c r="DR63" i="38" s="1"/>
  <c r="DV63" i="38" s="1"/>
  <c r="DX63" i="38" s="1"/>
  <c r="EB63" i="38" s="1"/>
  <c r="DD63" i="38"/>
  <c r="DF63" i="38"/>
  <c r="DE63" i="38"/>
  <c r="DM63" i="38"/>
  <c r="DG63" i="38"/>
  <c r="DH63" i="38"/>
  <c r="DJ63" i="38"/>
  <c r="DN63" i="38"/>
  <c r="DK63" i="38"/>
  <c r="DO63" i="38"/>
  <c r="DB55" i="38"/>
  <c r="CZ55" i="38"/>
  <c r="DA55" i="38"/>
  <c r="CV55" i="38"/>
  <c r="CY55" i="38"/>
  <c r="CX55" i="38"/>
  <c r="DC55" i="38"/>
  <c r="CW55" i="38"/>
  <c r="DL55" i="38"/>
  <c r="DI55" i="38"/>
  <c r="DP55" i="38"/>
  <c r="DF55" i="38"/>
  <c r="DD55" i="38"/>
  <c r="DE55" i="38"/>
  <c r="DM55" i="38"/>
  <c r="DG55" i="38"/>
  <c r="DJ55" i="38"/>
  <c r="DH55" i="38"/>
  <c r="DN55" i="38"/>
  <c r="DK55" i="38"/>
  <c r="DO55" i="38"/>
  <c r="DF24" i="38"/>
  <c r="DA24" i="38"/>
  <c r="CV24" i="38"/>
  <c r="CX24" i="38"/>
  <c r="DB24" i="38"/>
  <c r="CZ24" i="38"/>
  <c r="CY24" i="38"/>
  <c r="DE24" i="38"/>
  <c r="DC24" i="38"/>
  <c r="CW24" i="38"/>
  <c r="DD24" i="38"/>
  <c r="DL24" i="38"/>
  <c r="DH24" i="38"/>
  <c r="DI24" i="38"/>
  <c r="DM24" i="38"/>
  <c r="DG24" i="38"/>
  <c r="DN24" i="38"/>
  <c r="DK24" i="38"/>
  <c r="DJ24" i="38"/>
  <c r="DP24" i="38"/>
  <c r="DR24" i="38" s="1"/>
  <c r="DV24" i="38" s="1"/>
  <c r="DX24" i="38" s="1"/>
  <c r="EB24" i="38" s="1"/>
  <c r="DO24" i="38"/>
  <c r="O21" i="50" a="1"/>
  <c r="O21" i="50" s="1"/>
  <c r="D163" i="38" a="1"/>
  <c r="D163" i="38" s="1"/>
  <c r="O12" i="50" a="1"/>
  <c r="O12" i="50" s="1"/>
  <c r="D112" i="38" a="1"/>
  <c r="D112" i="38" s="1"/>
  <c r="DL56" i="38"/>
  <c r="CZ56" i="38"/>
  <c r="DA56" i="38"/>
  <c r="CW56" i="38"/>
  <c r="CY56" i="38"/>
  <c r="CX56" i="38"/>
  <c r="DB56" i="38"/>
  <c r="CV56" i="38"/>
  <c r="DC56" i="38"/>
  <c r="DI56" i="38"/>
  <c r="DP56" i="38"/>
  <c r="DD56" i="38"/>
  <c r="DF56" i="38"/>
  <c r="DM56" i="38"/>
  <c r="DE56" i="38"/>
  <c r="DG56" i="38"/>
  <c r="DH56" i="38"/>
  <c r="DJ56" i="38"/>
  <c r="DK56" i="38"/>
  <c r="DN56" i="38"/>
  <c r="DO56" i="38"/>
  <c r="CX62" i="38"/>
  <c r="CW62" i="38"/>
  <c r="CZ62" i="38"/>
  <c r="DA62" i="38"/>
  <c r="CY62" i="38"/>
  <c r="DC62" i="38"/>
  <c r="DI62" i="38"/>
  <c r="CV62" i="38"/>
  <c r="DB62" i="38"/>
  <c r="DL62" i="38"/>
  <c r="DP62" i="38"/>
  <c r="DD62" i="38"/>
  <c r="DF62" i="38"/>
  <c r="DM62" i="38"/>
  <c r="DE62" i="38"/>
  <c r="DG62" i="38"/>
  <c r="DJ62" i="38"/>
  <c r="DH62" i="38"/>
  <c r="DK62" i="38"/>
  <c r="DN62" i="38"/>
  <c r="DO62" i="38"/>
  <c r="DA18" i="38"/>
  <c r="CV18" i="38"/>
  <c r="DB18" i="38"/>
  <c r="CY18" i="38"/>
  <c r="CW18" i="38"/>
  <c r="CZ18" i="38"/>
  <c r="CX18" i="38"/>
  <c r="DC18" i="38"/>
  <c r="DL18" i="38"/>
  <c r="DI18" i="38"/>
  <c r="DP18" i="38"/>
  <c r="DF18" i="38"/>
  <c r="DD18" i="38"/>
  <c r="DE18" i="38"/>
  <c r="DM18" i="38"/>
  <c r="DG18" i="38"/>
  <c r="DJ18" i="38"/>
  <c r="DH18" i="38"/>
  <c r="DN18" i="38"/>
  <c r="DK18" i="38"/>
  <c r="DO18" i="38"/>
  <c r="DM66" i="38"/>
  <c r="CZ66" i="38"/>
  <c r="DG66" i="38"/>
  <c r="DD66" i="38"/>
  <c r="CY66" i="38"/>
  <c r="CX66" i="38"/>
  <c r="DF66" i="38"/>
  <c r="DJ66" i="38"/>
  <c r="DE66" i="38"/>
  <c r="DA65" i="38"/>
  <c r="CZ65" i="38"/>
  <c r="DF65" i="38"/>
  <c r="CW65" i="38"/>
  <c r="CY65" i="38"/>
  <c r="DB65" i="38"/>
  <c r="DM65" i="38"/>
  <c r="DC65" i="38"/>
  <c r="DD65" i="38"/>
  <c r="DE65" i="38"/>
  <c r="CV65" i="38"/>
  <c r="CX65" i="38"/>
  <c r="DH65" i="38"/>
  <c r="DL65" i="38"/>
  <c r="DI65" i="38"/>
  <c r="DG65" i="38"/>
  <c r="DK65" i="38"/>
  <c r="DN65" i="38"/>
  <c r="DJ65" i="38"/>
  <c r="DP65" i="38"/>
  <c r="DO65" i="38"/>
  <c r="DG20" i="38"/>
  <c r="DE20" i="38"/>
  <c r="DM20" i="38"/>
  <c r="CZ20" i="38"/>
  <c r="DF20" i="38"/>
  <c r="CX20" i="38"/>
  <c r="CY20" i="38"/>
  <c r="DD20" i="38"/>
  <c r="DJ20" i="38"/>
  <c r="O16" i="50" a="1"/>
  <c r="O16" i="50" s="1"/>
  <c r="D130" i="38" a="1"/>
  <c r="D130" i="38" s="1"/>
  <c r="O18" i="50" a="1"/>
  <c r="O18" i="50" s="1"/>
  <c r="D136" i="38" a="1"/>
  <c r="D136" i="38" s="1"/>
  <c r="DB57" i="38"/>
  <c r="CY57" i="38"/>
  <c r="DC57" i="38"/>
  <c r="CV57" i="38"/>
  <c r="CW57" i="38"/>
  <c r="CX57" i="38"/>
  <c r="DA57" i="38"/>
  <c r="CZ57" i="38"/>
  <c r="DL57" i="38"/>
  <c r="DI57" i="38"/>
  <c r="DP57" i="38"/>
  <c r="DF57" i="38"/>
  <c r="DD57" i="38"/>
  <c r="DM57" i="38"/>
  <c r="DE57" i="38"/>
  <c r="DG57" i="38"/>
  <c r="DH57" i="38"/>
  <c r="DJ57" i="38"/>
  <c r="DN57" i="38"/>
  <c r="DK57" i="38"/>
  <c r="DO57" i="38"/>
  <c r="CV67" i="38"/>
  <c r="DB67" i="38"/>
  <c r="DE67" i="38"/>
  <c r="DF67" i="38"/>
  <c r="DC67" i="38"/>
  <c r="DG67" i="38"/>
  <c r="CX67" i="38"/>
  <c r="DA67" i="38"/>
  <c r="DD67" i="38"/>
  <c r="DJ67" i="38"/>
  <c r="CY67" i="38"/>
  <c r="CW67" i="38"/>
  <c r="CZ67" i="38"/>
  <c r="DI67" i="38"/>
  <c r="DM67" i="38"/>
  <c r="DL67" i="38"/>
  <c r="DH67" i="38"/>
  <c r="DN67" i="38"/>
  <c r="DK67" i="38"/>
  <c r="DO67" i="38"/>
  <c r="DP67" i="38"/>
  <c r="CX16" i="38"/>
  <c r="DC16" i="38"/>
  <c r="CV16" i="38"/>
  <c r="DB16" i="38"/>
  <c r="DA16" i="38"/>
  <c r="CY16" i="38"/>
  <c r="CZ16" i="38"/>
  <c r="CW16" i="38"/>
  <c r="DI16" i="38"/>
  <c r="DL16" i="38"/>
  <c r="DP16" i="38"/>
  <c r="DD16" i="38"/>
  <c r="DF16" i="38"/>
  <c r="DM16" i="38"/>
  <c r="DE16" i="38"/>
  <c r="DG16" i="38"/>
  <c r="DJ16" i="38"/>
  <c r="DH16" i="38"/>
  <c r="DK16" i="38"/>
  <c r="DN16" i="38"/>
  <c r="DO16" i="38"/>
  <c r="O19" i="50" a="1"/>
  <c r="O19" i="50" s="1"/>
  <c r="D147" i="38" a="1"/>
  <c r="D147" i="38" s="1"/>
  <c r="DA64" i="38"/>
  <c r="CW64" i="38"/>
  <c r="CX64" i="38"/>
  <c r="CV64" i="38"/>
  <c r="CY64" i="38"/>
  <c r="CZ64" i="38"/>
  <c r="DB64" i="38"/>
  <c r="DC64" i="38"/>
  <c r="DL64" i="38"/>
  <c r="DI64" i="38"/>
  <c r="DP64" i="38"/>
  <c r="DF64" i="38"/>
  <c r="DD64" i="38"/>
  <c r="DG64" i="38"/>
  <c r="DM64" i="38"/>
  <c r="DE64" i="38"/>
  <c r="DJ64" i="38"/>
  <c r="DH64" i="38"/>
  <c r="DK64" i="38"/>
  <c r="DN64" i="38"/>
  <c r="DO64" i="38"/>
  <c r="DA58" i="38"/>
  <c r="DB58" i="38"/>
  <c r="CV58" i="38"/>
  <c r="DC58" i="38"/>
  <c r="CY58" i="38"/>
  <c r="CW58" i="38"/>
  <c r="CX58" i="38"/>
  <c r="CZ58" i="38"/>
  <c r="DL58" i="38"/>
  <c r="DI58" i="38"/>
  <c r="DP58" i="38"/>
  <c r="DR58" i="38" s="1"/>
  <c r="DV58" i="38" s="1"/>
  <c r="DX58" i="38" s="1"/>
  <c r="EB58" i="38" s="1"/>
  <c r="DD58" i="38"/>
  <c r="DF58" i="38"/>
  <c r="DG58" i="38"/>
  <c r="DM58" i="38"/>
  <c r="DE58" i="38"/>
  <c r="DJ58" i="38"/>
  <c r="DH58" i="38"/>
  <c r="DK58" i="38"/>
  <c r="DN58" i="38"/>
  <c r="DO58" i="38"/>
  <c r="DA19" i="38"/>
  <c r="DC19" i="38"/>
  <c r="CY19" i="38"/>
  <c r="DB19" i="38"/>
  <c r="DI19" i="38"/>
  <c r="CV19" i="38"/>
  <c r="DF19" i="38"/>
  <c r="DD19" i="38"/>
  <c r="DM19" i="38"/>
  <c r="DE19" i="38"/>
  <c r="DG19" i="38"/>
  <c r="CZ19" i="38"/>
  <c r="CW19" i="38"/>
  <c r="CX19" i="38"/>
  <c r="DL19" i="38"/>
  <c r="DH19" i="38"/>
  <c r="DJ19" i="38"/>
  <c r="DK19" i="38"/>
  <c r="DN19" i="38"/>
  <c r="DP19" i="38"/>
  <c r="DR19" i="38" s="1"/>
  <c r="DV19" i="38" s="1"/>
  <c r="DX19" i="38" s="1"/>
  <c r="EB19" i="38" s="1"/>
  <c r="DO19" i="38"/>
  <c r="O20" i="50" a="1"/>
  <c r="O20" i="50" s="1"/>
  <c r="D158" i="38" a="1"/>
  <c r="D158" i="38" s="1"/>
  <c r="DA60" i="38"/>
  <c r="DB60" i="38"/>
  <c r="CV60" i="38"/>
  <c r="CX60" i="38"/>
  <c r="CW60" i="38"/>
  <c r="DC60" i="38"/>
  <c r="DL60" i="38"/>
  <c r="CZ60" i="38"/>
  <c r="CY60" i="38"/>
  <c r="DI60" i="38"/>
  <c r="DP60" i="38"/>
  <c r="DR60" i="38" s="1"/>
  <c r="DV60" i="38" s="1"/>
  <c r="DX60" i="38" s="1"/>
  <c r="EB60" i="38" s="1"/>
  <c r="DD60" i="38"/>
  <c r="DF60" i="38"/>
  <c r="DG60" i="38"/>
  <c r="DE60" i="38"/>
  <c r="DM60" i="38"/>
  <c r="DJ60" i="38"/>
  <c r="DH60" i="38"/>
  <c r="DN60" i="38"/>
  <c r="DK60" i="38"/>
  <c r="DO60" i="38"/>
  <c r="DF53" i="38"/>
  <c r="CZ53" i="38"/>
  <c r="CW53" i="38"/>
  <c r="CY53" i="38"/>
  <c r="DA53" i="38"/>
  <c r="DB53" i="38"/>
  <c r="CV53" i="38"/>
  <c r="CX53" i="38"/>
  <c r="DC53" i="38"/>
  <c r="DL53" i="38"/>
  <c r="DI53" i="38"/>
  <c r="DP53" i="38"/>
  <c r="DD53" i="38"/>
  <c r="DE53" i="38"/>
  <c r="DM53" i="38"/>
  <c r="DG53" i="38"/>
  <c r="DJ53" i="38"/>
  <c r="DH53" i="38"/>
  <c r="DN53" i="38"/>
  <c r="DK53" i="38"/>
  <c r="DO53" i="38"/>
  <c r="O17" i="50" a="1"/>
  <c r="O17" i="50" s="1"/>
  <c r="D133" i="38" a="1"/>
  <c r="D133" i="38" s="1"/>
  <c r="DA52" i="38"/>
  <c r="CY52" i="38"/>
  <c r="DC52" i="38"/>
  <c r="CX52" i="38"/>
  <c r="DB52" i="38"/>
  <c r="CZ52" i="38"/>
  <c r="CW52" i="38"/>
  <c r="CV52" i="38"/>
  <c r="DL52" i="38"/>
  <c r="DI52" i="38"/>
  <c r="DP52" i="38"/>
  <c r="DF52" i="38"/>
  <c r="DD52" i="38"/>
  <c r="DE52" i="38"/>
  <c r="DG52" i="38"/>
  <c r="DM52" i="38"/>
  <c r="DJ52" i="38"/>
  <c r="DH52" i="38"/>
  <c r="DN52" i="38"/>
  <c r="DK52" i="38"/>
  <c r="DO52" i="38"/>
  <c r="CK34" i="38" a="1"/>
  <c r="CK34" i="38" s="1"/>
  <c r="CK32" i="38" a="1"/>
  <c r="CK32" i="38" s="1"/>
  <c r="CK27" i="38" a="1"/>
  <c r="CK27" i="38" s="1"/>
  <c r="CK28" i="38" a="1"/>
  <c r="CK28" i="38" s="1"/>
  <c r="CK35" i="38" a="1"/>
  <c r="CK35" i="38" s="1"/>
  <c r="CK26" i="38" a="1"/>
  <c r="CK26" i="38" s="1"/>
  <c r="AY26" i="38" s="1" a="1"/>
  <c r="AY26" i="38" s="1"/>
  <c r="AZ26" i="38" s="1"/>
  <c r="BA26" i="38" s="1"/>
  <c r="CK36" i="38" a="1"/>
  <c r="CK36" i="38" s="1"/>
  <c r="AM161" i="38" a="1"/>
  <c r="AM161" i="38" s="1"/>
  <c r="AM90" i="38" a="1"/>
  <c r="AM90" i="38" s="1"/>
  <c r="AW7" i="44"/>
  <c r="AV7" i="44"/>
  <c r="DJ185" i="38"/>
  <c r="DH185" i="38"/>
  <c r="DO185" i="38"/>
  <c r="DM185" i="38"/>
  <c r="CZ185" i="38"/>
  <c r="DR187" i="38"/>
  <c r="DG185" i="38"/>
  <c r="DI185" i="38"/>
  <c r="DF185" i="38"/>
  <c r="CW185" i="38"/>
  <c r="DP185" i="38"/>
  <c r="DR186" i="38"/>
  <c r="DV186" i="38" s="1"/>
  <c r="CY185" i="38"/>
  <c r="CV185" i="38"/>
  <c r="DK185" i="38"/>
  <c r="DD185" i="38"/>
  <c r="DB185" i="38"/>
  <c r="DN185" i="38"/>
  <c r="DC185" i="38"/>
  <c r="DE185" i="38"/>
  <c r="DR188" i="38"/>
  <c r="DV188" i="38" s="1"/>
  <c r="DX188" i="38" s="1"/>
  <c r="EB188" i="38" s="1"/>
  <c r="DL185" i="38"/>
  <c r="DA185" i="38"/>
  <c r="CX185" i="38"/>
  <c r="DV1001" i="71"/>
  <c r="DR1001" i="71"/>
  <c r="DV1002" i="71"/>
  <c r="EB1002" i="71" s="1"/>
  <c r="DR1002" i="71"/>
  <c r="BA999" i="71"/>
  <c r="BB999" i="71" s="1"/>
  <c r="F8" i="193"/>
  <c r="BZ25" i="85"/>
  <c r="AY25" i="85"/>
  <c r="AZ25" i="85" s="1"/>
  <c r="CF32" i="85"/>
  <c r="BB30" i="85"/>
  <c r="BA1000" i="71"/>
  <c r="AM16" i="44" l="1"/>
  <c r="I20" i="38" s="1" a="1"/>
  <c r="I20" i="38" s="1"/>
  <c r="J20" i="38" s="1"/>
  <c r="R20" i="38"/>
  <c r="CW20" i="38" s="1"/>
  <c r="CW15" i="38" s="1"/>
  <c r="DX21" i="38"/>
  <c r="EB21" i="38" s="1"/>
  <c r="DR22" i="38"/>
  <c r="DV22" i="38" s="1"/>
  <c r="DX23" i="38"/>
  <c r="EB23" i="38" s="1"/>
  <c r="AM15" i="44"/>
  <c r="I66" i="38" s="1" a="1"/>
  <c r="I66" i="38" s="1"/>
  <c r="DX69" i="38"/>
  <c r="EB69" i="38" s="1"/>
  <c r="DR70" i="38"/>
  <c r="DV70" i="38" s="1"/>
  <c r="DR68" i="38"/>
  <c r="DV68" i="38" s="1"/>
  <c r="DX71" i="38"/>
  <c r="EB71" i="38" s="1"/>
  <c r="DR72" i="38"/>
  <c r="DV72" i="38" s="1"/>
  <c r="DX73" i="38"/>
  <c r="EB73" i="38" s="1"/>
  <c r="DR74" i="38"/>
  <c r="DV74" i="38" s="1"/>
  <c r="DX75" i="38"/>
  <c r="EB75" i="38" s="1"/>
  <c r="DR76" i="38"/>
  <c r="DV76" i="38" s="1"/>
  <c r="DX77" i="38"/>
  <c r="EB77" i="38" s="1"/>
  <c r="DR78" i="38"/>
  <c r="DV78" i="38" s="1"/>
  <c r="BF82" i="38"/>
  <c r="BB82" i="38"/>
  <c r="DX79" i="38"/>
  <c r="EB79" i="38" s="1"/>
  <c r="DP95" i="38"/>
  <c r="CZ95" i="38"/>
  <c r="CY95" i="38"/>
  <c r="CV95" i="38"/>
  <c r="CX95" i="38"/>
  <c r="DB95" i="38"/>
  <c r="CW95" i="38"/>
  <c r="DA95" i="38"/>
  <c r="DD95" i="38"/>
  <c r="DC95" i="38"/>
  <c r="DF95" i="38"/>
  <c r="DH95" i="38"/>
  <c r="DL95" i="38"/>
  <c r="DI95" i="38"/>
  <c r="DG95" i="38"/>
  <c r="DE95" i="38"/>
  <c r="DM95" i="38"/>
  <c r="DK95" i="38"/>
  <c r="DN95" i="38"/>
  <c r="DJ95" i="38"/>
  <c r="DO95" i="38"/>
  <c r="BI114" i="38"/>
  <c r="BP114" i="38" s="1" a="1"/>
  <c r="BP114" i="38" s="1"/>
  <c r="BR114" i="38" s="1"/>
  <c r="BS114" i="38" s="1"/>
  <c r="CK115" i="38" a="1"/>
  <c r="CK115" i="38" s="1"/>
  <c r="P116" i="38" a="1"/>
  <c r="P116" i="38" s="1"/>
  <c r="AM14" i="44"/>
  <c r="I84" i="38" s="1" a="1"/>
  <c r="I84" i="38" s="1"/>
  <c r="CK84" i="38" a="1"/>
  <c r="CK84" i="38" s="1"/>
  <c r="DE84" i="38" s="1"/>
  <c r="CK83" i="38" a="1"/>
  <c r="CK83" i="38" s="1"/>
  <c r="CK125" i="38" a="1"/>
  <c r="CK125" i="38" s="1"/>
  <c r="CZ125" i="38" s="1"/>
  <c r="CK124" i="38" a="1"/>
  <c r="CK124" i="38" s="1"/>
  <c r="AM13" i="44"/>
  <c r="I110" i="38" s="1" a="1"/>
  <c r="I110" i="38" s="1"/>
  <c r="J110" i="38" s="1"/>
  <c r="AG110" i="38" s="1" a="1"/>
  <c r="AG110" i="38" s="1"/>
  <c r="AL110" i="38" s="1"/>
  <c r="CK116" i="38" a="1"/>
  <c r="CK116" i="38" s="1"/>
  <c r="CK110" i="38" a="1"/>
  <c r="CK110" i="38" s="1"/>
  <c r="CZ110" i="38" s="1"/>
  <c r="P110" i="38" a="1"/>
  <c r="P110" i="38" s="1"/>
  <c r="CK109" i="38" a="1"/>
  <c r="CK109" i="38" s="1"/>
  <c r="DM109" i="38" s="1"/>
  <c r="CK111" i="38" a="1"/>
  <c r="CK111" i="38" s="1"/>
  <c r="CK146" i="38" a="1"/>
  <c r="CK146" i="38" s="1"/>
  <c r="P143" i="38" a="1"/>
  <c r="P143" i="38" s="1"/>
  <c r="P141" i="38" a="1"/>
  <c r="P141" i="38" s="1"/>
  <c r="P145" i="38" a="1"/>
  <c r="P145" i="38" s="1"/>
  <c r="P139" i="38" a="1"/>
  <c r="P139" i="38" s="1"/>
  <c r="P156" i="38" a="1"/>
  <c r="P156" i="38" s="1"/>
  <c r="P150" i="38" a="1"/>
  <c r="P150" i="38" s="1"/>
  <c r="P154" i="38" a="1"/>
  <c r="P154" i="38" s="1"/>
  <c r="P152" i="38" a="1"/>
  <c r="P152" i="38" s="1"/>
  <c r="CK142" i="38" a="1"/>
  <c r="CK142" i="38" s="1"/>
  <c r="CZ142" i="38" s="1"/>
  <c r="CK143" i="38" a="1"/>
  <c r="CK143" i="38" s="1"/>
  <c r="CK139" i="38" a="1"/>
  <c r="CK139" i="38" s="1"/>
  <c r="CZ139" i="38" s="1"/>
  <c r="CK144" i="38" a="1"/>
  <c r="CK144" i="38" s="1"/>
  <c r="CK153" i="38" a="1"/>
  <c r="CK153" i="38" s="1"/>
  <c r="DB153" i="38" s="1"/>
  <c r="CK154" i="38" a="1"/>
  <c r="CK154" i="38" s="1"/>
  <c r="CK150" i="38" a="1"/>
  <c r="CK150" i="38" s="1"/>
  <c r="CK155" i="38" a="1"/>
  <c r="CK155" i="38" s="1"/>
  <c r="CK152" i="38" a="1"/>
  <c r="CK152" i="38" s="1"/>
  <c r="CZ152" i="38" s="1"/>
  <c r="CK151" i="38" a="1"/>
  <c r="CK151" i="38" s="1"/>
  <c r="CK141" i="38" a="1"/>
  <c r="CK141" i="38" s="1"/>
  <c r="CK140" i="38" a="1"/>
  <c r="CK140" i="38" s="1"/>
  <c r="P170" i="38" a="1"/>
  <c r="P170" i="38" s="1"/>
  <c r="P166" i="38" a="1"/>
  <c r="P166" i="38" s="1"/>
  <c r="P172" i="38" a="1"/>
  <c r="P172" i="38" s="1"/>
  <c r="P168" i="38" a="1"/>
  <c r="P168" i="38" s="1"/>
  <c r="CK169" i="38" a="1"/>
  <c r="CK169" i="38" s="1"/>
  <c r="CV169" i="38" s="1"/>
  <c r="CK168" i="38" a="1"/>
  <c r="CK168" i="38" s="1"/>
  <c r="CK173" i="38" a="1"/>
  <c r="CK173" i="38" s="1"/>
  <c r="CZ173" i="38" s="1"/>
  <c r="CK172" i="38" a="1"/>
  <c r="CK172" i="38" s="1"/>
  <c r="CK166" i="38" a="1"/>
  <c r="CK166" i="38" s="1"/>
  <c r="CZ166" i="38" s="1"/>
  <c r="CK165" i="38" a="1"/>
  <c r="CK165" i="38" s="1"/>
  <c r="CK181" i="38" a="1"/>
  <c r="CK181" i="38" s="1"/>
  <c r="CY181" i="38" s="1"/>
  <c r="P181" i="38" a="1"/>
  <c r="P181" i="38" s="1"/>
  <c r="CK182" i="38" a="1"/>
  <c r="CK182" i="38" s="1"/>
  <c r="P179" i="38" a="1"/>
  <c r="P179" i="38" s="1"/>
  <c r="P177" i="38" a="1"/>
  <c r="P177" i="38" s="1"/>
  <c r="AM11" i="44"/>
  <c r="AM12" i="44"/>
  <c r="CK183" i="38" a="1"/>
  <c r="CK183" i="38" s="1"/>
  <c r="DM183" i="38" s="1"/>
  <c r="CK179" i="38" a="1"/>
  <c r="CK179" i="38" s="1"/>
  <c r="CZ179" i="38" s="1"/>
  <c r="CK178" i="38" a="1"/>
  <c r="CK178" i="38" s="1"/>
  <c r="CK180" i="38" a="1"/>
  <c r="CK180" i="38" s="1"/>
  <c r="P103" i="38" a="1"/>
  <c r="P103" i="38" s="1"/>
  <c r="R103" i="38" s="1"/>
  <c r="P106" i="38" a="1"/>
  <c r="P106" i="38" s="1"/>
  <c r="P108" i="38" a="1"/>
  <c r="P108" i="38" s="1"/>
  <c r="J103" i="38"/>
  <c r="AG103" i="38" s="1" a="1"/>
  <c r="AG103" i="38" s="1"/>
  <c r="AL103" i="38" s="1"/>
  <c r="AM29" i="38" a="1"/>
  <c r="AM29" i="38" s="1"/>
  <c r="AM103" i="38" a="1"/>
  <c r="AM103" i="38" s="1"/>
  <c r="AM41" i="38" a="1"/>
  <c r="AM41" i="38" s="1"/>
  <c r="CK102" i="38" a="1"/>
  <c r="CK102" i="38" s="1"/>
  <c r="CZ102" i="38" s="1"/>
  <c r="CK101" i="38" a="1"/>
  <c r="CK101" i="38" s="1"/>
  <c r="CK103" i="38" a="1"/>
  <c r="CK103" i="38" s="1"/>
  <c r="CK105" i="38" a="1"/>
  <c r="CK105" i="38" s="1"/>
  <c r="CZ105" i="38" s="1"/>
  <c r="CK104" i="38" a="1"/>
  <c r="CK104" i="38" s="1"/>
  <c r="AM9" i="44"/>
  <c r="CK107" i="38" a="1"/>
  <c r="CK107" i="38" s="1"/>
  <c r="DD107" i="38" s="1"/>
  <c r="CK106" i="38" a="1"/>
  <c r="CK106" i="38" s="1"/>
  <c r="AM30" i="38" a="1"/>
  <c r="AM30" i="38" s="1"/>
  <c r="I41" i="38" a="1"/>
  <c r="I41" i="38" s="1"/>
  <c r="R41" i="38" s="1"/>
  <c r="CW41" i="38" s="1"/>
  <c r="I42" i="38" a="1"/>
  <c r="I42" i="38" s="1"/>
  <c r="CY33" i="38"/>
  <c r="CX33" i="38"/>
  <c r="CZ33" i="38"/>
  <c r="DF33" i="38"/>
  <c r="I29" i="38" a="1"/>
  <c r="I29" i="38" s="1"/>
  <c r="J29" i="38" s="1"/>
  <c r="AG29" i="38" s="1" a="1"/>
  <c r="AG29" i="38" s="1"/>
  <c r="AL29" i="38" s="1"/>
  <c r="I30" i="38" a="1"/>
  <c r="I30" i="38" s="1"/>
  <c r="DD33" i="38"/>
  <c r="DG33" i="38"/>
  <c r="DJ33" i="38"/>
  <c r="DE33" i="38"/>
  <c r="DG29" i="38"/>
  <c r="DF29" i="38"/>
  <c r="DD29" i="38"/>
  <c r="DJ29" i="38"/>
  <c r="CX29" i="38"/>
  <c r="CY29" i="38"/>
  <c r="DE29" i="38"/>
  <c r="CZ29" i="38"/>
  <c r="AM8" i="44"/>
  <c r="I108" i="38" s="1" a="1"/>
  <c r="I108" i="38" s="1"/>
  <c r="DP31" i="38"/>
  <c r="DR31" i="38" s="1"/>
  <c r="DV31" i="38" s="1"/>
  <c r="DC31" i="38"/>
  <c r="DM31" i="38"/>
  <c r="DJ31" i="38"/>
  <c r="DF31" i="38"/>
  <c r="DN31" i="38"/>
  <c r="DA31" i="38"/>
  <c r="DE31" i="38"/>
  <c r="DK31" i="38"/>
  <c r="CX31" i="38"/>
  <c r="DD31" i="38"/>
  <c r="DH31" i="38"/>
  <c r="CW31" i="38"/>
  <c r="DL31" i="38"/>
  <c r="CV31" i="38"/>
  <c r="DB31" i="38"/>
  <c r="DO31" i="38"/>
  <c r="DI31" i="38"/>
  <c r="CY31" i="38"/>
  <c r="DG31" i="38"/>
  <c r="DG43" i="38"/>
  <c r="DE43" i="38"/>
  <c r="DM43" i="38"/>
  <c r="DP43" i="38"/>
  <c r="DR43" i="38" s="1"/>
  <c r="DV43" i="38" s="1"/>
  <c r="CY30" i="38"/>
  <c r="CZ30" i="38"/>
  <c r="CX30" i="38"/>
  <c r="DD30" i="38"/>
  <c r="DF30" i="38"/>
  <c r="DE30" i="38"/>
  <c r="DM30" i="38"/>
  <c r="DG30" i="38"/>
  <c r="DJ30" i="38"/>
  <c r="DO43" i="38"/>
  <c r="DF43" i="38"/>
  <c r="DN43" i="38"/>
  <c r="DA43" i="38"/>
  <c r="DB43" i="38"/>
  <c r="DK43" i="38"/>
  <c r="DD43" i="38"/>
  <c r="DH43" i="38"/>
  <c r="CX43" i="38"/>
  <c r="DC43" i="38"/>
  <c r="DL43" i="38"/>
  <c r="CW43" i="38"/>
  <c r="DI43" i="38"/>
  <c r="CV43" i="38"/>
  <c r="DJ43" i="38"/>
  <c r="CZ43" i="38"/>
  <c r="DG45" i="38"/>
  <c r="CZ42" i="38"/>
  <c r="CX42" i="38"/>
  <c r="CY42" i="38"/>
  <c r="DF42" i="38"/>
  <c r="DD42" i="38"/>
  <c r="DG42" i="38"/>
  <c r="DE42" i="38"/>
  <c r="DM42" i="38"/>
  <c r="DJ42" i="38"/>
  <c r="DM45" i="38"/>
  <c r="DD45" i="38"/>
  <c r="DF45" i="38"/>
  <c r="CX45" i="38"/>
  <c r="DJ45" i="38"/>
  <c r="CY45" i="38"/>
  <c r="DE45" i="38"/>
  <c r="CZ44" i="38"/>
  <c r="DP44" i="38"/>
  <c r="CW44" i="38"/>
  <c r="CY44" i="38"/>
  <c r="CX44" i="38"/>
  <c r="CV44" i="38"/>
  <c r="DB44" i="38"/>
  <c r="DC44" i="38"/>
  <c r="DF44" i="38"/>
  <c r="DD44" i="38"/>
  <c r="DA44" i="38"/>
  <c r="DM44" i="38"/>
  <c r="DE44" i="38"/>
  <c r="DI44" i="38"/>
  <c r="DL44" i="38"/>
  <c r="DG44" i="38"/>
  <c r="DJ44" i="38"/>
  <c r="DH44" i="38"/>
  <c r="DN44" i="38"/>
  <c r="DK44" i="38"/>
  <c r="DO44" i="38"/>
  <c r="CY15" i="38"/>
  <c r="O7" i="50" a="1"/>
  <c r="O7" i="50" s="1"/>
  <c r="O4" i="50" s="1" a="1"/>
  <c r="O4" i="50" s="1"/>
  <c r="O3" i="50" s="1"/>
  <c r="DR62" i="38"/>
  <c r="DV62" i="38" s="1"/>
  <c r="DX62" i="38" s="1"/>
  <c r="EB62" i="38" s="1"/>
  <c r="DE15" i="38"/>
  <c r="CK128" i="38" a="1"/>
  <c r="CK128" i="38" s="1"/>
  <c r="CK129" i="38" a="1"/>
  <c r="CK129" i="38" s="1"/>
  <c r="DR61" i="38"/>
  <c r="DV61" i="38" s="1"/>
  <c r="DX61" i="38" s="1"/>
  <c r="EB61" i="38" s="1"/>
  <c r="CW38" i="38"/>
  <c r="DI38" i="38"/>
  <c r="CY38" i="38"/>
  <c r="CZ38" i="38"/>
  <c r="CX38" i="38"/>
  <c r="CV38" i="38"/>
  <c r="DL38" i="38"/>
  <c r="DC38" i="38"/>
  <c r="DB38" i="38"/>
  <c r="DA38" i="38"/>
  <c r="DD38" i="38"/>
  <c r="DE38" i="38"/>
  <c r="CX27" i="38"/>
  <c r="DL27" i="38"/>
  <c r="CV27" i="38"/>
  <c r="DG27" i="38"/>
  <c r="DD27" i="38"/>
  <c r="DI27" i="38"/>
  <c r="DM27" i="38"/>
  <c r="DE27" i="38"/>
  <c r="DF27" i="38"/>
  <c r="CW27" i="38"/>
  <c r="CY27" i="38"/>
  <c r="DJ27" i="38"/>
  <c r="DB27" i="38"/>
  <c r="DA27" i="38"/>
  <c r="DC27" i="38"/>
  <c r="CZ27" i="38"/>
  <c r="DH27" i="38"/>
  <c r="DK27" i="38"/>
  <c r="DN27" i="38"/>
  <c r="DP27" i="38"/>
  <c r="DO27" i="38"/>
  <c r="CK160" i="38" a="1"/>
  <c r="CK160" i="38" s="1"/>
  <c r="CK159" i="38" a="1"/>
  <c r="CK159" i="38" s="1"/>
  <c r="CK162" i="38" a="1"/>
  <c r="CK162" i="38" s="1"/>
  <c r="CK161" i="38" a="1"/>
  <c r="CK161" i="38" s="1"/>
  <c r="P161" i="38" a="1"/>
  <c r="P161" i="38" s="1"/>
  <c r="DR65" i="38"/>
  <c r="DV65" i="38" s="1"/>
  <c r="DX65" i="38" s="1"/>
  <c r="EB65" i="38" s="1"/>
  <c r="DG15" i="38"/>
  <c r="DR53" i="38"/>
  <c r="DV53" i="38" s="1"/>
  <c r="DX53" i="38" s="1"/>
  <c r="EB53" i="38" s="1"/>
  <c r="CK134" i="38" a="1"/>
  <c r="CK134" i="38" s="1"/>
  <c r="CK135" i="38" a="1"/>
  <c r="CK135" i="38" s="1"/>
  <c r="DF15" i="38"/>
  <c r="CX15" i="38"/>
  <c r="DM15" i="38"/>
  <c r="DR54" i="38"/>
  <c r="DV54" i="38" s="1"/>
  <c r="DX54" i="38" s="1"/>
  <c r="EB54" i="38" s="1"/>
  <c r="DA48" i="38"/>
  <c r="DP48" i="38"/>
  <c r="DR48" i="38" s="1"/>
  <c r="DV48" i="38" s="1"/>
  <c r="DX48" i="38" s="1"/>
  <c r="EB48" i="38" s="1"/>
  <c r="DG48" i="38"/>
  <c r="CZ48" i="38"/>
  <c r="DC48" i="38"/>
  <c r="CV48" i="38"/>
  <c r="DJ48" i="38"/>
  <c r="DH48" i="38"/>
  <c r="DK48" i="38"/>
  <c r="DL48" i="38"/>
  <c r="DI48" i="38"/>
  <c r="CY48" i="38"/>
  <c r="DN48" i="38"/>
  <c r="CW48" i="38"/>
  <c r="DO48" i="38"/>
  <c r="DD48" i="38"/>
  <c r="CX48" i="38"/>
  <c r="DE48" i="38"/>
  <c r="DF48" i="38"/>
  <c r="DM48" i="38"/>
  <c r="DB48" i="38"/>
  <c r="DA28" i="38"/>
  <c r="DK28" i="38"/>
  <c r="DM28" i="38"/>
  <c r="DO28" i="38"/>
  <c r="DE28" i="38"/>
  <c r="DF28" i="38"/>
  <c r="CV28" i="38"/>
  <c r="CW28" i="38"/>
  <c r="CX28" i="38"/>
  <c r="DD28" i="38"/>
  <c r="DB28" i="38"/>
  <c r="DG28" i="38"/>
  <c r="DJ28" i="38"/>
  <c r="DC28" i="38"/>
  <c r="DH28" i="38"/>
  <c r="DP28" i="38"/>
  <c r="DR28" i="38" s="1"/>
  <c r="DV28" i="38" s="1"/>
  <c r="DX28" i="38" s="1"/>
  <c r="EB28" i="38" s="1"/>
  <c r="DL28" i="38"/>
  <c r="CZ28" i="38"/>
  <c r="CY28" i="38"/>
  <c r="DI28" i="38"/>
  <c r="DN28" i="38"/>
  <c r="CK137" i="38" a="1"/>
  <c r="CK137" i="38" s="1"/>
  <c r="CK138" i="38" a="1"/>
  <c r="CK138" i="38" s="1"/>
  <c r="CK145" i="38" a="1"/>
  <c r="CK145" i="38" s="1"/>
  <c r="DP32" i="38"/>
  <c r="DR32" i="38" s="1"/>
  <c r="DV32" i="38" s="1"/>
  <c r="DX32" i="38" s="1"/>
  <c r="EB32" i="38" s="1"/>
  <c r="DM32" i="38"/>
  <c r="CZ32" i="38"/>
  <c r="DE32" i="38"/>
  <c r="CY32" i="38"/>
  <c r="DH32" i="38"/>
  <c r="CW32" i="38"/>
  <c r="DI32" i="38"/>
  <c r="DL32" i="38"/>
  <c r="DJ32" i="38"/>
  <c r="DN32" i="38"/>
  <c r="DK32" i="38"/>
  <c r="CV32" i="38"/>
  <c r="DO32" i="38"/>
  <c r="CX32" i="38"/>
  <c r="DB32" i="38"/>
  <c r="DA32" i="38"/>
  <c r="DF32" i="38"/>
  <c r="DD32" i="38"/>
  <c r="DG32" i="38"/>
  <c r="DC32" i="38"/>
  <c r="CK108" i="38" a="1"/>
  <c r="CK108" i="38" s="1"/>
  <c r="CK99" i="38" a="1"/>
  <c r="CK99" i="38" s="1"/>
  <c r="CK100" i="38" a="1"/>
  <c r="CK100" i="38" s="1"/>
  <c r="AY100" i="38" s="1" a="1"/>
  <c r="AY100" i="38" s="1"/>
  <c r="AZ100" i="38" s="1"/>
  <c r="BA100" i="38" s="1"/>
  <c r="DR50" i="38"/>
  <c r="DV50" i="38" s="1"/>
  <c r="DF26" i="38"/>
  <c r="DD36" i="38"/>
  <c r="DL36" i="38"/>
  <c r="DB36" i="38"/>
  <c r="CV36" i="38"/>
  <c r="DA36" i="38"/>
  <c r="CW36" i="38"/>
  <c r="DF36" i="38"/>
  <c r="DM36" i="38"/>
  <c r="CZ36" i="38"/>
  <c r="DC36" i="38"/>
  <c r="CY36" i="38"/>
  <c r="DI36" i="38"/>
  <c r="DE36" i="38"/>
  <c r="DG36" i="38"/>
  <c r="CX36" i="38"/>
  <c r="DJ36" i="38"/>
  <c r="DH36" i="38"/>
  <c r="DK36" i="38"/>
  <c r="DN36" i="38"/>
  <c r="DO36" i="38"/>
  <c r="DP36" i="38"/>
  <c r="DR52" i="38"/>
  <c r="DV52" i="38" s="1"/>
  <c r="DX52" i="38" s="1"/>
  <c r="EB52" i="38" s="1"/>
  <c r="DR67" i="38"/>
  <c r="DV67" i="38" s="1"/>
  <c r="DX67" i="38" s="1"/>
  <c r="EB67" i="38" s="1"/>
  <c r="DD15" i="38"/>
  <c r="CZ49" i="38"/>
  <c r="DF41" i="38"/>
  <c r="DD41" i="38"/>
  <c r="DG41" i="38"/>
  <c r="CZ41" i="38"/>
  <c r="DM41" i="38"/>
  <c r="DE41" i="38"/>
  <c r="DJ41" i="38"/>
  <c r="CY41" i="38"/>
  <c r="CX41" i="38"/>
  <c r="CW34" i="38"/>
  <c r="DL34" i="38"/>
  <c r="CX34" i="38"/>
  <c r="DN34" i="38"/>
  <c r="DB34" i="38"/>
  <c r="DJ34" i="38"/>
  <c r="DA34" i="38"/>
  <c r="DO34" i="38"/>
  <c r="DD34" i="38"/>
  <c r="CY34" i="38"/>
  <c r="DP34" i="38"/>
  <c r="DR34" i="38" s="1"/>
  <c r="DV34" i="38" s="1"/>
  <c r="DX34" i="38" s="1"/>
  <c r="EB34" i="38" s="1"/>
  <c r="DF34" i="38"/>
  <c r="CV34" i="38"/>
  <c r="DH34" i="38"/>
  <c r="DI34" i="38"/>
  <c r="DE34" i="38"/>
  <c r="DM34" i="38"/>
  <c r="DC34" i="38"/>
  <c r="DG34" i="38"/>
  <c r="CZ34" i="38"/>
  <c r="DK34" i="38"/>
  <c r="CK156" i="38" a="1"/>
  <c r="CK156" i="38" s="1"/>
  <c r="CK149" i="38" a="1"/>
  <c r="CK149" i="38" s="1"/>
  <c r="CK148" i="38" a="1"/>
  <c r="CK148" i="38" s="1"/>
  <c r="CK157" i="38" a="1"/>
  <c r="CK157" i="38" s="1"/>
  <c r="DR16" i="38"/>
  <c r="DV16" i="38" s="1"/>
  <c r="DR18" i="38"/>
  <c r="DV18" i="38" s="1"/>
  <c r="DX18" i="38" s="1"/>
  <c r="EB18" i="38" s="1"/>
  <c r="DD40" i="38"/>
  <c r="DK40" i="38"/>
  <c r="DF40" i="38"/>
  <c r="DO40" i="38"/>
  <c r="DC40" i="38"/>
  <c r="DG40" i="38"/>
  <c r="DB40" i="38"/>
  <c r="DL40" i="38"/>
  <c r="DE40" i="38"/>
  <c r="DM40" i="38"/>
  <c r="DI40" i="38"/>
  <c r="CV40" i="38"/>
  <c r="DH40" i="38"/>
  <c r="DP40" i="38"/>
  <c r="DR40" i="38" s="1"/>
  <c r="DV40" i="38" s="1"/>
  <c r="DX40" i="38" s="1"/>
  <c r="EB40" i="38" s="1"/>
  <c r="DJ40" i="38"/>
  <c r="CZ40" i="38"/>
  <c r="DN40" i="38"/>
  <c r="CY40" i="38"/>
  <c r="CW40" i="38"/>
  <c r="DA40" i="38"/>
  <c r="CX40" i="38"/>
  <c r="DR64" i="38"/>
  <c r="DV64" i="38" s="1"/>
  <c r="DX64" i="38" s="1"/>
  <c r="EB64" i="38" s="1"/>
  <c r="CK175" i="38" a="1"/>
  <c r="CK175" i="38" s="1"/>
  <c r="CK184" i="38" a="1"/>
  <c r="CK184" i="38" s="1"/>
  <c r="CK176" i="38" a="1"/>
  <c r="CK176" i="38" s="1"/>
  <c r="CK177" i="38" a="1"/>
  <c r="CK177" i="38" s="1"/>
  <c r="CV39" i="38"/>
  <c r="DM39" i="38"/>
  <c r="CY39" i="38"/>
  <c r="DG39" i="38"/>
  <c r="CZ39" i="38"/>
  <c r="DI39" i="38"/>
  <c r="CX39" i="38"/>
  <c r="DC39" i="38"/>
  <c r="DA39" i="38"/>
  <c r="DL39" i="38"/>
  <c r="CW39" i="38"/>
  <c r="DH39" i="38"/>
  <c r="DE39" i="38"/>
  <c r="DD39" i="38"/>
  <c r="DJ39" i="38"/>
  <c r="DF39" i="38"/>
  <c r="DB39" i="38"/>
  <c r="DK39" i="38"/>
  <c r="DN39" i="38"/>
  <c r="DP39" i="38"/>
  <c r="DR39" i="38" s="1"/>
  <c r="DV39" i="38" s="1"/>
  <c r="DX39" i="38" s="1"/>
  <c r="EB39" i="38" s="1"/>
  <c r="DO39" i="38"/>
  <c r="DR17" i="38"/>
  <c r="DV17" i="38" s="1"/>
  <c r="DX17" i="38" s="1"/>
  <c r="EB17" i="38" s="1"/>
  <c r="DJ49" i="38"/>
  <c r="CX49" i="38"/>
  <c r="DE47" i="38"/>
  <c r="CY47" i="38"/>
  <c r="DG47" i="38"/>
  <c r="CZ47" i="38"/>
  <c r="DF47" i="38"/>
  <c r="DD47" i="38"/>
  <c r="DM47" i="38"/>
  <c r="CX47" i="38"/>
  <c r="DJ47" i="38"/>
  <c r="CK91" i="38" a="1"/>
  <c r="CK91" i="38" s="1"/>
  <c r="CK89" i="38" a="1"/>
  <c r="CK89" i="38" s="1"/>
  <c r="CK88" i="38" a="1"/>
  <c r="CK88" i="38" s="1"/>
  <c r="CK90" i="38" a="1"/>
  <c r="CK90" i="38" s="1"/>
  <c r="P90" i="38" a="1"/>
  <c r="P90" i="38" s="1"/>
  <c r="DA26" i="38"/>
  <c r="DI26" i="38"/>
  <c r="CV26" i="38"/>
  <c r="CZ26" i="38"/>
  <c r="CY26" i="38"/>
  <c r="DC26" i="38"/>
  <c r="CX26" i="38"/>
  <c r="CW26" i="38"/>
  <c r="DL26" i="38"/>
  <c r="DB26" i="38"/>
  <c r="DD26" i="38"/>
  <c r="DE26" i="38"/>
  <c r="DG49" i="38"/>
  <c r="DD46" i="38"/>
  <c r="DF46" i="38"/>
  <c r="DA46" i="38"/>
  <c r="DG46" i="38"/>
  <c r="DE46" i="38"/>
  <c r="DH46" i="38"/>
  <c r="CY46" i="38"/>
  <c r="CX46" i="38"/>
  <c r="DL46" i="38"/>
  <c r="DP46" i="38"/>
  <c r="DR46" i="38" s="1"/>
  <c r="DV46" i="38" s="1"/>
  <c r="DX46" i="38" s="1"/>
  <c r="EB46" i="38" s="1"/>
  <c r="CZ46" i="38"/>
  <c r="CV46" i="38"/>
  <c r="CW46" i="38"/>
  <c r="DM46" i="38"/>
  <c r="DJ46" i="38"/>
  <c r="DI46" i="38"/>
  <c r="DN46" i="38"/>
  <c r="DC46" i="38"/>
  <c r="DK46" i="38"/>
  <c r="DB46" i="38"/>
  <c r="DO46" i="38"/>
  <c r="DR51" i="38"/>
  <c r="DV51" i="38" s="1"/>
  <c r="DX51" i="38" s="1"/>
  <c r="EB51" i="38" s="1"/>
  <c r="DG35" i="38"/>
  <c r="DM35" i="38"/>
  <c r="DJ35" i="38"/>
  <c r="CZ35" i="38"/>
  <c r="CX35" i="38"/>
  <c r="CY35" i="38"/>
  <c r="DF35" i="38"/>
  <c r="DD35" i="38"/>
  <c r="DE35" i="38"/>
  <c r="CZ15" i="38"/>
  <c r="DR55" i="38"/>
  <c r="DV55" i="38" s="1"/>
  <c r="DX55" i="38" s="1"/>
  <c r="EB55" i="38" s="1"/>
  <c r="DE49" i="38"/>
  <c r="CY49" i="38"/>
  <c r="CK94" i="38" a="1"/>
  <c r="CK94" i="38" s="1"/>
  <c r="CK96" i="38" a="1"/>
  <c r="CK96" i="38" s="1"/>
  <c r="CK97" i="38" a="1"/>
  <c r="CK97" i="38" s="1"/>
  <c r="CK93" i="38" a="1"/>
  <c r="CK93" i="38" s="1"/>
  <c r="AY93" i="38" s="1" a="1"/>
  <c r="AY93" i="38" s="1"/>
  <c r="AZ93" i="38" s="1"/>
  <c r="BA93" i="38" s="1"/>
  <c r="CK114" i="38" a="1"/>
  <c r="CK114" i="38" s="1"/>
  <c r="CK117" i="38" a="1"/>
  <c r="CK117" i="38" s="1"/>
  <c r="CK113" i="38" a="1"/>
  <c r="CK113" i="38" s="1"/>
  <c r="DM49" i="38"/>
  <c r="DR57" i="38"/>
  <c r="DV57" i="38" s="1"/>
  <c r="DX57" i="38" s="1"/>
  <c r="EB57" i="38" s="1"/>
  <c r="DR56" i="38"/>
  <c r="DV56" i="38" s="1"/>
  <c r="DX56" i="38" s="1"/>
  <c r="EB56" i="38" s="1"/>
  <c r="DD49" i="38"/>
  <c r="CK82" i="38" a="1"/>
  <c r="CK82" i="38" s="1"/>
  <c r="CK81" i="38" a="1"/>
  <c r="CK81" i="38" s="1"/>
  <c r="CK86" i="38" a="1"/>
  <c r="CK86" i="38" s="1"/>
  <c r="CK85" i="38" a="1"/>
  <c r="CK85" i="38" s="1"/>
  <c r="CK123" i="38" a="1"/>
  <c r="CK123" i="38" s="1"/>
  <c r="CK122" i="38" a="1"/>
  <c r="CK122" i="38" s="1"/>
  <c r="CK126" i="38" a="1"/>
  <c r="CK126" i="38" s="1"/>
  <c r="CK131" i="38" a="1"/>
  <c r="CK131" i="38" s="1"/>
  <c r="CK132" i="38" a="1"/>
  <c r="CK132" i="38" s="1"/>
  <c r="CK164" i="38" a="1"/>
  <c r="CK164" i="38" s="1"/>
  <c r="CK167" i="38" a="1"/>
  <c r="CK167" i="38" s="1"/>
  <c r="CK171" i="38" a="1"/>
  <c r="CK171" i="38" s="1"/>
  <c r="CK170" i="38" a="1"/>
  <c r="CK170" i="38" s="1"/>
  <c r="DJ15" i="38"/>
  <c r="DF49" i="38"/>
  <c r="CK119" i="38" a="1"/>
  <c r="CK119" i="38" s="1"/>
  <c r="CK120" i="38" a="1"/>
  <c r="CK120" i="38" s="1"/>
  <c r="DR59" i="38"/>
  <c r="DV59" i="38" s="1"/>
  <c r="DX59" i="38" s="1"/>
  <c r="EB59" i="38" s="1"/>
  <c r="AM7" i="44"/>
  <c r="I161" i="38" s="1" a="1"/>
  <c r="I161" i="38" s="1"/>
  <c r="J161" i="38" s="1"/>
  <c r="AG161" i="38" s="1" a="1"/>
  <c r="AG161" i="38" s="1"/>
  <c r="AL161" i="38" s="1"/>
  <c r="DF38" i="38"/>
  <c r="BA38" i="38"/>
  <c r="DG26" i="38"/>
  <c r="BB26" i="38"/>
  <c r="DR185" i="38"/>
  <c r="DV187" i="38"/>
  <c r="DV185" i="38" s="1"/>
  <c r="DX186" i="38"/>
  <c r="EB186" i="38" s="1"/>
  <c r="EB1001" i="71"/>
  <c r="DX1001" i="71"/>
  <c r="BJ999" i="71" a="1"/>
  <c r="BJ999" i="71" s="1"/>
  <c r="BN999" i="71" a="1"/>
  <c r="BN999" i="71" s="1"/>
  <c r="BO999" i="71" s="1"/>
  <c r="DN999" i="71" s="1"/>
  <c r="BE999" i="71" a="1"/>
  <c r="BE999" i="71" s="1"/>
  <c r="BL999" i="71" a="1"/>
  <c r="BL999" i="71" s="1"/>
  <c r="BC999" i="71" a="1"/>
  <c r="BC999" i="71" s="1"/>
  <c r="BG999" i="71" a="1"/>
  <c r="BG999" i="71" s="1"/>
  <c r="BH999" i="71" s="1"/>
  <c r="DK999" i="71" s="1"/>
  <c r="DX1002" i="71"/>
  <c r="BF999" i="71"/>
  <c r="DJ999" i="71" s="1"/>
  <c r="DG999" i="71"/>
  <c r="DH999" i="71"/>
  <c r="DG1000" i="71"/>
  <c r="BF1000" i="71"/>
  <c r="DJ1000" i="71" s="1"/>
  <c r="BB1000" i="71"/>
  <c r="D39" i="79"/>
  <c r="E28" i="79" s="1"/>
  <c r="CE30" i="85"/>
  <c r="AY30" i="85"/>
  <c r="AZ30" i="85" s="1"/>
  <c r="BB93" i="38" l="1"/>
  <c r="AG20" i="38" a="1"/>
  <c r="AG20" i="38" s="1"/>
  <c r="AL20" i="38" s="1"/>
  <c r="DA20" i="38" s="1"/>
  <c r="DA15" i="38" s="1"/>
  <c r="CV20" i="38"/>
  <c r="CV15" i="38" s="1"/>
  <c r="DX22" i="38"/>
  <c r="EB22" i="38" s="1"/>
  <c r="J66" i="38"/>
  <c r="AG66" i="38" s="1" a="1"/>
  <c r="AG66" i="38" s="1"/>
  <c r="AL66" i="38" s="1"/>
  <c r="DA66" i="38" s="1"/>
  <c r="DA49" i="38" s="1"/>
  <c r="R66" i="38"/>
  <c r="CW66" i="38" s="1"/>
  <c r="CW49" i="38" s="1"/>
  <c r="DX70" i="38"/>
  <c r="EB70" i="38" s="1"/>
  <c r="DX68" i="38"/>
  <c r="EB68" i="38" s="1"/>
  <c r="DX72" i="38"/>
  <c r="EB72" i="38" s="1"/>
  <c r="DX74" i="38"/>
  <c r="EB74" i="38" s="1"/>
  <c r="DX76" i="38"/>
  <c r="EB76" i="38" s="1"/>
  <c r="DX78" i="38"/>
  <c r="EB78" i="38" s="1"/>
  <c r="BG82" i="38" a="1"/>
  <c r="BG82" i="38" s="1"/>
  <c r="BH82" i="38" s="1"/>
  <c r="BI82" i="38" s="1"/>
  <c r="BP82" i="38" s="1" a="1"/>
  <c r="BP82" i="38" s="1"/>
  <c r="BC82" i="38" a="1"/>
  <c r="BC82" i="38" s="1"/>
  <c r="BE82" i="38" a="1"/>
  <c r="BE82" i="38" s="1"/>
  <c r="BJ82" i="38" a="1"/>
  <c r="BJ82" i="38" s="1"/>
  <c r="BL82" i="38" a="1"/>
  <c r="BL82" i="38" s="1"/>
  <c r="BN82" i="38" a="1"/>
  <c r="BN82" i="38" s="1"/>
  <c r="BO82" i="38" s="1"/>
  <c r="DN82" i="38" s="1"/>
  <c r="DR95" i="38"/>
  <c r="DV95" i="38" s="1"/>
  <c r="J84" i="38"/>
  <c r="AG84" i="38" s="1" a="1"/>
  <c r="AG84" i="38" s="1"/>
  <c r="AL84" i="38" s="1"/>
  <c r="R84" i="38"/>
  <c r="CW84" i="38" s="1"/>
  <c r="AY123" i="38" a="1"/>
  <c r="AY123" i="38" s="1"/>
  <c r="AZ123" i="38" s="1"/>
  <c r="BA123" i="38" s="1"/>
  <c r="DG123" i="38" s="1"/>
  <c r="I116" i="38" a="1"/>
  <c r="I116" i="38" s="1"/>
  <c r="J116" i="38" s="1"/>
  <c r="CV116" i="38" s="1"/>
  <c r="I125" i="38" a="1"/>
  <c r="I125" i="38" s="1"/>
  <c r="BT114" i="38"/>
  <c r="CC114" i="38" s="1" a="1"/>
  <c r="CC114" i="38" s="1"/>
  <c r="DP115" i="38"/>
  <c r="CZ115" i="38"/>
  <c r="CY115" i="38"/>
  <c r="CV115" i="38"/>
  <c r="CX115" i="38"/>
  <c r="CW115" i="38"/>
  <c r="DA115" i="38"/>
  <c r="DF115" i="38"/>
  <c r="DD115" i="38"/>
  <c r="DB115" i="38"/>
  <c r="DE115" i="38"/>
  <c r="DM115" i="38"/>
  <c r="DC115" i="38"/>
  <c r="DI115" i="38"/>
  <c r="DH115" i="38"/>
  <c r="DL115" i="38"/>
  <c r="DG115" i="38"/>
  <c r="DN115" i="38"/>
  <c r="DK115" i="38"/>
  <c r="DJ115" i="38"/>
  <c r="DO115" i="38"/>
  <c r="DM84" i="38"/>
  <c r="DD84" i="38"/>
  <c r="DJ84" i="38"/>
  <c r="CX84" i="38"/>
  <c r="DG84" i="38"/>
  <c r="CY84" i="38"/>
  <c r="CZ84" i="38"/>
  <c r="DF84" i="38"/>
  <c r="DM125" i="38"/>
  <c r="CZ83" i="38"/>
  <c r="CY83" i="38"/>
  <c r="CV83" i="38"/>
  <c r="DP83" i="38"/>
  <c r="CW83" i="38"/>
  <c r="CX83" i="38"/>
  <c r="DB83" i="38"/>
  <c r="DD83" i="38"/>
  <c r="DF83" i="38"/>
  <c r="DA83" i="38"/>
  <c r="DE83" i="38"/>
  <c r="DC83" i="38"/>
  <c r="DG83" i="38"/>
  <c r="DM83" i="38"/>
  <c r="DJ83" i="38"/>
  <c r="DH83" i="38"/>
  <c r="DL83" i="38"/>
  <c r="DI83" i="38"/>
  <c r="DN83" i="38"/>
  <c r="DK83" i="38"/>
  <c r="DO83" i="38"/>
  <c r="DE125" i="38"/>
  <c r="DD125" i="38"/>
  <c r="DF125" i="38"/>
  <c r="DJ125" i="38"/>
  <c r="CX125" i="38"/>
  <c r="CY125" i="38"/>
  <c r="DG125" i="38"/>
  <c r="R110" i="38"/>
  <c r="CW110" i="38" s="1"/>
  <c r="DP124" i="38"/>
  <c r="CZ124" i="38"/>
  <c r="CY124" i="38"/>
  <c r="CV124" i="38"/>
  <c r="CW124" i="38"/>
  <c r="CX124" i="38"/>
  <c r="DB124" i="38"/>
  <c r="DA124" i="38"/>
  <c r="DF124" i="38"/>
  <c r="DD124" i="38"/>
  <c r="DE124" i="38"/>
  <c r="DM124" i="38"/>
  <c r="DC124" i="38"/>
  <c r="DL124" i="38"/>
  <c r="DI124" i="38"/>
  <c r="DG124" i="38"/>
  <c r="DH124" i="38"/>
  <c r="DK124" i="38"/>
  <c r="DJ124" i="38"/>
  <c r="DN124" i="38"/>
  <c r="DO124" i="38"/>
  <c r="DJ110" i="38"/>
  <c r="CZ116" i="38"/>
  <c r="CY116" i="38"/>
  <c r="CX116" i="38"/>
  <c r="DD116" i="38"/>
  <c r="DF116" i="38"/>
  <c r="DG116" i="38"/>
  <c r="DE116" i="38"/>
  <c r="DM116" i="38"/>
  <c r="DJ116" i="38"/>
  <c r="DM110" i="38"/>
  <c r="DF110" i="38"/>
  <c r="DD110" i="38"/>
  <c r="DG110" i="38"/>
  <c r="DE110" i="38"/>
  <c r="CX110" i="38"/>
  <c r="CY110" i="38"/>
  <c r="CV110" i="38"/>
  <c r="DA110" i="38"/>
  <c r="DN109" i="38"/>
  <c r="DA109" i="38"/>
  <c r="CV109" i="38"/>
  <c r="CX109" i="38"/>
  <c r="DO109" i="38"/>
  <c r="DK109" i="38"/>
  <c r="DI109" i="38"/>
  <c r="DD109" i="38"/>
  <c r="CW109" i="38"/>
  <c r="DJ109" i="38"/>
  <c r="DH109" i="38"/>
  <c r="DG109" i="38"/>
  <c r="DB109" i="38"/>
  <c r="DL109" i="38"/>
  <c r="DC109" i="38"/>
  <c r="DP109" i="38"/>
  <c r="DR109" i="38" s="1"/>
  <c r="DV109" i="38" s="1"/>
  <c r="CY109" i="38"/>
  <c r="CZ109" i="38"/>
  <c r="DE109" i="38"/>
  <c r="DF109" i="38"/>
  <c r="DP111" i="38"/>
  <c r="CZ111" i="38"/>
  <c r="CY111" i="38"/>
  <c r="CV111" i="38"/>
  <c r="CW111" i="38"/>
  <c r="CX111" i="38"/>
  <c r="DF111" i="38"/>
  <c r="DD111" i="38"/>
  <c r="DB111" i="38"/>
  <c r="DA111" i="38"/>
  <c r="DC111" i="38"/>
  <c r="DE111" i="38"/>
  <c r="DM111" i="38"/>
  <c r="DG111" i="38"/>
  <c r="DL111" i="38"/>
  <c r="DI111" i="38"/>
  <c r="DH111" i="38"/>
  <c r="DJ111" i="38"/>
  <c r="DN111" i="38"/>
  <c r="DK111" i="38"/>
  <c r="DO111" i="38"/>
  <c r="CV146" i="38"/>
  <c r="DP146" i="38"/>
  <c r="CZ146" i="38"/>
  <c r="CY146" i="38"/>
  <c r="CW146" i="38"/>
  <c r="CX146" i="38"/>
  <c r="DA146" i="38"/>
  <c r="DD146" i="38"/>
  <c r="DF146" i="38"/>
  <c r="DB146" i="38"/>
  <c r="DG146" i="38"/>
  <c r="DM146" i="38"/>
  <c r="DE146" i="38"/>
  <c r="DC146" i="38"/>
  <c r="DL146" i="38"/>
  <c r="DJ146" i="38"/>
  <c r="DI146" i="38"/>
  <c r="DH146" i="38"/>
  <c r="DN146" i="38"/>
  <c r="DK146" i="38"/>
  <c r="DO146" i="38"/>
  <c r="DO142" i="38"/>
  <c r="DF142" i="38"/>
  <c r="DE142" i="38"/>
  <c r="DB142" i="38"/>
  <c r="DC142" i="38"/>
  <c r="DN142" i="38"/>
  <c r="DG142" i="38"/>
  <c r="DD142" i="38"/>
  <c r="DA142" i="38"/>
  <c r="CV142" i="38"/>
  <c r="CX142" i="38"/>
  <c r="CW142" i="38"/>
  <c r="DK142" i="38"/>
  <c r="DP142" i="38"/>
  <c r="DR142" i="38" s="1"/>
  <c r="DV142" i="38" s="1"/>
  <c r="DH142" i="38"/>
  <c r="DJ142" i="38"/>
  <c r="CY142" i="38"/>
  <c r="DM142" i="38"/>
  <c r="I145" i="38" a="1"/>
  <c r="I145" i="38" s="1"/>
  <c r="I156" i="38" a="1"/>
  <c r="I156" i="38" s="1"/>
  <c r="I152" i="38" a="1"/>
  <c r="I152" i="38" s="1"/>
  <c r="I154" i="38" a="1"/>
  <c r="I154" i="38" s="1"/>
  <c r="DL142" i="38"/>
  <c r="I143" i="38" a="1"/>
  <c r="I143" i="38" s="1"/>
  <c r="I150" i="38" a="1"/>
  <c r="I150" i="38" s="1"/>
  <c r="DI142" i="38"/>
  <c r="I139" i="38" a="1"/>
  <c r="I139" i="38" s="1"/>
  <c r="I141" i="38" a="1"/>
  <c r="I141" i="38" s="1"/>
  <c r="CY139" i="38"/>
  <c r="CZ143" i="38"/>
  <c r="CY143" i="38"/>
  <c r="CX143" i="38"/>
  <c r="DF143" i="38"/>
  <c r="DD143" i="38"/>
  <c r="DE143" i="38"/>
  <c r="DG143" i="38"/>
  <c r="DM143" i="38"/>
  <c r="DJ143" i="38"/>
  <c r="DG139" i="38"/>
  <c r="CX153" i="38"/>
  <c r="DD139" i="38"/>
  <c r="DJ153" i="38"/>
  <c r="DF153" i="38"/>
  <c r="DM153" i="38"/>
  <c r="DD153" i="38"/>
  <c r="DA153" i="38"/>
  <c r="DF139" i="38"/>
  <c r="DK153" i="38"/>
  <c r="CW153" i="38"/>
  <c r="DL153" i="38"/>
  <c r="DE153" i="38"/>
  <c r="DN153" i="38"/>
  <c r="DP153" i="38"/>
  <c r="DR153" i="38" s="1"/>
  <c r="DV153" i="38" s="1"/>
  <c r="DJ139" i="38"/>
  <c r="CX139" i="38"/>
  <c r="DG153" i="38"/>
  <c r="CY153" i="38"/>
  <c r="DC153" i="38"/>
  <c r="DE139" i="38"/>
  <c r="DI153" i="38"/>
  <c r="DM139" i="38"/>
  <c r="DH153" i="38"/>
  <c r="CZ153" i="38"/>
  <c r="CV153" i="38"/>
  <c r="CV144" i="38"/>
  <c r="DP144" i="38"/>
  <c r="CZ144" i="38"/>
  <c r="CY144" i="38"/>
  <c r="CW144" i="38"/>
  <c r="CX144" i="38"/>
  <c r="DC144" i="38"/>
  <c r="DF144" i="38"/>
  <c r="DA144" i="38"/>
  <c r="DD144" i="38"/>
  <c r="DB144" i="38"/>
  <c r="DI144" i="38"/>
  <c r="DG144" i="38"/>
  <c r="DL144" i="38"/>
  <c r="DM144" i="38"/>
  <c r="DE144" i="38"/>
  <c r="DH144" i="38"/>
  <c r="DK144" i="38"/>
  <c r="DJ144" i="38"/>
  <c r="DN144" i="38"/>
  <c r="DO144" i="38"/>
  <c r="DO153" i="38"/>
  <c r="DM150" i="38"/>
  <c r="DG150" i="38"/>
  <c r="CZ154" i="38"/>
  <c r="CY154" i="38"/>
  <c r="CX154" i="38"/>
  <c r="DF154" i="38"/>
  <c r="DD154" i="38"/>
  <c r="DE154" i="38"/>
  <c r="DM154" i="38"/>
  <c r="DG154" i="38"/>
  <c r="DJ154" i="38"/>
  <c r="DF150" i="38"/>
  <c r="DD150" i="38"/>
  <c r="CX150" i="38"/>
  <c r="DJ150" i="38"/>
  <c r="CY150" i="38"/>
  <c r="CZ150" i="38"/>
  <c r="DE150" i="38"/>
  <c r="CY155" i="38"/>
  <c r="CZ155" i="38"/>
  <c r="DP155" i="38"/>
  <c r="CW155" i="38"/>
  <c r="CV155" i="38"/>
  <c r="CX155" i="38"/>
  <c r="DB155" i="38"/>
  <c r="DD155" i="38"/>
  <c r="DA155" i="38"/>
  <c r="DF155" i="38"/>
  <c r="DG155" i="38"/>
  <c r="DM155" i="38"/>
  <c r="DC155" i="38"/>
  <c r="DE155" i="38"/>
  <c r="DL155" i="38"/>
  <c r="DI155" i="38"/>
  <c r="DH155" i="38"/>
  <c r="DJ155" i="38"/>
  <c r="DN155" i="38"/>
  <c r="DK155" i="38"/>
  <c r="DO155" i="38"/>
  <c r="DG141" i="38"/>
  <c r="DF152" i="38"/>
  <c r="DM152" i="38"/>
  <c r="DD152" i="38"/>
  <c r="DG152" i="38"/>
  <c r="CX152" i="38"/>
  <c r="DJ152" i="38"/>
  <c r="CY152" i="38"/>
  <c r="DE152" i="38"/>
  <c r="DE141" i="38"/>
  <c r="DP151" i="38"/>
  <c r="CZ151" i="38"/>
  <c r="CY151" i="38"/>
  <c r="CV151" i="38"/>
  <c r="CX151" i="38"/>
  <c r="CW151" i="38"/>
  <c r="DD151" i="38"/>
  <c r="DF151" i="38"/>
  <c r="DG151" i="38"/>
  <c r="DA151" i="38"/>
  <c r="DM151" i="38"/>
  <c r="DE151" i="38"/>
  <c r="DB151" i="38"/>
  <c r="DC151" i="38"/>
  <c r="DJ151" i="38"/>
  <c r="DI151" i="38"/>
  <c r="DH151" i="38"/>
  <c r="DL151" i="38"/>
  <c r="DK151" i="38"/>
  <c r="DN151" i="38"/>
  <c r="DO151" i="38"/>
  <c r="DM141" i="38"/>
  <c r="DD141" i="38"/>
  <c r="CX141" i="38"/>
  <c r="CY141" i="38"/>
  <c r="DF141" i="38"/>
  <c r="DJ141" i="38"/>
  <c r="CZ141" i="38"/>
  <c r="DP140" i="38"/>
  <c r="CZ140" i="38"/>
  <c r="CY140" i="38"/>
  <c r="CV140" i="38"/>
  <c r="CX140" i="38"/>
  <c r="CW140" i="38"/>
  <c r="DB140" i="38"/>
  <c r="DC140" i="38"/>
  <c r="DA140" i="38"/>
  <c r="DD140" i="38"/>
  <c r="DF140" i="38"/>
  <c r="DE140" i="38"/>
  <c r="DL140" i="38"/>
  <c r="DM140" i="38"/>
  <c r="DI140" i="38"/>
  <c r="DG140" i="38"/>
  <c r="DH140" i="38"/>
  <c r="DJ140" i="38"/>
  <c r="DN140" i="38"/>
  <c r="DK140" i="38"/>
  <c r="DO140" i="38"/>
  <c r="DN169" i="38"/>
  <c r="DC169" i="38"/>
  <c r="DA169" i="38"/>
  <c r="DO169" i="38"/>
  <c r="DB169" i="38"/>
  <c r="DM169" i="38"/>
  <c r="DE169" i="38"/>
  <c r="CW169" i="38"/>
  <c r="DF169" i="38"/>
  <c r="CX169" i="38"/>
  <c r="DD169" i="38"/>
  <c r="DK169" i="38"/>
  <c r="CY169" i="38"/>
  <c r="DJ169" i="38"/>
  <c r="DP169" i="38"/>
  <c r="DR169" i="38" s="1"/>
  <c r="DV169" i="38" s="1"/>
  <c r="DI169" i="38"/>
  <c r="DH169" i="38"/>
  <c r="CZ169" i="38"/>
  <c r="DG169" i="38"/>
  <c r="I183" i="38" a="1"/>
  <c r="I183" i="38" s="1"/>
  <c r="J183" i="38" s="1"/>
  <c r="CV183" i="38" s="1"/>
  <c r="I172" i="38" a="1"/>
  <c r="I172" i="38" s="1"/>
  <c r="I168" i="38" a="1"/>
  <c r="I168" i="38" s="1"/>
  <c r="I170" i="38" a="1"/>
  <c r="I170" i="38" s="1"/>
  <c r="I181" i="38" a="1"/>
  <c r="I181" i="38" s="1"/>
  <c r="R181" i="38" s="1"/>
  <c r="CW181" i="38" s="1"/>
  <c r="I166" i="38" a="1"/>
  <c r="I166" i="38" s="1"/>
  <c r="DL169" i="38"/>
  <c r="DG173" i="38"/>
  <c r="DM173" i="38"/>
  <c r="DP173" i="38"/>
  <c r="DR173" i="38" s="1"/>
  <c r="DV173" i="38" s="1"/>
  <c r="CZ168" i="38"/>
  <c r="CY168" i="38"/>
  <c r="CX168" i="38"/>
  <c r="DF168" i="38"/>
  <c r="DD168" i="38"/>
  <c r="DE168" i="38"/>
  <c r="DM168" i="38"/>
  <c r="DG168" i="38"/>
  <c r="DJ168" i="38"/>
  <c r="DF173" i="38"/>
  <c r="DD173" i="38"/>
  <c r="DK173" i="38"/>
  <c r="DN173" i="38"/>
  <c r="DB173" i="38"/>
  <c r="DH173" i="38"/>
  <c r="CX173" i="38"/>
  <c r="DJ173" i="38"/>
  <c r="CW173" i="38"/>
  <c r="DA173" i="38"/>
  <c r="DC173" i="38"/>
  <c r="DI173" i="38"/>
  <c r="CY173" i="38"/>
  <c r="DO173" i="38"/>
  <c r="DE173" i="38"/>
  <c r="CV173" i="38"/>
  <c r="DL173" i="38"/>
  <c r="DM166" i="38"/>
  <c r="DF166" i="38"/>
  <c r="DG166" i="38"/>
  <c r="CX166" i="38"/>
  <c r="CY172" i="38"/>
  <c r="CZ172" i="38"/>
  <c r="CX172" i="38"/>
  <c r="DD172" i="38"/>
  <c r="DF172" i="38"/>
  <c r="DE172" i="38"/>
  <c r="DG172" i="38"/>
  <c r="DM172" i="38"/>
  <c r="DJ172" i="38"/>
  <c r="DE166" i="38"/>
  <c r="DD166" i="38"/>
  <c r="CY166" i="38"/>
  <c r="DJ166" i="38"/>
  <c r="DJ181" i="38"/>
  <c r="DP165" i="38"/>
  <c r="CZ165" i="38"/>
  <c r="CY165" i="38"/>
  <c r="CV165" i="38"/>
  <c r="CW165" i="38"/>
  <c r="CX165" i="38"/>
  <c r="DB165" i="38"/>
  <c r="DA165" i="38"/>
  <c r="DF165" i="38"/>
  <c r="DD165" i="38"/>
  <c r="DC165" i="38"/>
  <c r="DM165" i="38"/>
  <c r="DL165" i="38"/>
  <c r="DI165" i="38"/>
  <c r="DE165" i="38"/>
  <c r="DG165" i="38"/>
  <c r="DJ165" i="38"/>
  <c r="DH165" i="38"/>
  <c r="DN165" i="38"/>
  <c r="DK165" i="38"/>
  <c r="DO165" i="38"/>
  <c r="DE181" i="38"/>
  <c r="DG181" i="38"/>
  <c r="DM181" i="38"/>
  <c r="DD181" i="38"/>
  <c r="DF181" i="38"/>
  <c r="CX181" i="38"/>
  <c r="CZ181" i="38"/>
  <c r="DP182" i="38"/>
  <c r="CZ182" i="38"/>
  <c r="CY182" i="38"/>
  <c r="CV182" i="38"/>
  <c r="CW182" i="38"/>
  <c r="CX182" i="38"/>
  <c r="DD182" i="38"/>
  <c r="DF182" i="38"/>
  <c r="DM182" i="38"/>
  <c r="DE182" i="38"/>
  <c r="DA182" i="38"/>
  <c r="DB182" i="38"/>
  <c r="DC182" i="38"/>
  <c r="DG182" i="38"/>
  <c r="DH182" i="38"/>
  <c r="DL182" i="38"/>
  <c r="DI182" i="38"/>
  <c r="DJ182" i="38"/>
  <c r="DN182" i="38"/>
  <c r="DK182" i="38"/>
  <c r="DO182" i="38"/>
  <c r="DG183" i="38"/>
  <c r="CX183" i="38"/>
  <c r="I179" i="38" a="1"/>
  <c r="I179" i="38" s="1"/>
  <c r="I177" i="38" a="1"/>
  <c r="I177" i="38" s="1"/>
  <c r="DF183" i="38"/>
  <c r="DD183" i="38"/>
  <c r="DJ183" i="38"/>
  <c r="CZ183" i="38"/>
  <c r="DE183" i="38"/>
  <c r="CY183" i="38"/>
  <c r="DE179" i="38"/>
  <c r="DM179" i="38"/>
  <c r="DF179" i="38"/>
  <c r="CX179" i="38"/>
  <c r="DJ179" i="38"/>
  <c r="DG179" i="38"/>
  <c r="DD179" i="38"/>
  <c r="CY179" i="38"/>
  <c r="DP178" i="38"/>
  <c r="CZ178" i="38"/>
  <c r="CY178" i="38"/>
  <c r="CV178" i="38"/>
  <c r="CW178" i="38"/>
  <c r="CX178" i="38"/>
  <c r="DB178" i="38"/>
  <c r="DA178" i="38"/>
  <c r="DC178" i="38"/>
  <c r="DD178" i="38"/>
  <c r="DF178" i="38"/>
  <c r="DL178" i="38"/>
  <c r="DI178" i="38"/>
  <c r="DE178" i="38"/>
  <c r="DG178" i="38"/>
  <c r="DM178" i="38"/>
  <c r="DH178" i="38"/>
  <c r="DJ178" i="38"/>
  <c r="DK178" i="38"/>
  <c r="DN178" i="38"/>
  <c r="DO178" i="38"/>
  <c r="CV180" i="38"/>
  <c r="DP180" i="38"/>
  <c r="CZ180" i="38"/>
  <c r="CW180" i="38"/>
  <c r="CX180" i="38"/>
  <c r="CY180" i="38"/>
  <c r="DF180" i="38"/>
  <c r="DA180" i="38"/>
  <c r="DB180" i="38"/>
  <c r="DD180" i="38"/>
  <c r="DG180" i="38"/>
  <c r="DM180" i="38"/>
  <c r="DE180" i="38"/>
  <c r="DC180" i="38"/>
  <c r="DL180" i="38"/>
  <c r="DH180" i="38"/>
  <c r="DI180" i="38"/>
  <c r="DJ180" i="38"/>
  <c r="DN180" i="38"/>
  <c r="DK180" i="38"/>
  <c r="DO180" i="38"/>
  <c r="BB100" i="38"/>
  <c r="DH100" i="38" s="1"/>
  <c r="AN103" i="38" a="1"/>
  <c r="AN103" i="38" s="1"/>
  <c r="AO103" i="38" s="1"/>
  <c r="I45" i="38" a="1"/>
  <c r="I45" i="38" s="1"/>
  <c r="J45" i="38" s="1"/>
  <c r="CV45" i="38" s="1"/>
  <c r="I106" i="38" a="1"/>
  <c r="I106" i="38" s="1"/>
  <c r="J108" i="38"/>
  <c r="AG108" i="38" s="1" a="1"/>
  <c r="AG108" i="38" s="1"/>
  <c r="AL108" i="38" s="1"/>
  <c r="R108" i="38"/>
  <c r="CW108" i="38" s="1"/>
  <c r="DC102" i="38"/>
  <c r="DE102" i="38"/>
  <c r="CV102" i="38"/>
  <c r="DB102" i="38"/>
  <c r="DK102" i="38"/>
  <c r="DF102" i="38"/>
  <c r="DD102" i="38"/>
  <c r="DO102" i="38"/>
  <c r="DA102" i="38"/>
  <c r="DN102" i="38"/>
  <c r="DJ102" i="38"/>
  <c r="CX102" i="38"/>
  <c r="DH102" i="38"/>
  <c r="CW102" i="38"/>
  <c r="DM102" i="38"/>
  <c r="DI102" i="38"/>
  <c r="DP102" i="38"/>
  <c r="DR102" i="38" s="1"/>
  <c r="DV102" i="38" s="1"/>
  <c r="DL102" i="38"/>
  <c r="CY102" i="38"/>
  <c r="DG102" i="38"/>
  <c r="CV101" i="38"/>
  <c r="DP101" i="38"/>
  <c r="CZ101" i="38"/>
  <c r="CW101" i="38"/>
  <c r="CX101" i="38"/>
  <c r="CY101" i="38"/>
  <c r="DF101" i="38"/>
  <c r="DD101" i="38"/>
  <c r="DB101" i="38"/>
  <c r="DA101" i="38"/>
  <c r="DC101" i="38"/>
  <c r="DE101" i="38"/>
  <c r="DG101" i="38"/>
  <c r="DM101" i="38"/>
  <c r="DH101" i="38"/>
  <c r="DI101" i="38"/>
  <c r="DJ101" i="38"/>
  <c r="DL101" i="38"/>
  <c r="DN101" i="38"/>
  <c r="DK101" i="38"/>
  <c r="DO101" i="38"/>
  <c r="DM107" i="38"/>
  <c r="DG105" i="38"/>
  <c r="DE105" i="38"/>
  <c r="DP105" i="38"/>
  <c r="DR105" i="38" s="1"/>
  <c r="DV105" i="38" s="1"/>
  <c r="CZ103" i="38"/>
  <c r="CY103" i="38"/>
  <c r="CX103" i="38"/>
  <c r="CV103" i="38"/>
  <c r="CW103" i="38"/>
  <c r="DD103" i="38"/>
  <c r="DF103" i="38"/>
  <c r="DA103" i="38"/>
  <c r="DE103" i="38"/>
  <c r="DG103" i="38"/>
  <c r="DM103" i="38"/>
  <c r="DJ103" i="38"/>
  <c r="DO105" i="38"/>
  <c r="DM105" i="38"/>
  <c r="DK105" i="38"/>
  <c r="DA105" i="38"/>
  <c r="DN105" i="38"/>
  <c r="CX105" i="38"/>
  <c r="DB105" i="38"/>
  <c r="DJ105" i="38"/>
  <c r="DD105" i="38"/>
  <c r="DI105" i="38"/>
  <c r="CW105" i="38"/>
  <c r="DL105" i="38"/>
  <c r="CV105" i="38"/>
  <c r="DH105" i="38"/>
  <c r="CY105" i="38"/>
  <c r="DF105" i="38"/>
  <c r="DC107" i="38"/>
  <c r="DC105" i="38"/>
  <c r="I33" i="38" a="1"/>
  <c r="I33" i="38" s="1"/>
  <c r="J33" i="38" s="1"/>
  <c r="CV33" i="38" s="1"/>
  <c r="DP104" i="38"/>
  <c r="CZ104" i="38"/>
  <c r="CY104" i="38"/>
  <c r="CW104" i="38"/>
  <c r="CX104" i="38"/>
  <c r="CV104" i="38"/>
  <c r="DA104" i="38"/>
  <c r="DD104" i="38"/>
  <c r="DF104" i="38"/>
  <c r="DB104" i="38"/>
  <c r="DG104" i="38"/>
  <c r="DM104" i="38"/>
  <c r="DE104" i="38"/>
  <c r="DC104" i="38"/>
  <c r="DH104" i="38"/>
  <c r="DL104" i="38"/>
  <c r="DI104" i="38"/>
  <c r="DJ104" i="38"/>
  <c r="DN104" i="38"/>
  <c r="DK104" i="38"/>
  <c r="DO104" i="38"/>
  <c r="DB107" i="38"/>
  <c r="DK107" i="38"/>
  <c r="DF107" i="38"/>
  <c r="DN107" i="38"/>
  <c r="CX107" i="38"/>
  <c r="DJ107" i="38"/>
  <c r="CW107" i="38"/>
  <c r="DG107" i="38"/>
  <c r="DP107" i="38"/>
  <c r="DR107" i="38" s="1"/>
  <c r="DV107" i="38" s="1"/>
  <c r="DO107" i="38"/>
  <c r="DI107" i="38"/>
  <c r="CV107" i="38"/>
  <c r="DE107" i="38"/>
  <c r="DA107" i="38"/>
  <c r="DL107" i="38"/>
  <c r="CY107" i="38"/>
  <c r="DH107" i="38"/>
  <c r="CZ107" i="38"/>
  <c r="CZ106" i="38"/>
  <c r="CY106" i="38"/>
  <c r="CX106" i="38"/>
  <c r="DD106" i="38"/>
  <c r="DF106" i="38"/>
  <c r="DE106" i="38"/>
  <c r="DM106" i="38"/>
  <c r="DG106" i="38"/>
  <c r="DJ106" i="38"/>
  <c r="J41" i="38"/>
  <c r="J42" i="38"/>
  <c r="CV42" i="38" s="1"/>
  <c r="R42" i="38"/>
  <c r="CW42" i="38" s="1"/>
  <c r="I35" i="38" a="1"/>
  <c r="I35" i="38" s="1"/>
  <c r="J35" i="38" s="1"/>
  <c r="CV35" i="38" s="1"/>
  <c r="I47" i="38" a="1"/>
  <c r="I47" i="38" s="1"/>
  <c r="R29" i="38"/>
  <c r="CW29" i="38" s="1"/>
  <c r="J30" i="38"/>
  <c r="CV30" i="38" s="1"/>
  <c r="R30" i="38"/>
  <c r="CW30" i="38" s="1"/>
  <c r="CV29" i="38"/>
  <c r="DA29" i="38"/>
  <c r="DX31" i="38"/>
  <c r="EB31" i="38" s="1"/>
  <c r="DX43" i="38"/>
  <c r="EB43" i="38" s="1"/>
  <c r="DR44" i="38"/>
  <c r="DV44" i="38" s="1"/>
  <c r="DE25" i="38"/>
  <c r="DG25" i="38"/>
  <c r="CX85" i="38"/>
  <c r="CV85" i="38"/>
  <c r="DL85" i="38"/>
  <c r="DA85" i="38"/>
  <c r="CW85" i="38"/>
  <c r="CZ85" i="38"/>
  <c r="CY85" i="38"/>
  <c r="DB85" i="38"/>
  <c r="DI85" i="38"/>
  <c r="DC85" i="38"/>
  <c r="DE85" i="38"/>
  <c r="DM85" i="38"/>
  <c r="DG85" i="38"/>
  <c r="DD85" i="38"/>
  <c r="DJ85" i="38"/>
  <c r="DF85" i="38"/>
  <c r="DK85" i="38"/>
  <c r="DH85" i="38"/>
  <c r="DN85" i="38"/>
  <c r="DO85" i="38"/>
  <c r="DP85" i="38"/>
  <c r="DC86" i="38"/>
  <c r="CY86" i="38"/>
  <c r="CX86" i="38"/>
  <c r="DD86" i="38"/>
  <c r="CZ86" i="38"/>
  <c r="DA86" i="38"/>
  <c r="CW86" i="38"/>
  <c r="DH86" i="38"/>
  <c r="DB86" i="38"/>
  <c r="DI86" i="38"/>
  <c r="DE86" i="38"/>
  <c r="DG86" i="38"/>
  <c r="DL86" i="38"/>
  <c r="DF86" i="38"/>
  <c r="CV86" i="38"/>
  <c r="DM86" i="38"/>
  <c r="DJ86" i="38"/>
  <c r="DK86" i="38"/>
  <c r="DN86" i="38"/>
  <c r="DP86" i="38"/>
  <c r="DO86" i="38"/>
  <c r="DC113" i="38"/>
  <c r="DB113" i="38"/>
  <c r="DA113" i="38"/>
  <c r="DI113" i="38"/>
  <c r="CW113" i="38"/>
  <c r="CV113" i="38"/>
  <c r="CX113" i="38"/>
  <c r="CZ113" i="38"/>
  <c r="CY113" i="38"/>
  <c r="DL113" i="38"/>
  <c r="DD113" i="38"/>
  <c r="DE113" i="38"/>
  <c r="AY113" i="38" a="1"/>
  <c r="AY113" i="38" s="1"/>
  <c r="AZ113" i="38" s="1"/>
  <c r="DA148" i="38"/>
  <c r="DL148" i="38"/>
  <c r="CY148" i="38"/>
  <c r="DC148" i="38"/>
  <c r="CZ148" i="38"/>
  <c r="DI148" i="38"/>
  <c r="DB148" i="38"/>
  <c r="CW148" i="38"/>
  <c r="CX148" i="38"/>
  <c r="CV148" i="38"/>
  <c r="DD148" i="38"/>
  <c r="DE148" i="38"/>
  <c r="AY148" i="38" a="1"/>
  <c r="AY148" i="38" s="1"/>
  <c r="AZ148" i="38" s="1"/>
  <c r="CX99" i="38"/>
  <c r="CW99" i="38"/>
  <c r="DC99" i="38"/>
  <c r="DI99" i="38"/>
  <c r="DL99" i="38"/>
  <c r="CY99" i="38"/>
  <c r="CZ99" i="38"/>
  <c r="CV99" i="38"/>
  <c r="DB99" i="38"/>
  <c r="DA99" i="38"/>
  <c r="DD99" i="38"/>
  <c r="DE99" i="38"/>
  <c r="AY99" i="38" a="1"/>
  <c r="AY99" i="38" s="1"/>
  <c r="AZ99" i="38" s="1"/>
  <c r="DA171" i="38"/>
  <c r="DB171" i="38"/>
  <c r="DF171" i="38"/>
  <c r="CX171" i="38"/>
  <c r="DH171" i="38"/>
  <c r="CY171" i="38"/>
  <c r="DJ171" i="38"/>
  <c r="DE171" i="38"/>
  <c r="DL171" i="38"/>
  <c r="DC171" i="38"/>
  <c r="DM171" i="38"/>
  <c r="CZ171" i="38"/>
  <c r="DI171" i="38"/>
  <c r="CV171" i="38"/>
  <c r="DG171" i="38"/>
  <c r="CW171" i="38"/>
  <c r="DD171" i="38"/>
  <c r="DN171" i="38"/>
  <c r="DK171" i="38"/>
  <c r="DO171" i="38"/>
  <c r="DP171" i="38"/>
  <c r="DR171" i="38" s="1"/>
  <c r="DV171" i="38" s="1"/>
  <c r="DX171" i="38" s="1"/>
  <c r="EB171" i="38" s="1"/>
  <c r="CZ82" i="38"/>
  <c r="DM82" i="38"/>
  <c r="DF82" i="38"/>
  <c r="DC82" i="38"/>
  <c r="CX82" i="38"/>
  <c r="DE82" i="38"/>
  <c r="CY82" i="38"/>
  <c r="DB82" i="38"/>
  <c r="CV82" i="38"/>
  <c r="DD82" i="38"/>
  <c r="DA82" i="38"/>
  <c r="DI82" i="38"/>
  <c r="CW82" i="38"/>
  <c r="DG82" i="38"/>
  <c r="DJ82" i="38"/>
  <c r="DL82" i="38"/>
  <c r="DH82" i="38"/>
  <c r="DB88" i="38"/>
  <c r="DC88" i="38"/>
  <c r="DA88" i="38"/>
  <c r="CV88" i="38"/>
  <c r="CW88" i="38"/>
  <c r="CZ88" i="38"/>
  <c r="CX88" i="38"/>
  <c r="CY88" i="38"/>
  <c r="DD88" i="38"/>
  <c r="DI88" i="38"/>
  <c r="DL88" i="38"/>
  <c r="DE88" i="38"/>
  <c r="AY88" i="38" a="1"/>
  <c r="AY88" i="38" s="1"/>
  <c r="AZ88" i="38" s="1"/>
  <c r="DD149" i="38"/>
  <c r="DE149" i="38"/>
  <c r="DG149" i="38"/>
  <c r="DB149" i="38"/>
  <c r="DL149" i="38"/>
  <c r="DM149" i="38"/>
  <c r="DC149" i="38"/>
  <c r="DA149" i="38"/>
  <c r="CY149" i="38"/>
  <c r="CV149" i="38"/>
  <c r="CZ149" i="38"/>
  <c r="CX149" i="38"/>
  <c r="CW149" i="38"/>
  <c r="DF149" i="38"/>
  <c r="DH149" i="38"/>
  <c r="DI149" i="38"/>
  <c r="DJ149" i="38"/>
  <c r="DN149" i="38"/>
  <c r="DK149" i="38"/>
  <c r="DP149" i="38"/>
  <c r="DO149" i="38"/>
  <c r="DM108" i="38"/>
  <c r="CY108" i="38"/>
  <c r="DD108" i="38"/>
  <c r="DJ108" i="38"/>
  <c r="CZ108" i="38"/>
  <c r="DF108" i="38"/>
  <c r="DG108" i="38"/>
  <c r="DE108" i="38"/>
  <c r="CX108" i="38"/>
  <c r="CY37" i="38"/>
  <c r="DB167" i="38"/>
  <c r="DL167" i="38"/>
  <c r="DA167" i="38"/>
  <c r="DI167" i="38"/>
  <c r="CW167" i="38"/>
  <c r="CZ167" i="38"/>
  <c r="CV167" i="38"/>
  <c r="DF167" i="38"/>
  <c r="DD167" i="38"/>
  <c r="DM167" i="38"/>
  <c r="DC167" i="38"/>
  <c r="DE167" i="38"/>
  <c r="CY167" i="38"/>
  <c r="CX167" i="38"/>
  <c r="DG167" i="38"/>
  <c r="DJ167" i="38"/>
  <c r="DH167" i="38"/>
  <c r="DK167" i="38"/>
  <c r="DN167" i="38"/>
  <c r="DO167" i="38"/>
  <c r="DP167" i="38"/>
  <c r="DC117" i="38"/>
  <c r="DE117" i="38"/>
  <c r="DA117" i="38"/>
  <c r="CY117" i="38"/>
  <c r="DF117" i="38"/>
  <c r="CZ117" i="38"/>
  <c r="DG117" i="38"/>
  <c r="CW117" i="38"/>
  <c r="CV117" i="38"/>
  <c r="CX117" i="38"/>
  <c r="DL117" i="38"/>
  <c r="DD117" i="38"/>
  <c r="DB117" i="38"/>
  <c r="DJ117" i="38"/>
  <c r="DM117" i="38"/>
  <c r="DH117" i="38"/>
  <c r="DK117" i="38"/>
  <c r="DI117" i="38"/>
  <c r="DN117" i="38"/>
  <c r="DP117" i="38"/>
  <c r="DR117" i="38" s="1"/>
  <c r="DV117" i="38" s="1"/>
  <c r="DX117" i="38" s="1"/>
  <c r="EB117" i="38" s="1"/>
  <c r="DO117" i="38"/>
  <c r="DA89" i="38"/>
  <c r="DC89" i="38"/>
  <c r="DG89" i="38"/>
  <c r="CV89" i="38"/>
  <c r="CY89" i="38"/>
  <c r="CZ89" i="38"/>
  <c r="DM89" i="38"/>
  <c r="CW89" i="38"/>
  <c r="DB89" i="38"/>
  <c r="DD89" i="38"/>
  <c r="DE89" i="38"/>
  <c r="CX89" i="38"/>
  <c r="DF89" i="38"/>
  <c r="DL89" i="38"/>
  <c r="DI89" i="38"/>
  <c r="DJ89" i="38"/>
  <c r="DH89" i="38"/>
  <c r="DK89" i="38"/>
  <c r="DN89" i="38"/>
  <c r="DP89" i="38"/>
  <c r="DO89" i="38"/>
  <c r="DE177" i="38"/>
  <c r="DF177" i="38"/>
  <c r="CZ177" i="38"/>
  <c r="DD177" i="38"/>
  <c r="CX177" i="38"/>
  <c r="DM177" i="38"/>
  <c r="CY177" i="38"/>
  <c r="DG177" i="38"/>
  <c r="DJ177" i="38"/>
  <c r="DG156" i="38"/>
  <c r="CY156" i="38"/>
  <c r="CZ156" i="38"/>
  <c r="CX156" i="38"/>
  <c r="DF156" i="38"/>
  <c r="DE156" i="38"/>
  <c r="DD156" i="38"/>
  <c r="DJ156" i="38"/>
  <c r="DM156" i="38"/>
  <c r="DD25" i="38"/>
  <c r="DA91" i="38"/>
  <c r="CW91" i="38"/>
  <c r="DC91" i="38"/>
  <c r="DB91" i="38"/>
  <c r="DF91" i="38"/>
  <c r="CV91" i="38"/>
  <c r="CZ91" i="38"/>
  <c r="CX91" i="38"/>
  <c r="CY91" i="38"/>
  <c r="DD91" i="38"/>
  <c r="DE91" i="38"/>
  <c r="DM91" i="38"/>
  <c r="DI91" i="38"/>
  <c r="DL91" i="38"/>
  <c r="DG91" i="38"/>
  <c r="DH91" i="38"/>
  <c r="DJ91" i="38"/>
  <c r="DN91" i="38"/>
  <c r="DK91" i="38"/>
  <c r="DO91" i="38"/>
  <c r="DP91" i="38"/>
  <c r="DR91" i="38" s="1"/>
  <c r="DV91" i="38" s="1"/>
  <c r="DX91" i="38" s="1"/>
  <c r="EB91" i="38" s="1"/>
  <c r="DF132" i="38"/>
  <c r="DB132" i="38"/>
  <c r="DA132" i="38"/>
  <c r="DE132" i="38"/>
  <c r="CX132" i="38"/>
  <c r="CW132" i="38"/>
  <c r="CY132" i="38"/>
  <c r="CV132" i="38"/>
  <c r="DD132" i="38"/>
  <c r="CZ132" i="38"/>
  <c r="DC132" i="38"/>
  <c r="DG132" i="38"/>
  <c r="DM132" i="38"/>
  <c r="DH132" i="38"/>
  <c r="DI132" i="38"/>
  <c r="DL132" i="38"/>
  <c r="DN132" i="38"/>
  <c r="DK132" i="38"/>
  <c r="DJ132" i="38"/>
  <c r="DP132" i="38"/>
  <c r="DO132" i="38"/>
  <c r="DM184" i="38"/>
  <c r="DA184" i="38"/>
  <c r="CV184" i="38"/>
  <c r="DL184" i="38"/>
  <c r="DF184" i="38"/>
  <c r="CW184" i="38"/>
  <c r="DC184" i="38"/>
  <c r="DJ184" i="38"/>
  <c r="DB184" i="38"/>
  <c r="DG184" i="38"/>
  <c r="CY184" i="38"/>
  <c r="DI184" i="38"/>
  <c r="CX184" i="38"/>
  <c r="DD184" i="38"/>
  <c r="CZ184" i="38"/>
  <c r="DE184" i="38"/>
  <c r="DH184" i="38"/>
  <c r="DK184" i="38"/>
  <c r="DN184" i="38"/>
  <c r="DO184" i="38"/>
  <c r="DP184" i="38"/>
  <c r="DB135" i="38"/>
  <c r="CX135" i="38"/>
  <c r="DJ135" i="38"/>
  <c r="DD135" i="38"/>
  <c r="CZ135" i="38"/>
  <c r="CY135" i="38"/>
  <c r="DI135" i="38"/>
  <c r="DE135" i="38"/>
  <c r="DF135" i="38"/>
  <c r="DG135" i="38"/>
  <c r="CW135" i="38"/>
  <c r="DA135" i="38"/>
  <c r="DC135" i="38"/>
  <c r="DL135" i="38"/>
  <c r="CV135" i="38"/>
  <c r="DM135" i="38"/>
  <c r="DH135" i="38"/>
  <c r="DK135" i="38"/>
  <c r="DN135" i="38"/>
  <c r="DO135" i="38"/>
  <c r="DP135" i="38"/>
  <c r="DB162" i="38"/>
  <c r="DL162" i="38"/>
  <c r="CV162" i="38"/>
  <c r="DA162" i="38"/>
  <c r="CY162" i="38"/>
  <c r="DF162" i="38"/>
  <c r="DC162" i="38"/>
  <c r="CX162" i="38"/>
  <c r="CZ162" i="38"/>
  <c r="CW162" i="38"/>
  <c r="DD162" i="38"/>
  <c r="DI162" i="38"/>
  <c r="DE162" i="38"/>
  <c r="DM162" i="38"/>
  <c r="DG162" i="38"/>
  <c r="DH162" i="38"/>
  <c r="DJ162" i="38"/>
  <c r="DK162" i="38"/>
  <c r="DN162" i="38"/>
  <c r="DP162" i="38"/>
  <c r="DO162" i="38"/>
  <c r="DE37" i="38"/>
  <c r="DB81" i="38"/>
  <c r="DC81" i="38"/>
  <c r="CZ81" i="38"/>
  <c r="CV81" i="38"/>
  <c r="CX81" i="38"/>
  <c r="DA81" i="38"/>
  <c r="DI81" i="38"/>
  <c r="CW81" i="38"/>
  <c r="DL81" i="38"/>
  <c r="CY81" i="38"/>
  <c r="DD81" i="38"/>
  <c r="DE81" i="38"/>
  <c r="AY81" i="38" a="1"/>
  <c r="AY81" i="38" s="1"/>
  <c r="AZ81" i="38" s="1"/>
  <c r="DF90" i="38"/>
  <c r="CY90" i="38"/>
  <c r="DD90" i="38"/>
  <c r="CZ90" i="38"/>
  <c r="DM90" i="38"/>
  <c r="DE90" i="38"/>
  <c r="DG90" i="38"/>
  <c r="DJ90" i="38"/>
  <c r="CX90" i="38"/>
  <c r="DB164" i="38"/>
  <c r="CV164" i="38"/>
  <c r="CY164" i="38"/>
  <c r="CX164" i="38"/>
  <c r="DC164" i="38"/>
  <c r="DA164" i="38"/>
  <c r="CZ164" i="38"/>
  <c r="CW164" i="38"/>
  <c r="DL164" i="38"/>
  <c r="DI164" i="38"/>
  <c r="DD164" i="38"/>
  <c r="DE164" i="38"/>
  <c r="AY164" i="38" a="1"/>
  <c r="AY164" i="38" s="1"/>
  <c r="AZ164" i="38" s="1"/>
  <c r="DA114" i="38"/>
  <c r="CX114" i="38"/>
  <c r="CV114" i="38"/>
  <c r="DF114" i="38"/>
  <c r="CY114" i="38"/>
  <c r="DD114" i="38"/>
  <c r="DC114" i="38"/>
  <c r="DB114" i="38"/>
  <c r="CZ114" i="38"/>
  <c r="CW114" i="38"/>
  <c r="DL114" i="38"/>
  <c r="DI114" i="38"/>
  <c r="DM114" i="38"/>
  <c r="DG114" i="38"/>
  <c r="DE114" i="38"/>
  <c r="DJ114" i="38"/>
  <c r="DH114" i="38"/>
  <c r="DN114" i="38"/>
  <c r="DK114" i="38"/>
  <c r="DP114" i="38"/>
  <c r="DO114" i="38"/>
  <c r="DB176" i="38"/>
  <c r="CZ176" i="38"/>
  <c r="DI176" i="38"/>
  <c r="CV176" i="38"/>
  <c r="DG176" i="38"/>
  <c r="DL176" i="38"/>
  <c r="CW176" i="38"/>
  <c r="CY176" i="38"/>
  <c r="DH176" i="38"/>
  <c r="DF176" i="38"/>
  <c r="DE176" i="38"/>
  <c r="DM176" i="38"/>
  <c r="DA176" i="38"/>
  <c r="DD176" i="38"/>
  <c r="DC176" i="38"/>
  <c r="CX176" i="38"/>
  <c r="DN176" i="38"/>
  <c r="DK176" i="38"/>
  <c r="DJ176" i="38"/>
  <c r="DO176" i="38"/>
  <c r="DP176" i="38"/>
  <c r="DD161" i="38"/>
  <c r="DF161" i="38"/>
  <c r="DE161" i="38"/>
  <c r="CZ161" i="38"/>
  <c r="CY161" i="38"/>
  <c r="DM161" i="38"/>
  <c r="DG161" i="38"/>
  <c r="DJ161" i="38"/>
  <c r="CX161" i="38"/>
  <c r="CX25" i="38"/>
  <c r="DA161" i="38"/>
  <c r="CX131" i="38"/>
  <c r="DI131" i="38"/>
  <c r="CW131" i="38"/>
  <c r="DC131" i="38"/>
  <c r="CZ131" i="38"/>
  <c r="DA131" i="38"/>
  <c r="CV131" i="38"/>
  <c r="CY131" i="38"/>
  <c r="DB131" i="38"/>
  <c r="DL131" i="38"/>
  <c r="DD131" i="38"/>
  <c r="DE131" i="38"/>
  <c r="AY131" i="38" a="1"/>
  <c r="AY131" i="38" s="1"/>
  <c r="AZ131" i="38" s="1"/>
  <c r="DL93" i="38"/>
  <c r="DD93" i="38"/>
  <c r="DF93" i="38"/>
  <c r="CY93" i="38"/>
  <c r="DC93" i="38"/>
  <c r="DA93" i="38"/>
  <c r="DB93" i="38"/>
  <c r="CV93" i="38"/>
  <c r="CW93" i="38"/>
  <c r="CZ93" i="38"/>
  <c r="CX93" i="38"/>
  <c r="DE93" i="38"/>
  <c r="DI93" i="38"/>
  <c r="DG93" i="38"/>
  <c r="DH93" i="38"/>
  <c r="DI175" i="38"/>
  <c r="CX175" i="38"/>
  <c r="CY175" i="38"/>
  <c r="CV175" i="38"/>
  <c r="DA175" i="38"/>
  <c r="DC175" i="38"/>
  <c r="CZ175" i="38"/>
  <c r="DB175" i="38"/>
  <c r="CW175" i="38"/>
  <c r="DL175" i="38"/>
  <c r="DD175" i="38"/>
  <c r="DE175" i="38"/>
  <c r="AY175" i="38" a="1"/>
  <c r="AY175" i="38" s="1"/>
  <c r="AZ175" i="38" s="1"/>
  <c r="CW134" i="38"/>
  <c r="CV134" i="38"/>
  <c r="DI134" i="38"/>
  <c r="DB134" i="38"/>
  <c r="CY134" i="38"/>
  <c r="CZ134" i="38"/>
  <c r="DC134" i="38"/>
  <c r="CX134" i="38"/>
  <c r="DA134" i="38"/>
  <c r="DL134" i="38"/>
  <c r="DD134" i="38"/>
  <c r="DE134" i="38"/>
  <c r="AY134" i="38" a="1"/>
  <c r="AY134" i="38" s="1"/>
  <c r="AZ134" i="38" s="1"/>
  <c r="DA159" i="38"/>
  <c r="DB159" i="38"/>
  <c r="CW159" i="38"/>
  <c r="CZ159" i="38"/>
  <c r="CV159" i="38"/>
  <c r="CY159" i="38"/>
  <c r="CX159" i="38"/>
  <c r="DC159" i="38"/>
  <c r="DI159" i="38"/>
  <c r="DL159" i="38"/>
  <c r="DD159" i="38"/>
  <c r="DE159" i="38"/>
  <c r="AY159" i="38" a="1"/>
  <c r="AY159" i="38" s="1"/>
  <c r="AZ159" i="38" s="1"/>
  <c r="DD37" i="38"/>
  <c r="DA126" i="38"/>
  <c r="CV126" i="38"/>
  <c r="CX126" i="38"/>
  <c r="DD126" i="38"/>
  <c r="DI126" i="38"/>
  <c r="DC126" i="38"/>
  <c r="CZ126" i="38"/>
  <c r="CY126" i="38"/>
  <c r="CW126" i="38"/>
  <c r="DL126" i="38"/>
  <c r="DM126" i="38"/>
  <c r="DF126" i="38"/>
  <c r="DB126" i="38"/>
  <c r="DG126" i="38"/>
  <c r="DE126" i="38"/>
  <c r="DH126" i="38"/>
  <c r="DJ126" i="38"/>
  <c r="DK126" i="38"/>
  <c r="DN126" i="38"/>
  <c r="DO126" i="38"/>
  <c r="DP126" i="38"/>
  <c r="CV160" i="38"/>
  <c r="DG160" i="38"/>
  <c r="CW160" i="38"/>
  <c r="DH160" i="38"/>
  <c r="CX160" i="38"/>
  <c r="DJ160" i="38"/>
  <c r="DD160" i="38"/>
  <c r="DN160" i="38"/>
  <c r="DB160" i="38"/>
  <c r="DO160" i="38"/>
  <c r="DA160" i="38"/>
  <c r="DE160" i="38"/>
  <c r="DF160" i="38"/>
  <c r="DI160" i="38"/>
  <c r="DC160" i="38"/>
  <c r="DM160" i="38"/>
  <c r="DL160" i="38"/>
  <c r="DK160" i="38"/>
  <c r="CY160" i="38"/>
  <c r="DP160" i="38"/>
  <c r="DR160" i="38" s="1"/>
  <c r="DV160" i="38" s="1"/>
  <c r="DX160" i="38" s="1"/>
  <c r="EB160" i="38" s="1"/>
  <c r="CZ160" i="38"/>
  <c r="DB122" i="38"/>
  <c r="CX122" i="38"/>
  <c r="CZ122" i="38"/>
  <c r="DL122" i="38"/>
  <c r="CV122" i="38"/>
  <c r="CW122" i="38"/>
  <c r="DC122" i="38"/>
  <c r="CY122" i="38"/>
  <c r="DI122" i="38"/>
  <c r="DA122" i="38"/>
  <c r="DD122" i="38"/>
  <c r="DE122" i="38"/>
  <c r="AY122" i="38" a="1"/>
  <c r="AY122" i="38" s="1"/>
  <c r="AZ122" i="38" s="1"/>
  <c r="CX119" i="38"/>
  <c r="CY119" i="38"/>
  <c r="CV119" i="38"/>
  <c r="CZ119" i="38"/>
  <c r="DA119" i="38"/>
  <c r="CW119" i="38"/>
  <c r="DC119" i="38"/>
  <c r="DB119" i="38"/>
  <c r="DI119" i="38"/>
  <c r="DL119" i="38"/>
  <c r="DD119" i="38"/>
  <c r="DE119" i="38"/>
  <c r="AY119" i="38" a="1"/>
  <c r="AY119" i="38" s="1"/>
  <c r="AZ119" i="38" s="1"/>
  <c r="DA97" i="38"/>
  <c r="CW97" i="38"/>
  <c r="DF97" i="38"/>
  <c r="DC97" i="38"/>
  <c r="DB97" i="38"/>
  <c r="DD97" i="38"/>
  <c r="CZ97" i="38"/>
  <c r="CY97" i="38"/>
  <c r="CX97" i="38"/>
  <c r="CV97" i="38"/>
  <c r="DE97" i="38"/>
  <c r="DL97" i="38"/>
  <c r="DI97" i="38"/>
  <c r="DM97" i="38"/>
  <c r="DH97" i="38"/>
  <c r="DG97" i="38"/>
  <c r="DN97" i="38"/>
  <c r="DK97" i="38"/>
  <c r="DJ97" i="38"/>
  <c r="DP97" i="38"/>
  <c r="DO97" i="38"/>
  <c r="CY25" i="38"/>
  <c r="DC96" i="38"/>
  <c r="DE96" i="38"/>
  <c r="DA96" i="38"/>
  <c r="CZ96" i="38"/>
  <c r="DL96" i="38"/>
  <c r="CY96" i="38"/>
  <c r="CW96" i="38"/>
  <c r="DD96" i="38"/>
  <c r="DJ96" i="38"/>
  <c r="DG96" i="38"/>
  <c r="DM96" i="38"/>
  <c r="DB96" i="38"/>
  <c r="CV96" i="38"/>
  <c r="DF96" i="38"/>
  <c r="CX96" i="38"/>
  <c r="DH96" i="38"/>
  <c r="DI96" i="38"/>
  <c r="DN96" i="38"/>
  <c r="DK96" i="38"/>
  <c r="DO96" i="38"/>
  <c r="DP96" i="38"/>
  <c r="CZ25" i="38"/>
  <c r="DF25" i="38"/>
  <c r="DB129" i="38"/>
  <c r="DE129" i="38"/>
  <c r="CZ129" i="38"/>
  <c r="DC129" i="38"/>
  <c r="CV129" i="38"/>
  <c r="CW129" i="38"/>
  <c r="CY129" i="38"/>
  <c r="DA129" i="38"/>
  <c r="DF129" i="38"/>
  <c r="DD129" i="38"/>
  <c r="CX129" i="38"/>
  <c r="DL129" i="38"/>
  <c r="DI129" i="38"/>
  <c r="DM129" i="38"/>
  <c r="DG129" i="38"/>
  <c r="DH129" i="38"/>
  <c r="DJ129" i="38"/>
  <c r="DK129" i="38"/>
  <c r="DN129" i="38"/>
  <c r="DO129" i="38"/>
  <c r="DP129" i="38"/>
  <c r="DF37" i="38"/>
  <c r="DB120" i="38"/>
  <c r="CZ120" i="38"/>
  <c r="DA120" i="38"/>
  <c r="CY120" i="38"/>
  <c r="DD120" i="38"/>
  <c r="DF120" i="38"/>
  <c r="CX120" i="38"/>
  <c r="CW120" i="38"/>
  <c r="DC120" i="38"/>
  <c r="CV120" i="38"/>
  <c r="DL120" i="38"/>
  <c r="DI120" i="38"/>
  <c r="DM120" i="38"/>
  <c r="DE120" i="38"/>
  <c r="DJ120" i="38"/>
  <c r="DG120" i="38"/>
  <c r="DK120" i="38"/>
  <c r="DH120" i="38"/>
  <c r="DN120" i="38"/>
  <c r="DO120" i="38"/>
  <c r="DP120" i="38"/>
  <c r="DD123" i="38"/>
  <c r="DI123" i="38"/>
  <c r="CV123" i="38"/>
  <c r="DC123" i="38"/>
  <c r="DE123" i="38"/>
  <c r="CZ123" i="38"/>
  <c r="DA123" i="38"/>
  <c r="CX123" i="38"/>
  <c r="DL123" i="38"/>
  <c r="CY123" i="38"/>
  <c r="DB123" i="38"/>
  <c r="CW123" i="38"/>
  <c r="CW94" i="38"/>
  <c r="CZ94" i="38"/>
  <c r="CV94" i="38"/>
  <c r="DA94" i="38"/>
  <c r="CY94" i="38"/>
  <c r="DF94" i="38"/>
  <c r="DC94" i="38"/>
  <c r="CX94" i="38"/>
  <c r="DD94" i="38"/>
  <c r="DB94" i="38"/>
  <c r="DI94" i="38"/>
  <c r="DM94" i="38"/>
  <c r="DE94" i="38"/>
  <c r="DL94" i="38"/>
  <c r="DG94" i="38"/>
  <c r="DH94" i="38"/>
  <c r="DJ94" i="38"/>
  <c r="DN94" i="38"/>
  <c r="DK94" i="38"/>
  <c r="DO94" i="38"/>
  <c r="DP94" i="38"/>
  <c r="DR27" i="38"/>
  <c r="DV27" i="38" s="1"/>
  <c r="DX27" i="38" s="1"/>
  <c r="EB27" i="38" s="1"/>
  <c r="DB128" i="38"/>
  <c r="CX128" i="38"/>
  <c r="CZ128" i="38"/>
  <c r="DC128" i="38"/>
  <c r="CY128" i="38"/>
  <c r="CW128" i="38"/>
  <c r="DI128" i="38"/>
  <c r="CV128" i="38"/>
  <c r="DA128" i="38"/>
  <c r="DL128" i="38"/>
  <c r="DD128" i="38"/>
  <c r="DE128" i="38"/>
  <c r="AY128" i="38" a="1"/>
  <c r="AY128" i="38" s="1"/>
  <c r="AZ128" i="38" s="1"/>
  <c r="DX50" i="38"/>
  <c r="CZ145" i="38"/>
  <c r="DM145" i="38"/>
  <c r="CY145" i="38"/>
  <c r="CX145" i="38"/>
  <c r="DD145" i="38"/>
  <c r="DJ145" i="38"/>
  <c r="DE145" i="38"/>
  <c r="DG145" i="38"/>
  <c r="DF145" i="38"/>
  <c r="DX16" i="38"/>
  <c r="DR36" i="38"/>
  <c r="DV36" i="38" s="1"/>
  <c r="DX36" i="38" s="1"/>
  <c r="EB36" i="38" s="1"/>
  <c r="DA138" i="38"/>
  <c r="DL138" i="38"/>
  <c r="CZ138" i="38"/>
  <c r="DI138" i="38"/>
  <c r="DE138" i="38"/>
  <c r="CX138" i="38"/>
  <c r="DB138" i="38"/>
  <c r="DC138" i="38"/>
  <c r="DF138" i="38"/>
  <c r="CV138" i="38"/>
  <c r="DM138" i="38"/>
  <c r="DD138" i="38"/>
  <c r="CW138" i="38"/>
  <c r="CY138" i="38"/>
  <c r="DG138" i="38"/>
  <c r="DK138" i="38"/>
  <c r="DH138" i="38"/>
  <c r="DJ138" i="38"/>
  <c r="DN138" i="38"/>
  <c r="DP138" i="38"/>
  <c r="DO138" i="38"/>
  <c r="DD157" i="38"/>
  <c r="CV157" i="38"/>
  <c r="DI157" i="38"/>
  <c r="DF157" i="38"/>
  <c r="CY157" i="38"/>
  <c r="DA157" i="38"/>
  <c r="CZ157" i="38"/>
  <c r="CX157" i="38"/>
  <c r="DB157" i="38"/>
  <c r="DC157" i="38"/>
  <c r="DE157" i="38"/>
  <c r="DL157" i="38"/>
  <c r="CW157" i="38"/>
  <c r="DM157" i="38"/>
  <c r="DG157" i="38"/>
  <c r="DJ157" i="38"/>
  <c r="DH157" i="38"/>
  <c r="DK157" i="38"/>
  <c r="DN157" i="38"/>
  <c r="DO157" i="38"/>
  <c r="DP157" i="38"/>
  <c r="DR157" i="38" s="1"/>
  <c r="DV157" i="38" s="1"/>
  <c r="DX157" i="38" s="1"/>
  <c r="EB157" i="38" s="1"/>
  <c r="CV100" i="38"/>
  <c r="DI100" i="38"/>
  <c r="CZ100" i="38"/>
  <c r="DF100" i="38"/>
  <c r="DG100" i="38"/>
  <c r="DD100" i="38"/>
  <c r="DC100" i="38"/>
  <c r="DA100" i="38"/>
  <c r="CW100" i="38"/>
  <c r="DE100" i="38"/>
  <c r="CY100" i="38"/>
  <c r="CX100" i="38"/>
  <c r="DL100" i="38"/>
  <c r="DB100" i="38"/>
  <c r="CX37" i="38"/>
  <c r="CX170" i="38"/>
  <c r="DJ170" i="38"/>
  <c r="DF170" i="38"/>
  <c r="DG170" i="38"/>
  <c r="CY170" i="38"/>
  <c r="DE170" i="38"/>
  <c r="DM170" i="38"/>
  <c r="CZ170" i="38"/>
  <c r="DD170" i="38"/>
  <c r="DA137" i="38"/>
  <c r="CY137" i="38"/>
  <c r="CZ137" i="38"/>
  <c r="CX137" i="38"/>
  <c r="DB137" i="38"/>
  <c r="DC137" i="38"/>
  <c r="CW137" i="38"/>
  <c r="CV137" i="38"/>
  <c r="DI137" i="38"/>
  <c r="DL137" i="38"/>
  <c r="DD137" i="38"/>
  <c r="DE137" i="38"/>
  <c r="AY137" i="38" a="1"/>
  <c r="AY137" i="38" s="1"/>
  <c r="AZ137" i="38" s="1"/>
  <c r="CZ37" i="38"/>
  <c r="I90" i="38" a="1"/>
  <c r="I90" i="38" s="1"/>
  <c r="R90" i="38" s="1"/>
  <c r="CW90" i="38" s="1"/>
  <c r="R161" i="38"/>
  <c r="CW161" i="38" s="1"/>
  <c r="CV161" i="38"/>
  <c r="BN26" i="38" a="1"/>
  <c r="BN26" i="38" s="1"/>
  <c r="BO26" i="38" s="1"/>
  <c r="DN26" i="38" s="1"/>
  <c r="BJ26" i="38" a="1"/>
  <c r="BJ26" i="38" s="1"/>
  <c r="DH26" i="38"/>
  <c r="BE26" i="38" a="1"/>
  <c r="BE26" i="38" s="1"/>
  <c r="BF26" i="38" s="1"/>
  <c r="DJ26" i="38" s="1"/>
  <c r="DJ25" i="38" s="1"/>
  <c r="BG26" i="38" a="1"/>
  <c r="BG26" i="38" s="1"/>
  <c r="BH26" i="38" s="1"/>
  <c r="DK26" i="38" s="1"/>
  <c r="BL26" i="38" a="1"/>
  <c r="BL26" i="38" s="1"/>
  <c r="BM26" i="38" s="1"/>
  <c r="DM26" i="38" s="1"/>
  <c r="DM25" i="38" s="1"/>
  <c r="BC26" i="38" a="1"/>
  <c r="BC26" i="38" s="1"/>
  <c r="DG38" i="38"/>
  <c r="DG37" i="38" s="1"/>
  <c r="BB38" i="38"/>
  <c r="DX187" i="38"/>
  <c r="DX185" i="38" s="1"/>
  <c r="BC1000" i="71" a="1"/>
  <c r="BC1000" i="71" s="1"/>
  <c r="BN1000" i="71" a="1"/>
  <c r="BN1000" i="71" s="1"/>
  <c r="BO1000" i="71" s="1"/>
  <c r="DN1000" i="71" s="1"/>
  <c r="BE1000" i="71" a="1"/>
  <c r="BE1000" i="71" s="1"/>
  <c r="BL1000" i="71" a="1"/>
  <c r="BL1000" i="71" s="1"/>
  <c r="BJ1000" i="71" a="1"/>
  <c r="BJ1000" i="71" s="1"/>
  <c r="BG1000" i="71" a="1"/>
  <c r="BG1000" i="71" s="1"/>
  <c r="BH1000" i="71" s="1"/>
  <c r="DK1000" i="71" s="1"/>
  <c r="BI999" i="71"/>
  <c r="BP999" i="71" s="1" a="1"/>
  <c r="BP999" i="71" s="1"/>
  <c r="BR999" i="71" s="1"/>
  <c r="DO999" i="71" s="1"/>
  <c r="DH1000" i="71"/>
  <c r="BL93" i="38" l="1" a="1"/>
  <c r="BL93" i="38" s="1"/>
  <c r="BM93" i="38" s="1"/>
  <c r="DM93" i="38" s="1"/>
  <c r="BJ93" i="38" a="1"/>
  <c r="BJ93" i="38" s="1"/>
  <c r="BN93" i="38" a="1"/>
  <c r="BN93" i="38" s="1"/>
  <c r="BO93" i="38" s="1"/>
  <c r="DN93" i="38" s="1"/>
  <c r="BG93" i="38" a="1"/>
  <c r="BG93" i="38" s="1"/>
  <c r="BH93" i="38" s="1"/>
  <c r="BC93" i="38" a="1"/>
  <c r="BC93" i="38" s="1"/>
  <c r="BE93" i="38" a="1"/>
  <c r="BE93" i="38" s="1"/>
  <c r="BF93" i="38" s="1"/>
  <c r="DJ93" i="38" s="1"/>
  <c r="AN20" i="38" a="1"/>
  <c r="AN20" i="38" s="1"/>
  <c r="AO20" i="38" s="1"/>
  <c r="CV66" i="38"/>
  <c r="CV49" i="38" s="1"/>
  <c r="AN66" i="38" a="1"/>
  <c r="AN66" i="38" s="1"/>
  <c r="AO66" i="38" s="1"/>
  <c r="DK82" i="38"/>
  <c r="BR82" i="38"/>
  <c r="BS82" i="38" s="1"/>
  <c r="BT82" i="38" s="1"/>
  <c r="CV84" i="38"/>
  <c r="CV80" i="38" s="1"/>
  <c r="DX95" i="38"/>
  <c r="EB95" i="38" s="1"/>
  <c r="DF123" i="38"/>
  <c r="AN84" i="38" a="1"/>
  <c r="AN84" i="38" s="1"/>
  <c r="AO84" i="38" s="1"/>
  <c r="DA84" i="38"/>
  <c r="DA80" i="38" s="1"/>
  <c r="R116" i="38"/>
  <c r="CW116" i="38" s="1"/>
  <c r="CW112" i="38" s="1"/>
  <c r="BB123" i="38"/>
  <c r="J125" i="38"/>
  <c r="CV125" i="38" s="1"/>
  <c r="CV121" i="38" s="1"/>
  <c r="R125" i="38"/>
  <c r="CW125" i="38" s="1"/>
  <c r="CW121" i="38" s="1"/>
  <c r="CB114" i="38" a="1"/>
  <c r="CB114" i="38" s="1"/>
  <c r="DT114" i="38" s="1" a="1"/>
  <c r="DT114" i="38" s="1"/>
  <c r="CP114" i="38" a="1"/>
  <c r="CP114" i="38" s="1"/>
  <c r="EA114" i="38"/>
  <c r="DW114" i="38"/>
  <c r="DY114" i="38" a="1"/>
  <c r="DY114" i="38" s="1"/>
  <c r="DZ114" i="38" a="1"/>
  <c r="DZ114" i="38" s="1"/>
  <c r="AG116" i="38" a="1"/>
  <c r="AG116" i="38" s="1"/>
  <c r="AL116" i="38" s="1"/>
  <c r="DA116" i="38" s="1"/>
  <c r="DA112" i="38" s="1"/>
  <c r="DR115" i="38"/>
  <c r="DV115" i="38" s="1"/>
  <c r="AN110" i="38" a="1"/>
  <c r="AN110" i="38" s="1"/>
  <c r="AO110" i="38" s="1"/>
  <c r="DB110" i="38" s="1"/>
  <c r="DR83" i="38"/>
  <c r="DV83" i="38" s="1"/>
  <c r="DR124" i="38"/>
  <c r="DV124" i="38" s="1"/>
  <c r="DR111" i="38"/>
  <c r="DV111" i="38" s="1"/>
  <c r="DR146" i="38"/>
  <c r="DV146" i="38" s="1"/>
  <c r="J143" i="38"/>
  <c r="CV143" i="38" s="1"/>
  <c r="R143" i="38"/>
  <c r="CW143" i="38" s="1"/>
  <c r="J141" i="38"/>
  <c r="CV141" i="38" s="1"/>
  <c r="R141" i="38"/>
  <c r="CW141" i="38" s="1"/>
  <c r="J139" i="38"/>
  <c r="CV139" i="38" s="1"/>
  <c r="R139" i="38"/>
  <c r="CW139" i="38" s="1"/>
  <c r="J154" i="38"/>
  <c r="AG154" i="38" s="1" a="1"/>
  <c r="AG154" i="38" s="1"/>
  <c r="AL154" i="38" s="1"/>
  <c r="DA154" i="38" s="1"/>
  <c r="R154" i="38"/>
  <c r="CW154" i="38" s="1"/>
  <c r="J152" i="38"/>
  <c r="AG152" i="38" s="1" a="1"/>
  <c r="AG152" i="38" s="1"/>
  <c r="AL152" i="38" s="1"/>
  <c r="DA152" i="38" s="1"/>
  <c r="R152" i="38"/>
  <c r="CW152" i="38" s="1"/>
  <c r="J150" i="38"/>
  <c r="CV150" i="38" s="1"/>
  <c r="R150" i="38"/>
  <c r="CW150" i="38" s="1"/>
  <c r="J156" i="38"/>
  <c r="CV156" i="38" s="1"/>
  <c r="R156" i="38"/>
  <c r="CW156" i="38" s="1"/>
  <c r="J145" i="38"/>
  <c r="CV145" i="38" s="1"/>
  <c r="R145" i="38"/>
  <c r="CW145" i="38" s="1"/>
  <c r="DX142" i="38"/>
  <c r="EB142" i="38" s="1"/>
  <c r="DR144" i="38"/>
  <c r="DV144" i="38" s="1"/>
  <c r="DX153" i="38"/>
  <c r="EB153" i="38" s="1"/>
  <c r="DR155" i="38"/>
  <c r="DV155" i="38" s="1"/>
  <c r="DR151" i="38"/>
  <c r="DV151" i="38" s="1"/>
  <c r="DR140" i="38"/>
  <c r="DV140" i="38" s="1"/>
  <c r="J172" i="38"/>
  <c r="CV172" i="38" s="1"/>
  <c r="R172" i="38"/>
  <c r="CW172" i="38" s="1"/>
  <c r="R168" i="38"/>
  <c r="CW168" i="38" s="1"/>
  <c r="J168" i="38"/>
  <c r="R170" i="38"/>
  <c r="J170" i="38"/>
  <c r="J166" i="38"/>
  <c r="CV166" i="38" s="1"/>
  <c r="R166" i="38"/>
  <c r="CW166" i="38" s="1"/>
  <c r="R183" i="38"/>
  <c r="CW183" i="38" s="1"/>
  <c r="J181" i="38"/>
  <c r="AG181" i="38" s="1" a="1"/>
  <c r="AG181" i="38" s="1"/>
  <c r="AL181" i="38" s="1"/>
  <c r="DA181" i="38" s="1"/>
  <c r="DX169" i="38"/>
  <c r="EB169" i="38" s="1"/>
  <c r="AG183" i="38" a="1"/>
  <c r="AG183" i="38" s="1"/>
  <c r="AL183" i="38" s="1"/>
  <c r="DX173" i="38"/>
  <c r="EB173" i="38" s="1"/>
  <c r="DR165" i="38"/>
  <c r="DV165" i="38" s="1"/>
  <c r="DR182" i="38"/>
  <c r="DV182" i="38" s="1"/>
  <c r="J179" i="38"/>
  <c r="CV179" i="38" s="1"/>
  <c r="R179" i="38"/>
  <c r="CW179" i="38" s="1"/>
  <c r="J177" i="38"/>
  <c r="CV177" i="38" s="1"/>
  <c r="R177" i="38"/>
  <c r="CW177" i="38" s="1"/>
  <c r="DR178" i="38"/>
  <c r="DV178" i="38" s="1"/>
  <c r="DR180" i="38"/>
  <c r="DV180" i="38" s="1"/>
  <c r="DX109" i="38"/>
  <c r="EB109" i="38" s="1"/>
  <c r="BC100" i="38" a="1"/>
  <c r="BC100" i="38" s="1"/>
  <c r="BL100" i="38" a="1"/>
  <c r="BL100" i="38" s="1"/>
  <c r="BM100" i="38" s="1"/>
  <c r="DM100" i="38" s="1"/>
  <c r="BG100" i="38" a="1"/>
  <c r="BG100" i="38" s="1"/>
  <c r="BH100" i="38" s="1"/>
  <c r="BE100" i="38" a="1"/>
  <c r="BE100" i="38" s="1"/>
  <c r="BF100" i="38" s="1"/>
  <c r="DJ100" i="38" s="1"/>
  <c r="BN100" i="38" a="1"/>
  <c r="BN100" i="38" s="1"/>
  <c r="BO100" i="38" s="1"/>
  <c r="DN100" i="38" s="1"/>
  <c r="BJ100" i="38" a="1"/>
  <c r="BJ100" i="38" s="1"/>
  <c r="R45" i="38"/>
  <c r="CW45" i="38" s="1"/>
  <c r="AP103" i="38"/>
  <c r="DC103" i="38" s="1"/>
  <c r="DB103" i="38"/>
  <c r="J106" i="38"/>
  <c r="CV106" i="38" s="1"/>
  <c r="R106" i="38"/>
  <c r="CW106" i="38" s="1"/>
  <c r="CW98" i="38" s="1"/>
  <c r="AN108" i="38" a="1"/>
  <c r="AN108" i="38" s="1"/>
  <c r="AO108" i="38" s="1"/>
  <c r="CV108" i="38"/>
  <c r="DA108" i="38"/>
  <c r="AG33" i="38" a="1"/>
  <c r="AG33" i="38" s="1"/>
  <c r="AL33" i="38" s="1"/>
  <c r="DA33" i="38" s="1"/>
  <c r="R33" i="38"/>
  <c r="CW33" i="38" s="1"/>
  <c r="DR101" i="38"/>
  <c r="DV101" i="38" s="1"/>
  <c r="DX102" i="38"/>
  <c r="EB102" i="38" s="1"/>
  <c r="DR104" i="38"/>
  <c r="DV104" i="38" s="1"/>
  <c r="DX105" i="38"/>
  <c r="EB105" i="38" s="1"/>
  <c r="DX107" i="38"/>
  <c r="EB107" i="38" s="1"/>
  <c r="AG41" i="38" a="1"/>
  <c r="AG41" i="38" s="1"/>
  <c r="AL41" i="38" s="1"/>
  <c r="DA41" i="38" s="1"/>
  <c r="CV41" i="38"/>
  <c r="AG42" i="38" a="1"/>
  <c r="AG42" i="38" s="1"/>
  <c r="AL42" i="38" s="1"/>
  <c r="DA42" i="38" s="1"/>
  <c r="AG45" i="38" a="1"/>
  <c r="AG45" i="38" s="1"/>
  <c r="AL45" i="38" s="1"/>
  <c r="DA45" i="38" s="1"/>
  <c r="R35" i="38"/>
  <c r="CW35" i="38" s="1"/>
  <c r="J47" i="38"/>
  <c r="AG47" i="38" s="1" a="1"/>
  <c r="AG47" i="38" s="1"/>
  <c r="AL47" i="38" s="1"/>
  <c r="DA47" i="38" s="1"/>
  <c r="R47" i="38"/>
  <c r="CW47" i="38" s="1"/>
  <c r="AN29" i="38" a="1"/>
  <c r="AN29" i="38" s="1"/>
  <c r="AO29" i="38" s="1"/>
  <c r="DB29" i="38" s="1"/>
  <c r="AG30" i="38" a="1"/>
  <c r="AG30" i="38" s="1"/>
  <c r="AL30" i="38" s="1"/>
  <c r="DA30" i="38" s="1"/>
  <c r="CV25" i="38"/>
  <c r="AG35" i="38" a="1"/>
  <c r="AG35" i="38" s="1"/>
  <c r="AL35" i="38" s="1"/>
  <c r="DB133" i="38"/>
  <c r="CW130" i="38"/>
  <c r="DB127" i="38"/>
  <c r="DE133" i="38"/>
  <c r="DC127" i="38"/>
  <c r="DB118" i="38"/>
  <c r="DB92" i="38"/>
  <c r="CY130" i="38"/>
  <c r="CY163" i="38"/>
  <c r="DX44" i="38"/>
  <c r="EB44" i="38" s="1"/>
  <c r="DB130" i="38"/>
  <c r="DE127" i="38"/>
  <c r="DD130" i="38"/>
  <c r="DI127" i="38"/>
  <c r="CW127" i="38"/>
  <c r="CZ80" i="38"/>
  <c r="DD127" i="38"/>
  <c r="CW87" i="38"/>
  <c r="DD174" i="38"/>
  <c r="DL130" i="38"/>
  <c r="EB16" i="38"/>
  <c r="CX127" i="38"/>
  <c r="DA118" i="38"/>
  <c r="CZ158" i="38"/>
  <c r="CZ130" i="38"/>
  <c r="DE163" i="38"/>
  <c r="CX87" i="38"/>
  <c r="CY80" i="38"/>
  <c r="CZ147" i="38"/>
  <c r="CV112" i="38"/>
  <c r="DD92" i="38"/>
  <c r="CW80" i="38"/>
  <c r="DA133" i="38"/>
  <c r="DA127" i="38"/>
  <c r="CX121" i="38"/>
  <c r="DD158" i="38"/>
  <c r="DE130" i="38"/>
  <c r="DA158" i="38"/>
  <c r="CZ163" i="38"/>
  <c r="CV118" i="38"/>
  <c r="CY136" i="38"/>
  <c r="DF159" i="38"/>
  <c r="DF158" i="38" s="1"/>
  <c r="BA159" i="38"/>
  <c r="CY174" i="38"/>
  <c r="DM92" i="38"/>
  <c r="DL92" i="38"/>
  <c r="DI130" i="38"/>
  <c r="CW133" i="38"/>
  <c r="CZ136" i="38"/>
  <c r="DR184" i="38"/>
  <c r="DV184" i="38" s="1"/>
  <c r="DX184" i="38" s="1"/>
  <c r="EB184" i="38" s="1"/>
  <c r="DR89" i="38"/>
  <c r="DV89" i="38" s="1"/>
  <c r="DX89" i="38" s="1"/>
  <c r="EB89" i="38" s="1"/>
  <c r="CV127" i="38"/>
  <c r="CY118" i="38"/>
  <c r="DF137" i="38"/>
  <c r="DF136" i="38" s="1"/>
  <c r="BA137" i="38"/>
  <c r="DR94" i="38"/>
  <c r="DV94" i="38" s="1"/>
  <c r="DX94" i="38" s="1"/>
  <c r="EB94" i="38" s="1"/>
  <c r="DF119" i="38"/>
  <c r="DF118" i="38" s="1"/>
  <c r="BA119" i="38"/>
  <c r="CX118" i="38"/>
  <c r="CZ121" i="38"/>
  <c r="DE158" i="38"/>
  <c r="BA134" i="38"/>
  <c r="DF134" i="38"/>
  <c r="DF133" i="38" s="1"/>
  <c r="CX174" i="38"/>
  <c r="DE92" i="38"/>
  <c r="BA131" i="38"/>
  <c r="DF131" i="38"/>
  <c r="DF130" i="38" s="1"/>
  <c r="CX130" i="38"/>
  <c r="DR176" i="38"/>
  <c r="DV176" i="38" s="1"/>
  <c r="DX176" i="38" s="1"/>
  <c r="EB176" i="38" s="1"/>
  <c r="DR149" i="38"/>
  <c r="DV149" i="38" s="1"/>
  <c r="DX149" i="38" s="1"/>
  <c r="EB149" i="38" s="1"/>
  <c r="DD87" i="38"/>
  <c r="CY147" i="38"/>
  <c r="CY87" i="38"/>
  <c r="DF99" i="38"/>
  <c r="DF98" i="38" s="1"/>
  <c r="BA99" i="38"/>
  <c r="CX98" i="38"/>
  <c r="DR85" i="38"/>
  <c r="DV85" i="38" s="1"/>
  <c r="DI92" i="38"/>
  <c r="DE136" i="38"/>
  <c r="DE118" i="38"/>
  <c r="DR126" i="38"/>
  <c r="DV126" i="38" s="1"/>
  <c r="DX126" i="38" s="1"/>
  <c r="EB126" i="38" s="1"/>
  <c r="DF175" i="38"/>
  <c r="DF174" i="38" s="1"/>
  <c r="BA175" i="38"/>
  <c r="CX92" i="38"/>
  <c r="CX80" i="38"/>
  <c r="DR135" i="38"/>
  <c r="DV135" i="38" s="1"/>
  <c r="DX135" i="38" s="1"/>
  <c r="EB135" i="38" s="1"/>
  <c r="DD136" i="38"/>
  <c r="CY127" i="38"/>
  <c r="DD118" i="38"/>
  <c r="DF122" i="38"/>
  <c r="BA122" i="38"/>
  <c r="DD133" i="38"/>
  <c r="DE174" i="38"/>
  <c r="CZ92" i="38"/>
  <c r="DE98" i="38"/>
  <c r="DF148" i="38"/>
  <c r="DF147" i="38" s="1"/>
  <c r="BA148" i="38"/>
  <c r="DR96" i="38"/>
  <c r="DV96" i="38" s="1"/>
  <c r="DX96" i="38" s="1"/>
  <c r="EB96" i="38" s="1"/>
  <c r="DL118" i="38"/>
  <c r="DE121" i="38"/>
  <c r="CW92" i="38"/>
  <c r="CX158" i="38"/>
  <c r="DI133" i="38"/>
  <c r="CZ87" i="38"/>
  <c r="DD98" i="38"/>
  <c r="DE147" i="38"/>
  <c r="BA113" i="38"/>
  <c r="DF113" i="38"/>
  <c r="DF112" i="38" s="1"/>
  <c r="DR138" i="38"/>
  <c r="DV138" i="38" s="1"/>
  <c r="DX138" i="38" s="1"/>
  <c r="EB138" i="38" s="1"/>
  <c r="EB50" i="38"/>
  <c r="CZ127" i="38"/>
  <c r="DR129" i="38"/>
  <c r="DV129" i="38" s="1"/>
  <c r="DX129" i="38" s="1"/>
  <c r="EB129" i="38" s="1"/>
  <c r="DR97" i="38"/>
  <c r="DV97" i="38" s="1"/>
  <c r="DX97" i="38" s="1"/>
  <c r="EB97" i="38" s="1"/>
  <c r="DI118" i="38"/>
  <c r="DD121" i="38"/>
  <c r="CV92" i="38"/>
  <c r="CX163" i="38"/>
  <c r="CY133" i="38"/>
  <c r="DR167" i="38"/>
  <c r="DV167" i="38" s="1"/>
  <c r="DX167" i="38" s="1"/>
  <c r="EB167" i="38" s="1"/>
  <c r="DD147" i="38"/>
  <c r="DE112" i="38"/>
  <c r="DN92" i="38"/>
  <c r="DF81" i="38"/>
  <c r="DF80" i="38" s="1"/>
  <c r="BA81" i="38"/>
  <c r="DR162" i="38"/>
  <c r="DV162" i="38" s="1"/>
  <c r="DX162" i="38" s="1"/>
  <c r="EB162" i="38" s="1"/>
  <c r="CZ133" i="38"/>
  <c r="DD112" i="38"/>
  <c r="DR86" i="38"/>
  <c r="DV86" i="38" s="1"/>
  <c r="DX86" i="38" s="1"/>
  <c r="EB86" i="38" s="1"/>
  <c r="BA128" i="38"/>
  <c r="DF128" i="38"/>
  <c r="DF127" i="38" s="1"/>
  <c r="DR120" i="38"/>
  <c r="DV120" i="38" s="1"/>
  <c r="DX120" i="38" s="1"/>
  <c r="EB120" i="38" s="1"/>
  <c r="DC118" i="38"/>
  <c r="CY158" i="38"/>
  <c r="DA92" i="38"/>
  <c r="CV130" i="38"/>
  <c r="DE80" i="38"/>
  <c r="CX147" i="38"/>
  <c r="CV158" i="38"/>
  <c r="CW118" i="38"/>
  <c r="CY121" i="38"/>
  <c r="CZ174" i="38"/>
  <c r="DJ92" i="38"/>
  <c r="DC92" i="38"/>
  <c r="DA130" i="38"/>
  <c r="BA164" i="38"/>
  <c r="DF164" i="38"/>
  <c r="DF163" i="38" s="1"/>
  <c r="DD80" i="38"/>
  <c r="CV133" i="38"/>
  <c r="CZ98" i="38"/>
  <c r="CY112" i="38"/>
  <c r="J90" i="38"/>
  <c r="AG90" i="38" s="1" a="1"/>
  <c r="AG90" i="38" s="1"/>
  <c r="AL90" i="38" s="1"/>
  <c r="DA90" i="38" s="1"/>
  <c r="DA87" i="38" s="1"/>
  <c r="CY92" i="38"/>
  <c r="CX133" i="38"/>
  <c r="DR132" i="38"/>
  <c r="DV132" i="38" s="1"/>
  <c r="DX132" i="38" s="1"/>
  <c r="EB132" i="38" s="1"/>
  <c r="BA88" i="38"/>
  <c r="DF88" i="38"/>
  <c r="DF87" i="38" s="1"/>
  <c r="CY98" i="38"/>
  <c r="CZ112" i="38"/>
  <c r="DH92" i="38"/>
  <c r="DL133" i="38"/>
  <c r="CW158" i="38"/>
  <c r="CX136" i="38"/>
  <c r="DL127" i="38"/>
  <c r="CZ118" i="38"/>
  <c r="DG92" i="38"/>
  <c r="DF92" i="38"/>
  <c r="DC130" i="38"/>
  <c r="DD163" i="38"/>
  <c r="DC133" i="38"/>
  <c r="DE87" i="38"/>
  <c r="CX112" i="38"/>
  <c r="AN161" i="38" a="1"/>
  <c r="AN161" i="38" s="1"/>
  <c r="AO161" i="38" s="1"/>
  <c r="DB161" i="38" s="1"/>
  <c r="DB158" i="38" s="1"/>
  <c r="BI26" i="38"/>
  <c r="BP26" i="38" s="1" a="1"/>
  <c r="BP26" i="38" s="1"/>
  <c r="BR26" i="38" s="1"/>
  <c r="DO26" i="38" s="1"/>
  <c r="BN38" i="38" a="1"/>
  <c r="BN38" i="38" s="1"/>
  <c r="BO38" i="38" s="1"/>
  <c r="DN38" i="38" s="1"/>
  <c r="BC38" i="38" a="1"/>
  <c r="BC38" i="38" s="1"/>
  <c r="DH38" i="38"/>
  <c r="BE38" i="38" a="1"/>
  <c r="BE38" i="38" s="1"/>
  <c r="BF38" i="38" s="1"/>
  <c r="DJ38" i="38" s="1"/>
  <c r="DJ37" i="38" s="1"/>
  <c r="BJ38" i="38" a="1"/>
  <c r="BJ38" i="38" s="1"/>
  <c r="BL38" i="38" a="1"/>
  <c r="BL38" i="38" s="1"/>
  <c r="BM38" i="38" s="1"/>
  <c r="DM38" i="38" s="1"/>
  <c r="DM37" i="38" s="1"/>
  <c r="BG38" i="38" a="1"/>
  <c r="BG38" i="38" s="1"/>
  <c r="BH38" i="38" s="1"/>
  <c r="DK38" i="38" s="1"/>
  <c r="EB187" i="38"/>
  <c r="EB185" i="38" s="1"/>
  <c r="DP999" i="71"/>
  <c r="DV999" i="71" s="1"/>
  <c r="EB999" i="71" s="1"/>
  <c r="BS999" i="71"/>
  <c r="BT999" i="71" s="1"/>
  <c r="BU999" i="71" s="1"/>
  <c r="D60" i="45" a="1"/>
  <c r="D60" i="45" s="1"/>
  <c r="D60" i="79" a="1"/>
  <c r="D60" i="79" s="1"/>
  <c r="BI1000" i="71"/>
  <c r="BI93" i="38" l="1"/>
  <c r="BP93" i="38" a="1"/>
  <c r="BP93" i="38" s="1"/>
  <c r="BR93" i="38" s="1"/>
  <c r="DO93" i="38" s="1"/>
  <c r="DO92" i="38" s="1"/>
  <c r="DK93" i="38"/>
  <c r="DK92" i="38" s="1"/>
  <c r="AP20" i="38"/>
  <c r="BB20" i="38" s="1"/>
  <c r="DB20" i="38"/>
  <c r="DB15" i="38" s="1"/>
  <c r="DB66" i="38"/>
  <c r="DB49" i="38" s="1"/>
  <c r="AP66" i="38"/>
  <c r="DO82" i="38"/>
  <c r="DP82" i="38"/>
  <c r="DF121" i="38"/>
  <c r="CC82" i="38" a="1"/>
  <c r="CC82" i="38" s="1"/>
  <c r="CB82" i="38" a="1"/>
  <c r="CB82" i="38" s="1"/>
  <c r="DB84" i="38"/>
  <c r="DB80" i="38" s="1"/>
  <c r="AP84" i="38"/>
  <c r="BB84" i="38" s="1"/>
  <c r="BG123" i="38" a="1"/>
  <c r="BG123" i="38" s="1"/>
  <c r="BH123" i="38" s="1"/>
  <c r="DK123" i="38" s="1"/>
  <c r="BL123" i="38" a="1"/>
  <c r="BL123" i="38" s="1"/>
  <c r="BM123" i="38" s="1"/>
  <c r="DM123" i="38" s="1"/>
  <c r="BN123" i="38" a="1"/>
  <c r="BN123" i="38" s="1"/>
  <c r="BO123" i="38" s="1"/>
  <c r="DN123" i="38" s="1"/>
  <c r="BJ123" i="38" a="1"/>
  <c r="BJ123" i="38" s="1"/>
  <c r="BE123" i="38" a="1"/>
  <c r="BE123" i="38" s="1"/>
  <c r="BF123" i="38" s="1"/>
  <c r="DJ123" i="38" s="1"/>
  <c r="BC123" i="38" a="1"/>
  <c r="BC123" i="38" s="1"/>
  <c r="DH123" i="38"/>
  <c r="AG125" i="38" a="1"/>
  <c r="AG125" i="38" s="1"/>
  <c r="AL125" i="38" s="1"/>
  <c r="DA125" i="38" s="1"/>
  <c r="DA121" i="38" s="1"/>
  <c r="DU114" i="38"/>
  <c r="CN114" i="38" a="1"/>
  <c r="CN114" i="38" s="1"/>
  <c r="AP110" i="38"/>
  <c r="BB110" i="38" s="1"/>
  <c r="BC110" i="38" s="1" a="1"/>
  <c r="BC110" i="38" s="1"/>
  <c r="BD110" i="38" s="1"/>
  <c r="DI110" i="38" s="1"/>
  <c r="DQ114" i="38"/>
  <c r="DR114" i="38" s="1"/>
  <c r="DS114" i="38" a="1"/>
  <c r="DS114" i="38" s="1"/>
  <c r="AN116" i="38" a="1"/>
  <c r="AN116" i="38" s="1"/>
  <c r="AO116" i="38" s="1"/>
  <c r="DB116" i="38" s="1"/>
  <c r="DB112" i="38" s="1"/>
  <c r="DX115" i="38"/>
  <c r="EB115" i="38" s="1"/>
  <c r="DX83" i="38"/>
  <c r="EB83" i="38" s="1"/>
  <c r="DX124" i="38"/>
  <c r="EB124" i="38" s="1"/>
  <c r="DX111" i="38"/>
  <c r="EB111" i="38" s="1"/>
  <c r="AG141" i="38" a="1"/>
  <c r="AG141" i="38" s="1"/>
  <c r="AL141" i="38" s="1"/>
  <c r="DA141" i="38" s="1"/>
  <c r="AG143" i="38" a="1"/>
  <c r="AG143" i="38" s="1"/>
  <c r="AL143" i="38" s="1"/>
  <c r="DA143" i="38" s="1"/>
  <c r="DX146" i="38"/>
  <c r="EB146" i="38" s="1"/>
  <c r="CW136" i="38"/>
  <c r="AG139" i="38" a="1"/>
  <c r="AG139" i="38" s="1"/>
  <c r="AL139" i="38" s="1"/>
  <c r="DA139" i="38" s="1"/>
  <c r="CV136" i="38"/>
  <c r="CV152" i="38"/>
  <c r="CV154" i="38"/>
  <c r="AN152" i="38" a="1"/>
  <c r="AN152" i="38" s="1"/>
  <c r="AO152" i="38" s="1"/>
  <c r="AG156" i="38" a="1"/>
  <c r="AG156" i="38" s="1"/>
  <c r="AL156" i="38" s="1"/>
  <c r="DA156" i="38" s="1"/>
  <c r="AN154" i="38" a="1"/>
  <c r="AN154" i="38" s="1"/>
  <c r="AO154" i="38" s="1"/>
  <c r="CW147" i="38"/>
  <c r="AG150" i="38" a="1"/>
  <c r="AG150" i="38" s="1"/>
  <c r="AL150" i="38" s="1"/>
  <c r="DA150" i="38" s="1"/>
  <c r="AG145" i="38" a="1"/>
  <c r="AG145" i="38" s="1"/>
  <c r="AL145" i="38" s="1"/>
  <c r="DA145" i="38" s="1"/>
  <c r="DX144" i="38"/>
  <c r="EB144" i="38" s="1"/>
  <c r="DX155" i="38"/>
  <c r="EB155" i="38" s="1"/>
  <c r="DX151" i="38"/>
  <c r="EB151" i="38" s="1"/>
  <c r="DX140" i="38"/>
  <c r="EB140" i="38" s="1"/>
  <c r="AG172" i="38" a="1"/>
  <c r="AG172" i="38" s="1"/>
  <c r="AL172" i="38" s="1"/>
  <c r="DA172" i="38" s="1"/>
  <c r="AG168" i="38" a="1"/>
  <c r="AG168" i="38" s="1"/>
  <c r="AL168" i="38" s="1"/>
  <c r="DA168" i="38" s="1"/>
  <c r="CV168" i="38"/>
  <c r="AG170" i="38" a="1"/>
  <c r="AG170" i="38" s="1"/>
  <c r="AL170" i="38" s="1"/>
  <c r="DA170" i="38" s="1"/>
  <c r="CV170" i="38"/>
  <c r="CW170" i="38"/>
  <c r="CW163" i="38" s="1"/>
  <c r="AG166" i="38" a="1"/>
  <c r="AG166" i="38" s="1"/>
  <c r="AL166" i="38" s="1"/>
  <c r="DA166" i="38" s="1"/>
  <c r="AN181" i="38" a="1"/>
  <c r="AN181" i="38" s="1"/>
  <c r="AO181" i="38" s="1"/>
  <c r="AP181" i="38" s="1"/>
  <c r="CV181" i="38"/>
  <c r="CV174" i="38" s="1"/>
  <c r="AN183" i="38" a="1"/>
  <c r="AN183" i="38" s="1"/>
  <c r="AO183" i="38" s="1"/>
  <c r="AP183" i="38" s="1"/>
  <c r="BB183" i="38" s="1"/>
  <c r="DA183" i="38"/>
  <c r="DX165" i="38"/>
  <c r="EB165" i="38" s="1"/>
  <c r="CW174" i="38"/>
  <c r="DX182" i="38"/>
  <c r="EB182" i="38" s="1"/>
  <c r="AG179" i="38" a="1"/>
  <c r="AG179" i="38" s="1"/>
  <c r="AL179" i="38" s="1"/>
  <c r="DA179" i="38" s="1"/>
  <c r="AG177" i="38" a="1"/>
  <c r="AG177" i="38" s="1"/>
  <c r="AL177" i="38" s="1"/>
  <c r="DA177" i="38" s="1"/>
  <c r="DX178" i="38"/>
  <c r="EB178" i="38" s="1"/>
  <c r="DX180" i="38"/>
  <c r="EB180" i="38" s="1"/>
  <c r="CV98" i="38"/>
  <c r="BI100" i="38"/>
  <c r="BP100" i="38" s="1" a="1"/>
  <c r="BP100" i="38" s="1"/>
  <c r="BR100" i="38" s="1"/>
  <c r="DO100" i="38" s="1"/>
  <c r="CW37" i="38"/>
  <c r="DK100" i="38"/>
  <c r="BB103" i="38"/>
  <c r="BL103" i="38" s="1" a="1"/>
  <c r="BL103" i="38" s="1"/>
  <c r="AG106" i="38" a="1"/>
  <c r="AG106" i="38" s="1"/>
  <c r="AL106" i="38" s="1"/>
  <c r="DA106" i="38" s="1"/>
  <c r="DA98" i="38" s="1"/>
  <c r="DB108" i="38"/>
  <c r="AP108" i="38"/>
  <c r="CW25" i="38"/>
  <c r="AN33" i="38" a="1"/>
  <c r="AN33" i="38" s="1"/>
  <c r="AO33" i="38" s="1"/>
  <c r="DB33" i="38" s="1"/>
  <c r="AN42" i="38" a="1"/>
  <c r="AN42" i="38" s="1"/>
  <c r="AO42" i="38" s="1"/>
  <c r="DB42" i="38" s="1"/>
  <c r="DX101" i="38"/>
  <c r="EB101" i="38" s="1"/>
  <c r="DX104" i="38"/>
  <c r="EB104" i="38" s="1"/>
  <c r="AN41" i="38" a="1"/>
  <c r="AN41" i="38" s="1"/>
  <c r="AO41" i="38" s="1"/>
  <c r="DA37" i="38"/>
  <c r="AN45" i="38" a="1"/>
  <c r="AN45" i="38" s="1"/>
  <c r="AO45" i="38" s="1"/>
  <c r="DB45" i="38" s="1"/>
  <c r="AN35" i="38" a="1"/>
  <c r="AN35" i="38" s="1"/>
  <c r="AO35" i="38" s="1"/>
  <c r="AP35" i="38" s="1"/>
  <c r="CV47" i="38"/>
  <c r="CV37" i="38" s="1"/>
  <c r="AN47" i="38" a="1"/>
  <c r="AN47" i="38" s="1"/>
  <c r="AO47" i="38" s="1"/>
  <c r="AP29" i="38"/>
  <c r="BB29" i="38" s="1"/>
  <c r="DH29" i="38" s="1"/>
  <c r="AN30" i="38" a="1"/>
  <c r="AN30" i="38" s="1"/>
  <c r="AO30" i="38" s="1"/>
  <c r="DB30" i="38" s="1"/>
  <c r="DA35" i="38"/>
  <c r="DA25" i="38" s="1"/>
  <c r="AN90" i="38" a="1"/>
  <c r="AN90" i="38" s="1"/>
  <c r="AO90" i="38" s="1"/>
  <c r="DB90" i="38" s="1"/>
  <c r="DB87" i="38" s="1"/>
  <c r="CV90" i="38"/>
  <c r="CV87" i="38" s="1"/>
  <c r="DX85" i="38"/>
  <c r="EB85" i="38" s="1"/>
  <c r="DG81" i="38"/>
  <c r="DG80" i="38" s="1"/>
  <c r="BB81" i="38"/>
  <c r="DG175" i="38"/>
  <c r="DG174" i="38" s="1"/>
  <c r="BB175" i="38"/>
  <c r="DG99" i="38"/>
  <c r="DG98" i="38" s="1"/>
  <c r="BB99" i="38"/>
  <c r="DG88" i="38"/>
  <c r="DG87" i="38" s="1"/>
  <c r="BB88" i="38"/>
  <c r="DG113" i="38"/>
  <c r="DG112" i="38" s="1"/>
  <c r="BB113" i="38"/>
  <c r="DG119" i="38"/>
  <c r="DG118" i="38" s="1"/>
  <c r="BB119" i="38"/>
  <c r="DG122" i="38"/>
  <c r="DG121" i="38" s="1"/>
  <c r="BB122" i="38"/>
  <c r="DG164" i="38"/>
  <c r="DG163" i="38" s="1"/>
  <c r="BB164" i="38"/>
  <c r="DG128" i="38"/>
  <c r="DG127" i="38" s="1"/>
  <c r="BB128" i="38"/>
  <c r="DG131" i="38"/>
  <c r="DG130" i="38" s="1"/>
  <c r="BB131" i="38"/>
  <c r="DG148" i="38"/>
  <c r="DG147" i="38" s="1"/>
  <c r="BB148" i="38"/>
  <c r="DG137" i="38"/>
  <c r="DG136" i="38" s="1"/>
  <c r="BB137" i="38"/>
  <c r="AP161" i="38"/>
  <c r="DC161" i="38" s="1"/>
  <c r="DC158" i="38" s="1"/>
  <c r="BB159" i="38"/>
  <c r="DG159" i="38"/>
  <c r="DG158" i="38" s="1"/>
  <c r="DG134" i="38"/>
  <c r="DG133" i="38" s="1"/>
  <c r="BB134" i="38"/>
  <c r="BS26" i="38"/>
  <c r="BI38" i="38"/>
  <c r="BP38" i="38" s="1" a="1"/>
  <c r="BP38" i="38" s="1"/>
  <c r="BR38" i="38" s="1"/>
  <c r="DO38" i="38" s="1"/>
  <c r="DP26" i="38"/>
  <c r="CC999" i="71" a="1"/>
  <c r="CC999" i="71" s="1"/>
  <c r="EA999" i="71" s="1"/>
  <c r="CB999" i="71" a="1"/>
  <c r="CB999" i="71" s="1"/>
  <c r="DS999" i="71" s="1" a="1"/>
  <c r="DS999" i="71" s="1"/>
  <c r="D59" i="79" a="1"/>
  <c r="D59" i="79" s="1"/>
  <c r="BP1000" i="71" a="1"/>
  <c r="BP1000" i="71" s="1"/>
  <c r="BR1000" i="71" s="1"/>
  <c r="DP93" i="38" l="1"/>
  <c r="DP92" i="38"/>
  <c r="BS93" i="38"/>
  <c r="DC20" i="38"/>
  <c r="DC15" i="38" s="1"/>
  <c r="BJ20" i="38" a="1"/>
  <c r="BJ20" i="38" s="1"/>
  <c r="BK20" i="38" s="1"/>
  <c r="DL20" i="38" s="1"/>
  <c r="DL15" i="38" s="1"/>
  <c r="BC20" i="38" a="1"/>
  <c r="BC20" i="38" s="1"/>
  <c r="BD20" i="38" s="1"/>
  <c r="DI20" i="38" s="1"/>
  <c r="DI15" i="38" s="1"/>
  <c r="BN20" i="38" a="1"/>
  <c r="BN20" i="38" s="1"/>
  <c r="BO20" i="38" s="1"/>
  <c r="DN20" i="38" s="1"/>
  <c r="DN15" i="38" s="1"/>
  <c r="BE20" i="38" a="1"/>
  <c r="BE20" i="38" s="1"/>
  <c r="BG20" i="38" a="1"/>
  <c r="BG20" i="38" s="1"/>
  <c r="BH20" i="38" s="1"/>
  <c r="BL20" i="38" a="1"/>
  <c r="BL20" i="38" s="1"/>
  <c r="DH20" i="38"/>
  <c r="DH15" i="38" s="1"/>
  <c r="BB66" i="38"/>
  <c r="DC66" i="38"/>
  <c r="DC49" i="38" s="1"/>
  <c r="CN82" i="38" a="1"/>
  <c r="CN82" i="38" s="1"/>
  <c r="DU82" i="38"/>
  <c r="DT82" i="38" a="1"/>
  <c r="DT82" i="38" s="1"/>
  <c r="DQ82" i="38"/>
  <c r="DS82" i="38" a="1"/>
  <c r="DS82" i="38" s="1"/>
  <c r="DW82" i="38"/>
  <c r="DZ82" i="38" a="1"/>
  <c r="DZ82" i="38" s="1"/>
  <c r="EA82" i="38"/>
  <c r="DY82" i="38" a="1"/>
  <c r="DY82" i="38" s="1"/>
  <c r="CP82" i="38" a="1"/>
  <c r="CP82" i="38" s="1"/>
  <c r="DC84" i="38"/>
  <c r="DC80" i="38" s="1"/>
  <c r="BJ84" i="38" a="1"/>
  <c r="BJ84" i="38" s="1"/>
  <c r="BK84" i="38" s="1"/>
  <c r="DL84" i="38" s="1"/>
  <c r="DL80" i="38" s="1"/>
  <c r="BN84" i="38" a="1"/>
  <c r="BN84" i="38" s="1"/>
  <c r="BO84" i="38" s="1"/>
  <c r="DN84" i="38" s="1"/>
  <c r="BE84" i="38" a="1"/>
  <c r="BE84" i="38" s="1"/>
  <c r="BL84" i="38" a="1"/>
  <c r="BL84" i="38" s="1"/>
  <c r="BG84" i="38" a="1"/>
  <c r="BG84" i="38" s="1"/>
  <c r="BH84" i="38" s="1"/>
  <c r="DK84" i="38" s="1"/>
  <c r="BC84" i="38" a="1"/>
  <c r="BC84" i="38" s="1"/>
  <c r="BD84" i="38" s="1"/>
  <c r="DI84" i="38" s="1"/>
  <c r="DI80" i="38" s="1"/>
  <c r="DH84" i="38"/>
  <c r="BI123" i="38"/>
  <c r="BP123" i="38" s="1" a="1"/>
  <c r="BP123" i="38" s="1"/>
  <c r="BR123" i="38" s="1"/>
  <c r="BS123" i="38" s="1"/>
  <c r="BT123" i="38" s="1"/>
  <c r="AN125" i="38" a="1"/>
  <c r="AN125" i="38" s="1"/>
  <c r="AO125" i="38" s="1"/>
  <c r="DB125" i="38" s="1"/>
  <c r="DB121" i="38" s="1"/>
  <c r="BE110" i="38" a="1"/>
  <c r="BE110" i="38" s="1"/>
  <c r="DC110" i="38"/>
  <c r="BL110" i="38" a="1"/>
  <c r="BL110" i="38" s="1"/>
  <c r="BN110" i="38" a="1"/>
  <c r="BN110" i="38" s="1"/>
  <c r="BO110" i="38" s="1"/>
  <c r="DN110" i="38" s="1"/>
  <c r="BG110" i="38" a="1"/>
  <c r="BG110" i="38" s="1"/>
  <c r="BH110" i="38" s="1"/>
  <c r="DK110" i="38" s="1"/>
  <c r="DH110" i="38"/>
  <c r="DV114" i="38"/>
  <c r="DX114" i="38" s="1"/>
  <c r="EB114" i="38" s="1"/>
  <c r="BU114" i="38" s="1"/>
  <c r="BJ110" i="38" a="1"/>
  <c r="BJ110" i="38" s="1"/>
  <c r="BK110" i="38" s="1"/>
  <c r="DL110" i="38" s="1"/>
  <c r="AP116" i="38"/>
  <c r="DC116" i="38" s="1"/>
  <c r="DC112" i="38" s="1"/>
  <c r="AN141" i="38" a="1"/>
  <c r="AN141" i="38" s="1"/>
  <c r="AO141" i="38" s="1"/>
  <c r="DB141" i="38" s="1"/>
  <c r="AN143" i="38" a="1"/>
  <c r="AN143" i="38" s="1"/>
  <c r="AO143" i="38" s="1"/>
  <c r="DB143" i="38" s="1"/>
  <c r="DA136" i="38"/>
  <c r="AN139" i="38" a="1"/>
  <c r="AN139" i="38" s="1"/>
  <c r="AO139" i="38" s="1"/>
  <c r="DB139" i="38" s="1"/>
  <c r="CV147" i="38"/>
  <c r="AN156" i="38" a="1"/>
  <c r="AN156" i="38" s="1"/>
  <c r="AO156" i="38" s="1"/>
  <c r="AP156" i="38" s="1"/>
  <c r="DA147" i="38"/>
  <c r="DB154" i="38"/>
  <c r="AP154" i="38"/>
  <c r="DB152" i="38"/>
  <c r="AP152" i="38"/>
  <c r="AN150" i="38" a="1"/>
  <c r="AN150" i="38" s="1"/>
  <c r="AO150" i="38" s="1"/>
  <c r="DB150" i="38" s="1"/>
  <c r="AN145" i="38" a="1"/>
  <c r="AN145" i="38" s="1"/>
  <c r="AO145" i="38" s="1"/>
  <c r="DB145" i="38" s="1"/>
  <c r="AN172" i="38" a="1"/>
  <c r="AN172" i="38" s="1"/>
  <c r="AO172" i="38" s="1"/>
  <c r="DB172" i="38" s="1"/>
  <c r="AN168" i="38" a="1"/>
  <c r="AN168" i="38" s="1"/>
  <c r="AO168" i="38" s="1"/>
  <c r="DB168" i="38" s="1"/>
  <c r="CV163" i="38"/>
  <c r="DA163" i="38"/>
  <c r="AN170" i="38" a="1"/>
  <c r="AN170" i="38" s="1"/>
  <c r="AO170" i="38" s="1"/>
  <c r="DB170" i="38" s="1"/>
  <c r="DB181" i="38"/>
  <c r="AN166" i="38" a="1"/>
  <c r="AN166" i="38" s="1"/>
  <c r="AO166" i="38" s="1"/>
  <c r="DB166" i="38" s="1"/>
  <c r="DC183" i="38"/>
  <c r="DB183" i="38"/>
  <c r="BL183" i="38" a="1"/>
  <c r="BL183" i="38" s="1"/>
  <c r="BG183" i="38" a="1"/>
  <c r="BG183" i="38" s="1"/>
  <c r="BH183" i="38" s="1"/>
  <c r="DK183" i="38" s="1"/>
  <c r="BN183" i="38" a="1"/>
  <c r="BN183" i="38" s="1"/>
  <c r="BO183" i="38" s="1"/>
  <c r="DN183" i="38" s="1"/>
  <c r="BC183" i="38" a="1"/>
  <c r="BC183" i="38" s="1"/>
  <c r="BD183" i="38" s="1"/>
  <c r="DI183" i="38" s="1"/>
  <c r="BJ183" i="38" a="1"/>
  <c r="BJ183" i="38" s="1"/>
  <c r="BK183" i="38" s="1"/>
  <c r="DL183" i="38" s="1"/>
  <c r="BE183" i="38" a="1"/>
  <c r="BE183" i="38" s="1"/>
  <c r="DH183" i="38"/>
  <c r="BB181" i="38"/>
  <c r="DC181" i="38"/>
  <c r="DA174" i="38"/>
  <c r="AN179" i="38" a="1"/>
  <c r="AN179" i="38" s="1"/>
  <c r="AO179" i="38" s="1"/>
  <c r="DB179" i="38" s="1"/>
  <c r="AN177" i="38" a="1"/>
  <c r="AN177" i="38" s="1"/>
  <c r="AO177" i="38" s="1"/>
  <c r="DB177" i="38" s="1"/>
  <c r="BJ103" i="38" a="1"/>
  <c r="BJ103" i="38" s="1"/>
  <c r="BK103" i="38" s="1"/>
  <c r="DL103" i="38" s="1"/>
  <c r="BE103" i="38" a="1"/>
  <c r="BE103" i="38" s="1"/>
  <c r="BC103" i="38" a="1"/>
  <c r="BC103" i="38" s="1"/>
  <c r="BD103" i="38" s="1"/>
  <c r="DI103" i="38" s="1"/>
  <c r="BN103" i="38" a="1"/>
  <c r="BN103" i="38" s="1"/>
  <c r="BO103" i="38" s="1"/>
  <c r="DN103" i="38" s="1"/>
  <c r="DH103" i="38"/>
  <c r="DP100" i="38"/>
  <c r="BS100" i="38"/>
  <c r="BT100" i="38" s="1"/>
  <c r="CC100" i="38" s="1" a="1"/>
  <c r="CC100" i="38" s="1"/>
  <c r="BG103" i="38" a="1"/>
  <c r="BG103" i="38" s="1"/>
  <c r="BH103" i="38" s="1"/>
  <c r="AN106" i="38" a="1"/>
  <c r="AN106" i="38" s="1"/>
  <c r="AO106" i="38" s="1"/>
  <c r="DB106" i="38" s="1"/>
  <c r="DB98" i="38" s="1"/>
  <c r="AP33" i="38"/>
  <c r="BB33" i="38" s="1"/>
  <c r="BB108" i="38"/>
  <c r="DC108" i="38"/>
  <c r="AP42" i="38"/>
  <c r="BB42" i="38" s="1"/>
  <c r="AP45" i="38"/>
  <c r="BB45" i="38" s="1"/>
  <c r="AP41" i="38"/>
  <c r="DB41" i="38"/>
  <c r="BJ29" i="38" a="1"/>
  <c r="BJ29" i="38" s="1"/>
  <c r="BK29" i="38" s="1"/>
  <c r="DL29" i="38" s="1"/>
  <c r="DB35" i="38"/>
  <c r="DB25" i="38" s="1"/>
  <c r="BC29" i="38" a="1"/>
  <c r="BC29" i="38" s="1"/>
  <c r="BD29" i="38" s="1"/>
  <c r="DI29" i="38" s="1"/>
  <c r="BL29" i="38" a="1"/>
  <c r="BL29" i="38" s="1"/>
  <c r="BE29" i="38" a="1"/>
  <c r="BE29" i="38" s="1"/>
  <c r="BN29" i="38" a="1"/>
  <c r="BN29" i="38" s="1"/>
  <c r="BO29" i="38" s="1"/>
  <c r="DN29" i="38" s="1"/>
  <c r="BG29" i="38" a="1"/>
  <c r="BG29" i="38" s="1"/>
  <c r="BH29" i="38" s="1"/>
  <c r="DB47" i="38"/>
  <c r="AP47" i="38"/>
  <c r="DC29" i="38"/>
  <c r="AP30" i="38"/>
  <c r="BB30" i="38" s="1"/>
  <c r="BB35" i="38"/>
  <c r="DC35" i="38"/>
  <c r="AP90" i="38"/>
  <c r="DC90" i="38" s="1"/>
  <c r="DC87" i="38" s="1"/>
  <c r="BL81" i="38" a="1"/>
  <c r="BL81" i="38" s="1"/>
  <c r="BM81" i="38" s="1"/>
  <c r="DM81" i="38" s="1"/>
  <c r="DM80" i="38" s="1"/>
  <c r="BN81" i="38" a="1"/>
  <c r="BN81" i="38" s="1"/>
  <c r="BO81" i="38" s="1"/>
  <c r="DN81" i="38" s="1"/>
  <c r="BJ81" i="38" a="1"/>
  <c r="BJ81" i="38" s="1"/>
  <c r="BE81" i="38" a="1"/>
  <c r="BE81" i="38" s="1"/>
  <c r="BF81" i="38" s="1"/>
  <c r="DJ81" i="38" s="1"/>
  <c r="DJ80" i="38" s="1"/>
  <c r="BG81" i="38" a="1"/>
  <c r="BG81" i="38" s="1"/>
  <c r="BH81" i="38" s="1"/>
  <c r="DK81" i="38" s="1"/>
  <c r="BC81" i="38" a="1"/>
  <c r="BC81" i="38" s="1"/>
  <c r="DH81" i="38"/>
  <c r="BG137" i="38" a="1"/>
  <c r="BG137" i="38" s="1"/>
  <c r="BH137" i="38" s="1"/>
  <c r="DK137" i="38" s="1"/>
  <c r="BC137" i="38" a="1"/>
  <c r="BC137" i="38" s="1"/>
  <c r="BJ137" i="38" a="1"/>
  <c r="BJ137" i="38" s="1"/>
  <c r="BL137" i="38" a="1"/>
  <c r="BL137" i="38" s="1"/>
  <c r="BM137" i="38" s="1"/>
  <c r="DM137" i="38" s="1"/>
  <c r="DM136" i="38" s="1"/>
  <c r="BN137" i="38" a="1"/>
  <c r="BN137" i="38" s="1"/>
  <c r="BO137" i="38" s="1"/>
  <c r="DN137" i="38" s="1"/>
  <c r="DH137" i="38"/>
  <c r="BE137" i="38" a="1"/>
  <c r="BE137" i="38" s="1"/>
  <c r="BF137" i="38" s="1"/>
  <c r="DJ137" i="38" s="1"/>
  <c r="DJ136" i="38" s="1"/>
  <c r="BE119" i="38" a="1"/>
  <c r="BE119" i="38" s="1"/>
  <c r="BF119" i="38" s="1"/>
  <c r="BJ119" i="38" a="1"/>
  <c r="BJ119" i="38" s="1"/>
  <c r="BN119" i="38" a="1"/>
  <c r="BN119" i="38" s="1"/>
  <c r="BO119" i="38" s="1"/>
  <c r="DN119" i="38" s="1"/>
  <c r="DN118" i="38" s="1"/>
  <c r="BL119" i="38" a="1"/>
  <c r="BL119" i="38" s="1"/>
  <c r="BM119" i="38" s="1"/>
  <c r="DM119" i="38" s="1"/>
  <c r="DM118" i="38" s="1"/>
  <c r="BG119" i="38" a="1"/>
  <c r="BG119" i="38" s="1"/>
  <c r="BH119" i="38" s="1"/>
  <c r="DK119" i="38" s="1"/>
  <c r="DK118" i="38" s="1"/>
  <c r="BC119" i="38" a="1"/>
  <c r="BC119" i="38" s="1"/>
  <c r="DH119" i="38"/>
  <c r="DH118" i="38" s="1"/>
  <c r="BE148" i="38" a="1"/>
  <c r="BE148" i="38" s="1"/>
  <c r="BF148" i="38" s="1"/>
  <c r="DJ148" i="38" s="1"/>
  <c r="DJ147" i="38" s="1"/>
  <c r="BG148" i="38" a="1"/>
  <c r="BG148" i="38" s="1"/>
  <c r="BH148" i="38" s="1"/>
  <c r="DK148" i="38" s="1"/>
  <c r="DH148" i="38"/>
  <c r="BN148" i="38" a="1"/>
  <c r="BN148" i="38" s="1"/>
  <c r="BO148" i="38" s="1"/>
  <c r="DN148" i="38" s="1"/>
  <c r="BJ148" i="38" a="1"/>
  <c r="BJ148" i="38" s="1"/>
  <c r="BC148" i="38" a="1"/>
  <c r="BC148" i="38" s="1"/>
  <c r="BL148" i="38" a="1"/>
  <c r="BL148" i="38" s="1"/>
  <c r="BM148" i="38" s="1"/>
  <c r="DM148" i="38" s="1"/>
  <c r="DM147" i="38" s="1"/>
  <c r="BG113" i="38" a="1"/>
  <c r="BG113" i="38" s="1"/>
  <c r="BH113" i="38" s="1"/>
  <c r="DK113" i="38" s="1"/>
  <c r="DH113" i="38"/>
  <c r="BL113" i="38" a="1"/>
  <c r="BL113" i="38" s="1"/>
  <c r="BM113" i="38" s="1"/>
  <c r="DM113" i="38" s="1"/>
  <c r="DM112" i="38" s="1"/>
  <c r="BN113" i="38" a="1"/>
  <c r="BN113" i="38" s="1"/>
  <c r="BO113" i="38" s="1"/>
  <c r="DN113" i="38" s="1"/>
  <c r="BE113" i="38" a="1"/>
  <c r="BE113" i="38" s="1"/>
  <c r="BF113" i="38" s="1"/>
  <c r="DJ113" i="38" s="1"/>
  <c r="DJ112" i="38" s="1"/>
  <c r="BJ113" i="38" a="1"/>
  <c r="BJ113" i="38" s="1"/>
  <c r="BC113" i="38" a="1"/>
  <c r="BC113" i="38" s="1"/>
  <c r="BB161" i="38"/>
  <c r="BG161" i="38" s="1" a="1"/>
  <c r="BG161" i="38" s="1"/>
  <c r="BH161" i="38" s="1"/>
  <c r="DK161" i="38" s="1"/>
  <c r="BJ131" i="38" a="1"/>
  <c r="BJ131" i="38" s="1"/>
  <c r="BG131" i="38" a="1"/>
  <c r="BG131" i="38" s="1"/>
  <c r="BH131" i="38" s="1"/>
  <c r="DK131" i="38" s="1"/>
  <c r="DK130" i="38" s="1"/>
  <c r="DH131" i="38"/>
  <c r="DH130" i="38" s="1"/>
  <c r="BE131" i="38" a="1"/>
  <c r="BE131" i="38" s="1"/>
  <c r="BF131" i="38" s="1"/>
  <c r="DJ131" i="38" s="1"/>
  <c r="DJ130" i="38" s="1"/>
  <c r="BC131" i="38" a="1"/>
  <c r="BC131" i="38" s="1"/>
  <c r="BL131" i="38" a="1"/>
  <c r="BL131" i="38" s="1"/>
  <c r="BM131" i="38" s="1"/>
  <c r="DM131" i="38" s="1"/>
  <c r="DM130" i="38" s="1"/>
  <c r="BN131" i="38" a="1"/>
  <c r="BN131" i="38" s="1"/>
  <c r="BO131" i="38" s="1"/>
  <c r="DN131" i="38" s="1"/>
  <c r="DN130" i="38" s="1"/>
  <c r="BJ88" i="38" a="1"/>
  <c r="BJ88" i="38" s="1"/>
  <c r="BE88" i="38" a="1"/>
  <c r="BE88" i="38" s="1"/>
  <c r="BF88" i="38" s="1"/>
  <c r="BN88" i="38" a="1"/>
  <c r="BN88" i="38" s="1"/>
  <c r="BO88" i="38" s="1"/>
  <c r="DN88" i="38" s="1"/>
  <c r="DH88" i="38"/>
  <c r="BC88" i="38" a="1"/>
  <c r="BC88" i="38" s="1"/>
  <c r="BG88" i="38" a="1"/>
  <c r="BG88" i="38" s="1"/>
  <c r="BH88" i="38" s="1"/>
  <c r="DK88" i="38" s="1"/>
  <c r="BL88" i="38" a="1"/>
  <c r="BL88" i="38" s="1"/>
  <c r="BM88" i="38" s="1"/>
  <c r="DM88" i="38" s="1"/>
  <c r="DM87" i="38" s="1"/>
  <c r="BG128" i="38" a="1"/>
  <c r="BG128" i="38" s="1"/>
  <c r="BH128" i="38" s="1"/>
  <c r="DK128" i="38" s="1"/>
  <c r="DK127" i="38" s="1"/>
  <c r="BN128" i="38" a="1"/>
  <c r="BN128" i="38" s="1"/>
  <c r="BO128" i="38" s="1"/>
  <c r="DN128" i="38" s="1"/>
  <c r="DN127" i="38" s="1"/>
  <c r="BC128" i="38" a="1"/>
  <c r="BC128" i="38" s="1"/>
  <c r="BE128" i="38" a="1"/>
  <c r="BE128" i="38" s="1"/>
  <c r="BF128" i="38" s="1"/>
  <c r="DJ128" i="38" s="1"/>
  <c r="DJ127" i="38" s="1"/>
  <c r="BJ128" i="38" a="1"/>
  <c r="BJ128" i="38" s="1"/>
  <c r="DH128" i="38"/>
  <c r="DH127" i="38" s="1"/>
  <c r="BL128" i="38" a="1"/>
  <c r="BL128" i="38" s="1"/>
  <c r="BM128" i="38" s="1"/>
  <c r="DM128" i="38" s="1"/>
  <c r="DM127" i="38" s="1"/>
  <c r="BL99" i="38" a="1"/>
  <c r="BL99" i="38" s="1"/>
  <c r="BM99" i="38" s="1"/>
  <c r="DM99" i="38" s="1"/>
  <c r="DM98" i="38" s="1"/>
  <c r="BG99" i="38" a="1"/>
  <c r="BG99" i="38" s="1"/>
  <c r="BH99" i="38" s="1"/>
  <c r="DK99" i="38" s="1"/>
  <c r="BN99" i="38" a="1"/>
  <c r="BN99" i="38" s="1"/>
  <c r="BO99" i="38" s="1"/>
  <c r="DN99" i="38" s="1"/>
  <c r="DH99" i="38"/>
  <c r="BE99" i="38" a="1"/>
  <c r="BE99" i="38" s="1"/>
  <c r="BF99" i="38" s="1"/>
  <c r="DJ99" i="38" s="1"/>
  <c r="DJ98" i="38" s="1"/>
  <c r="BC99" i="38" a="1"/>
  <c r="BC99" i="38" s="1"/>
  <c r="BJ99" i="38" a="1"/>
  <c r="BJ99" i="38" s="1"/>
  <c r="BC134" i="38" a="1"/>
  <c r="BC134" i="38" s="1"/>
  <c r="BE134" i="38" a="1"/>
  <c r="BE134" i="38" s="1"/>
  <c r="BF134" i="38" s="1"/>
  <c r="BJ134" i="38" a="1"/>
  <c r="BJ134" i="38" s="1"/>
  <c r="BL134" i="38" a="1"/>
  <c r="BL134" i="38" s="1"/>
  <c r="BM134" i="38" s="1"/>
  <c r="DM134" i="38" s="1"/>
  <c r="DM133" i="38" s="1"/>
  <c r="DH134" i="38"/>
  <c r="DH133" i="38" s="1"/>
  <c r="BG134" i="38" a="1"/>
  <c r="BG134" i="38" s="1"/>
  <c r="BH134" i="38" s="1"/>
  <c r="DK134" i="38" s="1"/>
  <c r="DK133" i="38" s="1"/>
  <c r="BN134" i="38" a="1"/>
  <c r="BN134" i="38" s="1"/>
  <c r="BO134" i="38" s="1"/>
  <c r="DN134" i="38" s="1"/>
  <c r="DN133" i="38" s="1"/>
  <c r="BL164" i="38" a="1"/>
  <c r="BL164" i="38" s="1"/>
  <c r="BM164" i="38" s="1"/>
  <c r="DM164" i="38" s="1"/>
  <c r="DM163" i="38" s="1"/>
  <c r="BN164" i="38" a="1"/>
  <c r="BN164" i="38" s="1"/>
  <c r="BO164" i="38" s="1"/>
  <c r="DN164" i="38" s="1"/>
  <c r="BC164" i="38" a="1"/>
  <c r="BC164" i="38" s="1"/>
  <c r="BJ164" i="38" a="1"/>
  <c r="BJ164" i="38" s="1"/>
  <c r="DH164" i="38"/>
  <c r="BE164" i="38" a="1"/>
  <c r="BE164" i="38" s="1"/>
  <c r="BF164" i="38" s="1"/>
  <c r="BG164" i="38" a="1"/>
  <c r="BG164" i="38" s="1"/>
  <c r="BH164" i="38" s="1"/>
  <c r="DK164" i="38" s="1"/>
  <c r="DH175" i="38"/>
  <c r="BL175" i="38" a="1"/>
  <c r="BL175" i="38" s="1"/>
  <c r="BM175" i="38" s="1"/>
  <c r="DM175" i="38" s="1"/>
  <c r="DM174" i="38" s="1"/>
  <c r="BC175" i="38" a="1"/>
  <c r="BC175" i="38" s="1"/>
  <c r="BN175" i="38" a="1"/>
  <c r="BN175" i="38" s="1"/>
  <c r="BO175" i="38" s="1"/>
  <c r="DN175" i="38" s="1"/>
  <c r="BE175" i="38" a="1"/>
  <c r="BE175" i="38" s="1"/>
  <c r="BF175" i="38" s="1"/>
  <c r="BG175" i="38" a="1"/>
  <c r="BG175" i="38" s="1"/>
  <c r="BH175" i="38" s="1"/>
  <c r="DK175" i="38" s="1"/>
  <c r="BJ175" i="38" a="1"/>
  <c r="BJ175" i="38" s="1"/>
  <c r="BG159" i="38" a="1"/>
  <c r="BG159" i="38" s="1"/>
  <c r="BH159" i="38" s="1"/>
  <c r="DK159" i="38" s="1"/>
  <c r="BE159" i="38" a="1"/>
  <c r="BE159" i="38" s="1"/>
  <c r="BF159" i="38" s="1"/>
  <c r="BL159" i="38" a="1"/>
  <c r="BL159" i="38" s="1"/>
  <c r="BM159" i="38" s="1"/>
  <c r="DM159" i="38" s="1"/>
  <c r="DM158" i="38" s="1"/>
  <c r="DH159" i="38"/>
  <c r="BC159" i="38" a="1"/>
  <c r="BC159" i="38" s="1"/>
  <c r="BN159" i="38" a="1"/>
  <c r="BN159" i="38" s="1"/>
  <c r="BO159" i="38" s="1"/>
  <c r="DN159" i="38" s="1"/>
  <c r="BJ159" i="38" a="1"/>
  <c r="BJ159" i="38" s="1"/>
  <c r="BG122" i="38" a="1"/>
  <c r="BG122" i="38" s="1"/>
  <c r="BH122" i="38" s="1"/>
  <c r="DK122" i="38" s="1"/>
  <c r="BL122" i="38" a="1"/>
  <c r="BL122" i="38" s="1"/>
  <c r="BM122" i="38" s="1"/>
  <c r="DM122" i="38" s="1"/>
  <c r="DM121" i="38" s="1"/>
  <c r="BN122" i="38" a="1"/>
  <c r="BN122" i="38" s="1"/>
  <c r="BO122" i="38" s="1"/>
  <c r="DN122" i="38" s="1"/>
  <c r="DH122" i="38"/>
  <c r="BC122" i="38" a="1"/>
  <c r="BC122" i="38" s="1"/>
  <c r="BE122" i="38" a="1"/>
  <c r="BE122" i="38" s="1"/>
  <c r="BF122" i="38" s="1"/>
  <c r="BJ122" i="38" a="1"/>
  <c r="BJ122" i="38" s="1"/>
  <c r="BT26" i="38"/>
  <c r="CB26" i="38" s="1" a="1"/>
  <c r="CB26" i="38" s="1"/>
  <c r="DP38" i="38"/>
  <c r="BS38" i="38"/>
  <c r="DO1000" i="71"/>
  <c r="DP1000" i="71"/>
  <c r="DV1000" i="71" s="1"/>
  <c r="EB1000" i="71" s="1"/>
  <c r="DZ999" i="71" a="1"/>
  <c r="DZ999" i="71" s="1"/>
  <c r="CP999" i="71" a="1"/>
  <c r="CP999" i="71" s="1"/>
  <c r="DX999" i="71" s="1"/>
  <c r="DY999" i="71" a="1"/>
  <c r="DY999" i="71" s="1"/>
  <c r="DW999" i="71"/>
  <c r="DT999" i="71" a="1"/>
  <c r="DT999" i="71" s="1"/>
  <c r="DQ999" i="71"/>
  <c r="CN999" i="71" a="1"/>
  <c r="CN999" i="71" s="1"/>
  <c r="DR999" i="71" s="1"/>
  <c r="DU999" i="71"/>
  <c r="BS1000" i="71"/>
  <c r="BT1000" i="71" s="1"/>
  <c r="BU1000" i="71" s="1"/>
  <c r="BT93" i="38" l="1"/>
  <c r="BS92" i="38"/>
  <c r="BI20" i="38"/>
  <c r="BP20" i="38" s="1" a="1"/>
  <c r="BP20" i="38" s="1"/>
  <c r="BR20" i="38" s="1"/>
  <c r="DK20" i="38"/>
  <c r="DK15" i="38" s="1"/>
  <c r="BN66" i="38" a="1"/>
  <c r="BN66" i="38" s="1"/>
  <c r="BO66" i="38" s="1"/>
  <c r="DN66" i="38" s="1"/>
  <c r="DN49" i="38" s="1"/>
  <c r="BG66" i="38" a="1"/>
  <c r="BG66" i="38" s="1"/>
  <c r="BH66" i="38" s="1"/>
  <c r="BL66" i="38" a="1"/>
  <c r="BL66" i="38" s="1"/>
  <c r="BC66" i="38" a="1"/>
  <c r="BC66" i="38" s="1"/>
  <c r="BD66" i="38" s="1"/>
  <c r="DI66" i="38" s="1"/>
  <c r="DI49" i="38" s="1"/>
  <c r="BE66" i="38" a="1"/>
  <c r="BE66" i="38" s="1"/>
  <c r="BJ66" i="38" a="1"/>
  <c r="BJ66" i="38" s="1"/>
  <c r="BK66" i="38" s="1"/>
  <c r="DL66" i="38" s="1"/>
  <c r="DL49" i="38" s="1"/>
  <c r="DH66" i="38"/>
  <c r="DH49" i="38" s="1"/>
  <c r="BI84" i="38"/>
  <c r="BP84" i="38" s="1" a="1"/>
  <c r="BP84" i="38" s="1"/>
  <c r="BR84" i="38" s="1"/>
  <c r="BS84" i="38" s="1"/>
  <c r="BT84" i="38" s="1"/>
  <c r="DR82" i="38"/>
  <c r="DV82" i="38" s="1"/>
  <c r="DX82" i="38" s="1"/>
  <c r="EB82" i="38" s="1"/>
  <c r="BU82" i="38" s="1"/>
  <c r="DK80" i="38"/>
  <c r="DN80" i="38"/>
  <c r="DH80" i="38"/>
  <c r="DO123" i="38"/>
  <c r="DP123" i="38"/>
  <c r="AP125" i="38"/>
  <c r="BB125" i="38" s="1"/>
  <c r="CB123" i="38" a="1"/>
  <c r="CB123" i="38" s="1"/>
  <c r="CC123" i="38" a="1"/>
  <c r="CC123" i="38" s="1"/>
  <c r="BI110" i="38"/>
  <c r="BP110" i="38" s="1" a="1"/>
  <c r="BP110" i="38" s="1"/>
  <c r="BR110" i="38" s="1"/>
  <c r="BS110" i="38" s="1"/>
  <c r="BT110" i="38" s="1"/>
  <c r="BB116" i="38"/>
  <c r="BJ116" i="38" s="1" a="1"/>
  <c r="BJ116" i="38" s="1"/>
  <c r="BK116" i="38" s="1"/>
  <c r="DL116" i="38" s="1"/>
  <c r="DL112" i="38" s="1"/>
  <c r="AP141" i="38"/>
  <c r="BB141" i="38" s="1"/>
  <c r="AP139" i="38"/>
  <c r="BB139" i="38" s="1"/>
  <c r="AP143" i="38"/>
  <c r="BB143" i="38" s="1"/>
  <c r="BN143" i="38" s="1" a="1"/>
  <c r="BN143" i="38" s="1"/>
  <c r="BO143" i="38" s="1"/>
  <c r="DN143" i="38" s="1"/>
  <c r="DB156" i="38"/>
  <c r="DB147" i="38" s="1"/>
  <c r="DB136" i="38"/>
  <c r="BB154" i="38"/>
  <c r="DC154" i="38"/>
  <c r="BB152" i="38"/>
  <c r="DC152" i="38"/>
  <c r="AP150" i="38"/>
  <c r="BB150" i="38" s="1"/>
  <c r="AP145" i="38"/>
  <c r="BB145" i="38" s="1"/>
  <c r="BB156" i="38"/>
  <c r="DC156" i="38"/>
  <c r="AP172" i="38"/>
  <c r="DC172" i="38" s="1"/>
  <c r="AP168" i="38"/>
  <c r="BB168" i="38" s="1"/>
  <c r="DB163" i="38"/>
  <c r="AP170" i="38"/>
  <c r="AP166" i="38"/>
  <c r="BB166" i="38" s="1"/>
  <c r="BI183" i="38"/>
  <c r="BP183" i="38" s="1" a="1"/>
  <c r="BP183" i="38" s="1"/>
  <c r="BR183" i="38" s="1"/>
  <c r="BS183" i="38" s="1"/>
  <c r="BT183" i="38" s="1"/>
  <c r="BG181" i="38" a="1"/>
  <c r="BG181" i="38" s="1"/>
  <c r="BH181" i="38" s="1"/>
  <c r="DK181" i="38" s="1"/>
  <c r="BN181" i="38" a="1"/>
  <c r="BN181" i="38" s="1"/>
  <c r="BO181" i="38" s="1"/>
  <c r="DN181" i="38" s="1"/>
  <c r="BL181" i="38" a="1"/>
  <c r="BL181" i="38" s="1"/>
  <c r="BC181" i="38" a="1"/>
  <c r="BC181" i="38" s="1"/>
  <c r="BD181" i="38" s="1"/>
  <c r="DI181" i="38" s="1"/>
  <c r="BJ181" i="38" a="1"/>
  <c r="BJ181" i="38" s="1"/>
  <c r="BK181" i="38" s="1"/>
  <c r="DL181" i="38" s="1"/>
  <c r="BE181" i="38" a="1"/>
  <c r="BE181" i="38" s="1"/>
  <c r="DH181" i="38"/>
  <c r="AP179" i="38"/>
  <c r="BB179" i="38" s="1"/>
  <c r="DB174" i="38"/>
  <c r="AP177" i="38"/>
  <c r="DC177" i="38" s="1"/>
  <c r="BI103" i="38"/>
  <c r="BP103" i="38" s="1" a="1"/>
  <c r="BP103" i="38" s="1"/>
  <c r="BR103" i="38" s="1"/>
  <c r="BS103" i="38" s="1"/>
  <c r="BT103" i="38" s="1"/>
  <c r="DK103" i="38"/>
  <c r="CB100" i="38" a="1"/>
  <c r="CB100" i="38" s="1"/>
  <c r="CN100" i="38" s="1" a="1"/>
  <c r="CN100" i="38" s="1"/>
  <c r="DC33" i="38"/>
  <c r="DY100" i="38" a="1"/>
  <c r="DY100" i="38" s="1"/>
  <c r="EA100" i="38"/>
  <c r="DZ100" i="38" a="1"/>
  <c r="DZ100" i="38" s="1"/>
  <c r="CP100" i="38" a="1"/>
  <c r="CP100" i="38" s="1"/>
  <c r="DW100" i="38"/>
  <c r="AP106" i="38"/>
  <c r="DC42" i="38"/>
  <c r="DC45" i="38"/>
  <c r="DB37" i="38"/>
  <c r="BE108" i="38" a="1"/>
  <c r="BE108" i="38" s="1"/>
  <c r="BJ108" i="38" a="1"/>
  <c r="BJ108" i="38" s="1"/>
  <c r="BK108" i="38" s="1"/>
  <c r="DL108" i="38" s="1"/>
  <c r="BL108" i="38" a="1"/>
  <c r="BL108" i="38" s="1"/>
  <c r="BC108" i="38" a="1"/>
  <c r="BC108" i="38" s="1"/>
  <c r="BD108" i="38" s="1"/>
  <c r="DI108" i="38" s="1"/>
  <c r="BG108" i="38" a="1"/>
  <c r="BG108" i="38" s="1"/>
  <c r="BH108" i="38" s="1"/>
  <c r="DK108" i="38" s="1"/>
  <c r="BN108" i="38" a="1"/>
  <c r="BN108" i="38" s="1"/>
  <c r="BO108" i="38" s="1"/>
  <c r="DN108" i="38" s="1"/>
  <c r="DH108" i="38"/>
  <c r="BB41" i="38"/>
  <c r="DC41" i="38"/>
  <c r="BE42" i="38" a="1"/>
  <c r="BE42" i="38" s="1"/>
  <c r="BG42" i="38" a="1"/>
  <c r="BG42" i="38" s="1"/>
  <c r="BH42" i="38" s="1"/>
  <c r="BJ42" i="38" a="1"/>
  <c r="BJ42" i="38" s="1"/>
  <c r="BK42" i="38" s="1"/>
  <c r="DL42" i="38" s="1"/>
  <c r="BC42" i="38" a="1"/>
  <c r="BC42" i="38" s="1"/>
  <c r="BD42" i="38" s="1"/>
  <c r="DI42" i="38" s="1"/>
  <c r="BN42" i="38" a="1"/>
  <c r="BN42" i="38" s="1"/>
  <c r="BO42" i="38" s="1"/>
  <c r="DN42" i="38" s="1"/>
  <c r="BL42" i="38" a="1"/>
  <c r="BL42" i="38" s="1"/>
  <c r="DH42" i="38"/>
  <c r="BI29" i="38"/>
  <c r="BP29" i="38" s="1" a="1"/>
  <c r="BP29" i="38" s="1"/>
  <c r="BR29" i="38" s="1"/>
  <c r="DO29" i="38" s="1"/>
  <c r="DK29" i="38"/>
  <c r="BG45" i="38" a="1"/>
  <c r="BG45" i="38" s="1"/>
  <c r="BH45" i="38" s="1"/>
  <c r="BN45" i="38" a="1"/>
  <c r="BN45" i="38" s="1"/>
  <c r="BO45" i="38" s="1"/>
  <c r="DN45" i="38" s="1"/>
  <c r="BJ45" i="38" a="1"/>
  <c r="BJ45" i="38" s="1"/>
  <c r="BK45" i="38" s="1"/>
  <c r="DL45" i="38" s="1"/>
  <c r="BL45" i="38" a="1"/>
  <c r="BL45" i="38" s="1"/>
  <c r="BC45" i="38" a="1"/>
  <c r="BC45" i="38" s="1"/>
  <c r="BD45" i="38" s="1"/>
  <c r="DI45" i="38" s="1"/>
  <c r="BE45" i="38" a="1"/>
  <c r="BE45" i="38" s="1"/>
  <c r="DH45" i="38"/>
  <c r="BB47" i="38"/>
  <c r="DC47" i="38"/>
  <c r="DC30" i="38"/>
  <c r="BG30" i="38" a="1"/>
  <c r="BG30" i="38" s="1"/>
  <c r="BH30" i="38" s="1"/>
  <c r="BJ30" i="38" a="1"/>
  <c r="BJ30" i="38" s="1"/>
  <c r="BK30" i="38" s="1"/>
  <c r="DL30" i="38" s="1"/>
  <c r="BN30" i="38" a="1"/>
  <c r="BN30" i="38" s="1"/>
  <c r="BO30" i="38" s="1"/>
  <c r="DN30" i="38" s="1"/>
  <c r="BL30" i="38" a="1"/>
  <c r="BL30" i="38" s="1"/>
  <c r="BE30" i="38" a="1"/>
  <c r="BE30" i="38" s="1"/>
  <c r="BC30" i="38" a="1"/>
  <c r="BC30" i="38" s="1"/>
  <c r="BD30" i="38" s="1"/>
  <c r="DI30" i="38" s="1"/>
  <c r="DH30" i="38"/>
  <c r="DH33" i="38"/>
  <c r="BL33" i="38" a="1"/>
  <c r="BL33" i="38" s="1"/>
  <c r="BE33" i="38" a="1"/>
  <c r="BE33" i="38" s="1"/>
  <c r="BG33" i="38" a="1"/>
  <c r="BG33" i="38" s="1"/>
  <c r="BH33" i="38" s="1"/>
  <c r="DK33" i="38" s="1"/>
  <c r="BJ33" i="38" a="1"/>
  <c r="BJ33" i="38" s="1"/>
  <c r="BK33" i="38" s="1"/>
  <c r="DL33" i="38" s="1"/>
  <c r="BN33" i="38" a="1"/>
  <c r="BN33" i="38" s="1"/>
  <c r="BO33" i="38" s="1"/>
  <c r="DN33" i="38" s="1"/>
  <c r="BC33" i="38" a="1"/>
  <c r="BC33" i="38" s="1"/>
  <c r="BD33" i="38" s="1"/>
  <c r="DI33" i="38" s="1"/>
  <c r="BB90" i="38"/>
  <c r="BG90" i="38" s="1" a="1"/>
  <c r="BG90" i="38" s="1"/>
  <c r="BH90" i="38" s="1"/>
  <c r="DK90" i="38" s="1"/>
  <c r="DK87" i="38" s="1"/>
  <c r="DH161" i="38"/>
  <c r="DH158" i="38" s="1"/>
  <c r="BI159" i="38"/>
  <c r="BP159" i="38" s="1" a="1"/>
  <c r="BP159" i="38" s="1"/>
  <c r="BR159" i="38" s="1"/>
  <c r="DO159" i="38" s="1"/>
  <c r="BN35" i="38" a="1"/>
  <c r="BN35" i="38" s="1"/>
  <c r="BO35" i="38" s="1"/>
  <c r="DN35" i="38" s="1"/>
  <c r="BG35" i="38" a="1"/>
  <c r="BG35" i="38" s="1"/>
  <c r="BH35" i="38" s="1"/>
  <c r="DK35" i="38" s="1"/>
  <c r="BE35" i="38" a="1"/>
  <c r="BE35" i="38" s="1"/>
  <c r="BJ35" i="38" a="1"/>
  <c r="BJ35" i="38" s="1"/>
  <c r="BK35" i="38" s="1"/>
  <c r="DL35" i="38" s="1"/>
  <c r="BL35" i="38" a="1"/>
  <c r="BL35" i="38" s="1"/>
  <c r="BC35" i="38" a="1"/>
  <c r="BC35" i="38" s="1"/>
  <c r="BD35" i="38" s="1"/>
  <c r="DI35" i="38" s="1"/>
  <c r="DH35" i="38"/>
  <c r="BE161" i="38" a="1"/>
  <c r="BE161" i="38" s="1"/>
  <c r="BJ161" i="38" a="1"/>
  <c r="BJ161" i="38" s="1"/>
  <c r="BK161" i="38" s="1"/>
  <c r="DL161" i="38" s="1"/>
  <c r="DL158" i="38" s="1"/>
  <c r="BI81" i="38"/>
  <c r="BP81" i="38" s="1" a="1"/>
  <c r="BP81" i="38" s="1"/>
  <c r="BI148" i="38"/>
  <c r="BP148" i="38" s="1" a="1"/>
  <c r="BP148" i="38" s="1"/>
  <c r="DK158" i="38"/>
  <c r="BI113" i="38"/>
  <c r="BI131" i="38"/>
  <c r="BP131" i="38" s="1" a="1"/>
  <c r="BP131" i="38" s="1"/>
  <c r="BL161" i="38" a="1"/>
  <c r="BL161" i="38" s="1"/>
  <c r="BC161" i="38" a="1"/>
  <c r="BC161" i="38" s="1"/>
  <c r="BD161" i="38" s="1"/>
  <c r="DI161" i="38" s="1"/>
  <c r="DI158" i="38" s="1"/>
  <c r="BN161" i="38" a="1"/>
  <c r="BN161" i="38" s="1"/>
  <c r="BO161" i="38" s="1"/>
  <c r="DN161" i="38" s="1"/>
  <c r="DN158" i="38" s="1"/>
  <c r="BI99" i="38"/>
  <c r="BP99" i="38" s="1" a="1"/>
  <c r="BP99" i="38" s="1"/>
  <c r="BR99" i="38" s="1"/>
  <c r="DO99" i="38" s="1"/>
  <c r="BI137" i="38"/>
  <c r="BP137" i="38" s="1" a="1"/>
  <c r="BP137" i="38" s="1"/>
  <c r="BR137" i="38" s="1"/>
  <c r="BS137" i="38" s="1"/>
  <c r="BT137" i="38" s="1"/>
  <c r="DJ122" i="38"/>
  <c r="DJ121" i="38" s="1"/>
  <c r="BI122" i="38"/>
  <c r="BP122" i="38" s="1" a="1"/>
  <c r="BP122" i="38" s="1"/>
  <c r="BR122" i="38" s="1"/>
  <c r="DO122" i="38" s="1"/>
  <c r="DJ159" i="38"/>
  <c r="DJ158" i="38" s="1"/>
  <c r="DJ164" i="38"/>
  <c r="DJ163" i="38" s="1"/>
  <c r="BI164" i="38"/>
  <c r="DJ134" i="38"/>
  <c r="DJ133" i="38" s="1"/>
  <c r="DJ175" i="38"/>
  <c r="DJ174" i="38" s="1"/>
  <c r="BI175" i="38"/>
  <c r="BP175" i="38" s="1" a="1"/>
  <c r="BP175" i="38" s="1"/>
  <c r="BR175" i="38" s="1"/>
  <c r="DP175" i="38" s="1"/>
  <c r="DJ88" i="38"/>
  <c r="DJ87" i="38" s="1"/>
  <c r="BI128" i="38"/>
  <c r="BP128" i="38" s="1" a="1"/>
  <c r="BP128" i="38" s="1"/>
  <c r="BR128" i="38" s="1"/>
  <c r="DP128" i="38" s="1"/>
  <c r="DP127" i="38" s="1"/>
  <c r="BI134" i="38"/>
  <c r="BP134" i="38" s="1" a="1"/>
  <c r="BP134" i="38" s="1"/>
  <c r="BR134" i="38" s="1"/>
  <c r="DP134" i="38" s="1"/>
  <c r="DP133" i="38" s="1"/>
  <c r="BI88" i="38"/>
  <c r="DJ119" i="38"/>
  <c r="DJ118" i="38" s="1"/>
  <c r="BI119" i="38"/>
  <c r="CC26" i="38" a="1"/>
  <c r="CC26" i="38" s="1"/>
  <c r="CP26" i="38" s="1" a="1"/>
  <c r="CP26" i="38" s="1"/>
  <c r="DQ26" i="38"/>
  <c r="DU26" i="38"/>
  <c r="CN26" i="38" a="1"/>
  <c r="CN26" i="38" s="1"/>
  <c r="DT26" i="38" a="1"/>
  <c r="DT26" i="38" s="1"/>
  <c r="DS26" i="38" a="1"/>
  <c r="DS26" i="38" s="1"/>
  <c r="BT38" i="38"/>
  <c r="D190" i="38"/>
  <c r="CB1000" i="71" a="1"/>
  <c r="CB1000" i="71" s="1"/>
  <c r="CC1000" i="71" a="1"/>
  <c r="CC1000" i="71" s="1"/>
  <c r="BT92" i="38" l="1"/>
  <c r="CB93" i="38" a="1"/>
  <c r="CB93" i="38" s="1"/>
  <c r="CC93" i="38" a="1"/>
  <c r="CC93" i="38" s="1"/>
  <c r="BS20" i="38"/>
  <c r="DO20" i="38"/>
  <c r="DO15" i="38" s="1"/>
  <c r="DP20" i="38"/>
  <c r="BI66" i="38"/>
  <c r="DK66" i="38"/>
  <c r="DK49" i="38" s="1"/>
  <c r="DC125" i="38"/>
  <c r="DC121" i="38" s="1"/>
  <c r="CC84" i="38" a="1"/>
  <c r="CC84" i="38" s="1"/>
  <c r="CB84" i="38" a="1"/>
  <c r="CB84" i="38" s="1"/>
  <c r="DO84" i="38"/>
  <c r="DP84" i="38"/>
  <c r="CP123" i="38" a="1"/>
  <c r="CP123" i="38" s="1"/>
  <c r="DZ123" i="38" a="1"/>
  <c r="DZ123" i="38" s="1"/>
  <c r="DW123" i="38"/>
  <c r="DY123" i="38" a="1"/>
  <c r="DY123" i="38" s="1"/>
  <c r="EA123" i="38"/>
  <c r="DU123" i="38"/>
  <c r="DT123" i="38" a="1"/>
  <c r="DT123" i="38" s="1"/>
  <c r="CN123" i="38" a="1"/>
  <c r="CN123" i="38" s="1"/>
  <c r="DQ123" i="38"/>
  <c r="DS123" i="38" a="1"/>
  <c r="DS123" i="38" s="1"/>
  <c r="BN125" i="38" a="1"/>
  <c r="BN125" i="38" s="1"/>
  <c r="BO125" i="38" s="1"/>
  <c r="DN125" i="38" s="1"/>
  <c r="DN121" i="38" s="1"/>
  <c r="BG125" i="38" a="1"/>
  <c r="BG125" i="38" s="1"/>
  <c r="BH125" i="38" s="1"/>
  <c r="DK125" i="38" s="1"/>
  <c r="DK121" i="38" s="1"/>
  <c r="BE125" i="38" a="1"/>
  <c r="BE125" i="38" s="1"/>
  <c r="BL125" i="38" a="1"/>
  <c r="BL125" i="38" s="1"/>
  <c r="BC125" i="38" a="1"/>
  <c r="BC125" i="38" s="1"/>
  <c r="BD125" i="38" s="1"/>
  <c r="DI125" i="38" s="1"/>
  <c r="DI121" i="38" s="1"/>
  <c r="BJ125" i="38" a="1"/>
  <c r="BJ125" i="38" s="1"/>
  <c r="BK125" i="38" s="1"/>
  <c r="DL125" i="38" s="1"/>
  <c r="DL121" i="38" s="1"/>
  <c r="DH125" i="38"/>
  <c r="DH121" i="38" s="1"/>
  <c r="DH116" i="38"/>
  <c r="DH112" i="38" s="1"/>
  <c r="BN116" i="38" a="1"/>
  <c r="BN116" i="38" s="1"/>
  <c r="BO116" i="38" s="1"/>
  <c r="DN116" i="38" s="1"/>
  <c r="DN112" i="38" s="1"/>
  <c r="BG116" i="38" a="1"/>
  <c r="BG116" i="38" s="1"/>
  <c r="BH116" i="38" s="1"/>
  <c r="DK116" i="38" s="1"/>
  <c r="DK112" i="38" s="1"/>
  <c r="BC116" i="38" a="1"/>
  <c r="BC116" i="38" s="1"/>
  <c r="BD116" i="38" s="1"/>
  <c r="DI116" i="38" s="1"/>
  <c r="DI112" i="38" s="1"/>
  <c r="BL116" i="38" a="1"/>
  <c r="BL116" i="38" s="1"/>
  <c r="BE116" i="38" a="1"/>
  <c r="BE116" i="38" s="1"/>
  <c r="DC143" i="38"/>
  <c r="CB110" i="38" a="1"/>
  <c r="CB110" i="38" s="1"/>
  <c r="CC110" i="38" a="1"/>
  <c r="CC110" i="38" s="1"/>
  <c r="DO110" i="38"/>
  <c r="DP110" i="38"/>
  <c r="DC141" i="38"/>
  <c r="DC139" i="38"/>
  <c r="DH143" i="38"/>
  <c r="BG143" i="38" a="1"/>
  <c r="BG143" i="38" s="1"/>
  <c r="BH143" i="38" s="1"/>
  <c r="DK143" i="38" s="1"/>
  <c r="BJ143" i="38" a="1"/>
  <c r="BJ143" i="38" s="1"/>
  <c r="BK143" i="38" s="1"/>
  <c r="DL143" i="38" s="1"/>
  <c r="BL143" i="38" a="1"/>
  <c r="BL143" i="38" s="1"/>
  <c r="BE143" i="38" a="1"/>
  <c r="BE143" i="38" s="1"/>
  <c r="BC143" i="38" a="1"/>
  <c r="BC143" i="38" s="1"/>
  <c r="BD143" i="38" s="1"/>
  <c r="DI143" i="38" s="1"/>
  <c r="BJ141" i="38" a="1"/>
  <c r="BJ141" i="38" s="1"/>
  <c r="BK141" i="38" s="1"/>
  <c r="DL141" i="38" s="1"/>
  <c r="BG141" i="38" a="1"/>
  <c r="BG141" i="38" s="1"/>
  <c r="BH141" i="38" s="1"/>
  <c r="BN141" i="38" a="1"/>
  <c r="BN141" i="38" s="1"/>
  <c r="BO141" i="38" s="1"/>
  <c r="DN141" i="38" s="1"/>
  <c r="BL141" i="38" a="1"/>
  <c r="BL141" i="38" s="1"/>
  <c r="BC141" i="38" a="1"/>
  <c r="BC141" i="38" s="1"/>
  <c r="BD141" i="38" s="1"/>
  <c r="DI141" i="38" s="1"/>
  <c r="BE141" i="38" a="1"/>
  <c r="BE141" i="38" s="1"/>
  <c r="DH141" i="38"/>
  <c r="BN139" i="38" a="1"/>
  <c r="BN139" i="38" s="1"/>
  <c r="BO139" i="38" s="1"/>
  <c r="DN139" i="38" s="1"/>
  <c r="BE139" i="38" a="1"/>
  <c r="BE139" i="38" s="1"/>
  <c r="BL139" i="38" a="1"/>
  <c r="BL139" i="38" s="1"/>
  <c r="BG139" i="38" a="1"/>
  <c r="BG139" i="38" s="1"/>
  <c r="BH139" i="38" s="1"/>
  <c r="DK139" i="38" s="1"/>
  <c r="BC139" i="38" a="1"/>
  <c r="BC139" i="38" s="1"/>
  <c r="BD139" i="38" s="1"/>
  <c r="DI139" i="38" s="1"/>
  <c r="BJ139" i="38" a="1"/>
  <c r="BJ139" i="38" s="1"/>
  <c r="BK139" i="38" s="1"/>
  <c r="DL139" i="38" s="1"/>
  <c r="DH139" i="38"/>
  <c r="DC150" i="38"/>
  <c r="DC147" i="38" s="1"/>
  <c r="BL154" i="38" a="1"/>
  <c r="BL154" i="38" s="1"/>
  <c r="BJ154" i="38" a="1"/>
  <c r="BJ154" i="38" s="1"/>
  <c r="BK154" i="38" s="1"/>
  <c r="DL154" i="38" s="1"/>
  <c r="BG154" i="38" a="1"/>
  <c r="BG154" i="38" s="1"/>
  <c r="BH154" i="38" s="1"/>
  <c r="BC154" i="38" a="1"/>
  <c r="BC154" i="38" s="1"/>
  <c r="BD154" i="38" s="1"/>
  <c r="DI154" i="38" s="1"/>
  <c r="BN154" i="38" a="1"/>
  <c r="BN154" i="38" s="1"/>
  <c r="BO154" i="38" s="1"/>
  <c r="DN154" i="38" s="1"/>
  <c r="BE154" i="38" a="1"/>
  <c r="BE154" i="38" s="1"/>
  <c r="DH154" i="38"/>
  <c r="BN152" i="38" a="1"/>
  <c r="BN152" i="38" s="1"/>
  <c r="BO152" i="38" s="1"/>
  <c r="DN152" i="38" s="1"/>
  <c r="BE152" i="38" a="1"/>
  <c r="BE152" i="38" s="1"/>
  <c r="BL152" i="38" a="1"/>
  <c r="BL152" i="38" s="1"/>
  <c r="BJ152" i="38" a="1"/>
  <c r="BJ152" i="38" s="1"/>
  <c r="BK152" i="38" s="1"/>
  <c r="DL152" i="38" s="1"/>
  <c r="BC152" i="38" a="1"/>
  <c r="BC152" i="38" s="1"/>
  <c r="BD152" i="38" s="1"/>
  <c r="DI152" i="38" s="1"/>
  <c r="BG152" i="38" a="1"/>
  <c r="BG152" i="38" s="1"/>
  <c r="BH152" i="38" s="1"/>
  <c r="DH152" i="38"/>
  <c r="BN150" i="38" a="1"/>
  <c r="BN150" i="38" s="1"/>
  <c r="BO150" i="38" s="1"/>
  <c r="DN150" i="38" s="1"/>
  <c r="BG150" i="38" a="1"/>
  <c r="BG150" i="38" s="1"/>
  <c r="BH150" i="38" s="1"/>
  <c r="BE150" i="38" a="1"/>
  <c r="BE150" i="38" s="1"/>
  <c r="BL150" i="38" a="1"/>
  <c r="BL150" i="38" s="1"/>
  <c r="BC150" i="38" a="1"/>
  <c r="BC150" i="38" s="1"/>
  <c r="BD150" i="38" s="1"/>
  <c r="DI150" i="38" s="1"/>
  <c r="BJ150" i="38" a="1"/>
  <c r="BJ150" i="38" s="1"/>
  <c r="BK150" i="38" s="1"/>
  <c r="DL150" i="38" s="1"/>
  <c r="DH150" i="38"/>
  <c r="DC145" i="38"/>
  <c r="BB172" i="38"/>
  <c r="DH172" i="38" s="1"/>
  <c r="BJ145" i="38" a="1"/>
  <c r="BJ145" i="38" s="1"/>
  <c r="BK145" i="38" s="1"/>
  <c r="DL145" i="38" s="1"/>
  <c r="BC145" i="38" a="1"/>
  <c r="BC145" i="38" s="1"/>
  <c r="BD145" i="38" s="1"/>
  <c r="DI145" i="38" s="1"/>
  <c r="BL145" i="38" a="1"/>
  <c r="BL145" i="38" s="1"/>
  <c r="BE145" i="38" a="1"/>
  <c r="BE145" i="38" s="1"/>
  <c r="BG145" i="38" a="1"/>
  <c r="BG145" i="38" s="1"/>
  <c r="BH145" i="38" s="1"/>
  <c r="DK145" i="38" s="1"/>
  <c r="BN145" i="38" a="1"/>
  <c r="BN145" i="38" s="1"/>
  <c r="BO145" i="38" s="1"/>
  <c r="DN145" i="38" s="1"/>
  <c r="DH145" i="38"/>
  <c r="BN156" i="38" a="1"/>
  <c r="BN156" i="38" s="1"/>
  <c r="BO156" i="38" s="1"/>
  <c r="DN156" i="38" s="1"/>
  <c r="BJ156" i="38" a="1"/>
  <c r="BJ156" i="38" s="1"/>
  <c r="BK156" i="38" s="1"/>
  <c r="DL156" i="38" s="1"/>
  <c r="BE156" i="38" a="1"/>
  <c r="BE156" i="38" s="1"/>
  <c r="BL156" i="38" a="1"/>
  <c r="BL156" i="38" s="1"/>
  <c r="BG156" i="38" a="1"/>
  <c r="BG156" i="38" s="1"/>
  <c r="BH156" i="38" s="1"/>
  <c r="DK156" i="38" s="1"/>
  <c r="BC156" i="38" a="1"/>
  <c r="BC156" i="38" s="1"/>
  <c r="BD156" i="38" s="1"/>
  <c r="DI156" i="38" s="1"/>
  <c r="DH156" i="38"/>
  <c r="DC166" i="38"/>
  <c r="DC168" i="38"/>
  <c r="BG168" i="38" a="1"/>
  <c r="BG168" i="38" s="1"/>
  <c r="BH168" i="38" s="1"/>
  <c r="DK168" i="38" s="1"/>
  <c r="BL168" i="38" a="1"/>
  <c r="BL168" i="38" s="1"/>
  <c r="DH168" i="38"/>
  <c r="BC168" i="38" a="1"/>
  <c r="BC168" i="38" s="1"/>
  <c r="BD168" i="38" s="1"/>
  <c r="BJ168" i="38" a="1"/>
  <c r="BJ168" i="38" s="1"/>
  <c r="BK168" i="38" s="1"/>
  <c r="DL168" i="38" s="1"/>
  <c r="BN168" i="38" a="1"/>
  <c r="BN168" i="38" s="1"/>
  <c r="BO168" i="38" s="1"/>
  <c r="DN168" i="38" s="1"/>
  <c r="BE168" i="38" a="1"/>
  <c r="BE168" i="38" s="1"/>
  <c r="DC170" i="38"/>
  <c r="BB170" i="38"/>
  <c r="BL166" i="38" a="1"/>
  <c r="BL166" i="38" s="1"/>
  <c r="BG166" i="38" a="1"/>
  <c r="BG166" i="38" s="1"/>
  <c r="BH166" i="38" s="1"/>
  <c r="DK166" i="38" s="1"/>
  <c r="BC166" i="38" a="1"/>
  <c r="BC166" i="38" s="1"/>
  <c r="BD166" i="38" s="1"/>
  <c r="DI166" i="38" s="1"/>
  <c r="BE166" i="38" a="1"/>
  <c r="BE166" i="38" s="1"/>
  <c r="BJ166" i="38" a="1"/>
  <c r="BJ166" i="38" s="1"/>
  <c r="BK166" i="38" s="1"/>
  <c r="DL166" i="38" s="1"/>
  <c r="BN166" i="38" a="1"/>
  <c r="BN166" i="38" s="1"/>
  <c r="BO166" i="38" s="1"/>
  <c r="DN166" i="38" s="1"/>
  <c r="DH166" i="38"/>
  <c r="CB183" i="38" a="1"/>
  <c r="CB183" i="38" s="1"/>
  <c r="CC183" i="38" a="1"/>
  <c r="CC183" i="38" s="1"/>
  <c r="DO183" i="38"/>
  <c r="DP183" i="38"/>
  <c r="BB177" i="38"/>
  <c r="BN177" i="38" s="1" a="1"/>
  <c r="BN177" i="38" s="1"/>
  <c r="BO177" i="38" s="1"/>
  <c r="DN177" i="38" s="1"/>
  <c r="DC179" i="38"/>
  <c r="DC174" i="38" s="1"/>
  <c r="BI181" i="38"/>
  <c r="BN179" i="38" a="1"/>
  <c r="BN179" i="38" s="1"/>
  <c r="BO179" i="38" s="1"/>
  <c r="DN179" i="38" s="1"/>
  <c r="BE179" i="38" a="1"/>
  <c r="BE179" i="38" s="1"/>
  <c r="BL179" i="38" a="1"/>
  <c r="BL179" i="38" s="1"/>
  <c r="BC179" i="38" a="1"/>
  <c r="BC179" i="38" s="1"/>
  <c r="BD179" i="38" s="1"/>
  <c r="DI179" i="38" s="1"/>
  <c r="BJ179" i="38" a="1"/>
  <c r="BJ179" i="38" s="1"/>
  <c r="BK179" i="38" s="1"/>
  <c r="DL179" i="38" s="1"/>
  <c r="BG179" i="38" a="1"/>
  <c r="BG179" i="38" s="1"/>
  <c r="BH179" i="38" s="1"/>
  <c r="DK179" i="38" s="1"/>
  <c r="DH179" i="38"/>
  <c r="DC25" i="38"/>
  <c r="DT100" i="38" a="1"/>
  <c r="DT100" i="38" s="1"/>
  <c r="DS100" i="38" a="1"/>
  <c r="DS100" i="38" s="1"/>
  <c r="DQ100" i="38"/>
  <c r="DR100" i="38" s="1"/>
  <c r="DU100" i="38"/>
  <c r="CB103" i="38" a="1"/>
  <c r="CB103" i="38" s="1"/>
  <c r="CC103" i="38" a="1"/>
  <c r="CC103" i="38" s="1"/>
  <c r="DO103" i="38"/>
  <c r="DP103" i="38"/>
  <c r="DC106" i="38"/>
  <c r="DC98" i="38" s="1"/>
  <c r="BB106" i="38"/>
  <c r="BI108" i="38"/>
  <c r="BP108" i="38" s="1" a="1"/>
  <c r="BP108" i="38" s="1"/>
  <c r="BR108" i="38" s="1"/>
  <c r="BS108" i="38" s="1"/>
  <c r="BT108" i="38" s="1"/>
  <c r="DC37" i="38"/>
  <c r="DH41" i="38"/>
  <c r="BG41" i="38" a="1"/>
  <c r="BG41" i="38" s="1"/>
  <c r="BH41" i="38" s="1"/>
  <c r="DK41" i="38" s="1"/>
  <c r="BN41" i="38" a="1"/>
  <c r="BN41" i="38" s="1"/>
  <c r="BO41" i="38" s="1"/>
  <c r="DN41" i="38" s="1"/>
  <c r="BJ41" i="38" a="1"/>
  <c r="BJ41" i="38" s="1"/>
  <c r="BK41" i="38" s="1"/>
  <c r="DL41" i="38" s="1"/>
  <c r="BC41" i="38" a="1"/>
  <c r="BC41" i="38" s="1"/>
  <c r="BD41" i="38" s="1"/>
  <c r="DI41" i="38" s="1"/>
  <c r="BL41" i="38" a="1"/>
  <c r="BL41" i="38" s="1"/>
  <c r="BE41" i="38" a="1"/>
  <c r="BE41" i="38" s="1"/>
  <c r="DP29" i="38"/>
  <c r="BS29" i="38"/>
  <c r="BT29" i="38" s="1"/>
  <c r="CC29" i="38" s="1" a="1"/>
  <c r="CC29" i="38" s="1"/>
  <c r="BI42" i="38"/>
  <c r="DK42" i="38"/>
  <c r="BI45" i="38"/>
  <c r="DK45" i="38"/>
  <c r="BE47" i="38" a="1"/>
  <c r="BE47" i="38" s="1"/>
  <c r="BL47" i="38" a="1"/>
  <c r="BL47" i="38" s="1"/>
  <c r="BN47" i="38" a="1"/>
  <c r="BN47" i="38" s="1"/>
  <c r="BO47" i="38" s="1"/>
  <c r="DN47" i="38" s="1"/>
  <c r="BG47" i="38" a="1"/>
  <c r="BG47" i="38" s="1"/>
  <c r="BH47" i="38" s="1"/>
  <c r="BJ47" i="38" a="1"/>
  <c r="BJ47" i="38" s="1"/>
  <c r="BK47" i="38" s="1"/>
  <c r="DL47" i="38" s="1"/>
  <c r="BC47" i="38" a="1"/>
  <c r="BC47" i="38" s="1"/>
  <c r="BD47" i="38" s="1"/>
  <c r="DI47" i="38" s="1"/>
  <c r="DH47" i="38"/>
  <c r="BI30" i="38"/>
  <c r="DK30" i="38"/>
  <c r="DK25" i="38" s="1"/>
  <c r="BI33" i="38"/>
  <c r="BP33" i="38" s="1" a="1"/>
  <c r="BP33" i="38" s="1"/>
  <c r="BR33" i="38" s="1"/>
  <c r="DP33" i="38" s="1"/>
  <c r="BC90" i="38" a="1"/>
  <c r="BC90" i="38" s="1"/>
  <c r="BD90" i="38" s="1"/>
  <c r="DI90" i="38" s="1"/>
  <c r="DI87" i="38" s="1"/>
  <c r="BN90" i="38" a="1"/>
  <c r="BN90" i="38" s="1"/>
  <c r="BO90" i="38" s="1"/>
  <c r="DN90" i="38" s="1"/>
  <c r="DN87" i="38" s="1"/>
  <c r="BL90" i="38" a="1"/>
  <c r="BL90" i="38" s="1"/>
  <c r="BE90" i="38" a="1"/>
  <c r="BE90" i="38" s="1"/>
  <c r="DH90" i="38"/>
  <c r="DH87" i="38" s="1"/>
  <c r="BJ90" i="38" a="1"/>
  <c r="BJ90" i="38" s="1"/>
  <c r="BK90" i="38" s="1"/>
  <c r="DL90" i="38" s="1"/>
  <c r="DL87" i="38" s="1"/>
  <c r="DL25" i="38"/>
  <c r="DN25" i="38"/>
  <c r="DH25" i="38"/>
  <c r="BR148" i="38"/>
  <c r="BS148" i="38" s="1"/>
  <c r="BI35" i="38"/>
  <c r="BP35" i="38" s="1" a="1"/>
  <c r="BP35" i="38" s="1"/>
  <c r="BR35" i="38" s="1"/>
  <c r="DP35" i="38" s="1"/>
  <c r="BR81" i="38"/>
  <c r="DP81" i="38" s="1"/>
  <c r="DP80" i="38" s="1"/>
  <c r="BR131" i="38"/>
  <c r="DO131" i="38" s="1"/>
  <c r="DO130" i="38" s="1"/>
  <c r="DP99" i="38"/>
  <c r="BI161" i="38"/>
  <c r="BP161" i="38" s="1" a="1"/>
  <c r="BP161" i="38" s="1"/>
  <c r="BS175" i="38"/>
  <c r="BS99" i="38"/>
  <c r="DP137" i="38"/>
  <c r="DO175" i="38"/>
  <c r="BS122" i="38"/>
  <c r="BT122" i="38" s="1"/>
  <c r="BP113" i="38" a="1"/>
  <c r="BP113" i="38" s="1"/>
  <c r="BR113" i="38" s="1"/>
  <c r="BS113" i="38" s="1"/>
  <c r="DO137" i="38"/>
  <c r="BS159" i="38"/>
  <c r="BT159" i="38" s="1"/>
  <c r="BS134" i="38"/>
  <c r="DO134" i="38"/>
  <c r="DO133" i="38" s="1"/>
  <c r="BP164" i="38" a="1"/>
  <c r="BP164" i="38" s="1"/>
  <c r="BR164" i="38" s="1"/>
  <c r="BS164" i="38" s="1"/>
  <c r="BS128" i="38"/>
  <c r="DO128" i="38"/>
  <c r="DO127" i="38" s="1"/>
  <c r="BP119" i="38" a="1"/>
  <c r="BP119" i="38" s="1"/>
  <c r="BR119" i="38" s="1"/>
  <c r="BS119" i="38" s="1"/>
  <c r="DP159" i="38"/>
  <c r="DP122" i="38"/>
  <c r="BP88" i="38" a="1"/>
  <c r="BP88" i="38" s="1"/>
  <c r="BR88" i="38" s="1"/>
  <c r="BS88" i="38" s="1"/>
  <c r="BT88" i="38" s="1"/>
  <c r="DY26" i="38" a="1"/>
  <c r="DY26" i="38" s="1"/>
  <c r="DW26" i="38"/>
  <c r="EA26" i="38"/>
  <c r="DZ26" i="38" a="1"/>
  <c r="DZ26" i="38" s="1"/>
  <c r="CB38" i="38" a="1"/>
  <c r="CB38" i="38" s="1"/>
  <c r="CC38" i="38" a="1"/>
  <c r="CC38" i="38" s="1"/>
  <c r="DR26" i="38"/>
  <c r="CC137" i="38" a="1"/>
  <c r="CC137" i="38" s="1"/>
  <c r="CB137" i="38" a="1"/>
  <c r="CB137" i="38" s="1"/>
  <c r="C6" i="102" a="1"/>
  <c r="C6" i="102" s="1"/>
  <c r="H6" i="102" s="1"/>
  <c r="I6" i="102" s="1"/>
  <c r="C7" i="102" a="1"/>
  <c r="C7" i="102" s="1"/>
  <c r="H7" i="102" s="1"/>
  <c r="I7" i="102" s="1"/>
  <c r="V190" i="38"/>
  <c r="C4" i="102" a="1"/>
  <c r="C4" i="102" s="1"/>
  <c r="H4" i="102" s="1"/>
  <c r="I4" i="102" s="1"/>
  <c r="C5" i="102" a="1"/>
  <c r="C5" i="102" s="1"/>
  <c r="H5" i="102" s="1"/>
  <c r="I5" i="102" s="1"/>
  <c r="AA190" i="38"/>
  <c r="AF190" i="38"/>
  <c r="R190" i="38"/>
  <c r="DW1000" i="71"/>
  <c r="DY1000" i="71" a="1"/>
  <c r="DY1000" i="71" s="1"/>
  <c r="DX1000" i="71"/>
  <c r="CP1000" i="71" a="1"/>
  <c r="CP1000" i="71" s="1"/>
  <c r="EA1000" i="71"/>
  <c r="DZ1000" i="71" a="1"/>
  <c r="DZ1000" i="71" s="1"/>
  <c r="DQ1000" i="71"/>
  <c r="CN1000" i="71" a="1"/>
  <c r="CN1000" i="71" s="1"/>
  <c r="DR1000" i="71" s="1"/>
  <c r="DU1000" i="71"/>
  <c r="DT1000" i="71" a="1"/>
  <c r="DT1000" i="71" s="1"/>
  <c r="DS1000" i="71" a="1"/>
  <c r="DS1000" i="71" s="1"/>
  <c r="CP93" i="38" l="1" a="1"/>
  <c r="CP93" i="38" s="1"/>
  <c r="DY93" i="38" a="1"/>
  <c r="DY93" i="38" s="1"/>
  <c r="DY92" i="38" s="1"/>
  <c r="DW93" i="38"/>
  <c r="DW92" i="38" s="1"/>
  <c r="EA93" i="38"/>
  <c r="EA92" i="38" s="1"/>
  <c r="DZ93" i="38" a="1"/>
  <c r="DZ93" i="38" s="1"/>
  <c r="DZ92" i="38" s="1"/>
  <c r="DQ93" i="38"/>
  <c r="CN93" i="38" a="1"/>
  <c r="CN93" i="38" s="1"/>
  <c r="DT93" i="38" a="1"/>
  <c r="DT93" i="38" s="1"/>
  <c r="DT92" i="38" s="1"/>
  <c r="DS93" i="38" a="1"/>
  <c r="DS93" i="38" s="1"/>
  <c r="DS92" i="38" s="1"/>
  <c r="DU93" i="38"/>
  <c r="DU92" i="38" s="1"/>
  <c r="DP15" i="38"/>
  <c r="BS15" i="38"/>
  <c r="BT20" i="38"/>
  <c r="BP66" i="38" a="1"/>
  <c r="BP66" i="38" s="1"/>
  <c r="BR66" i="38" s="1"/>
  <c r="BS66" i="38" s="1"/>
  <c r="CN84" i="38" a="1"/>
  <c r="CN84" i="38" s="1"/>
  <c r="DU84" i="38"/>
  <c r="DT84" i="38" a="1"/>
  <c r="DT84" i="38" s="1"/>
  <c r="DS84" i="38" a="1"/>
  <c r="DS84" i="38" s="1"/>
  <c r="DQ84" i="38"/>
  <c r="DR84" i="38" s="1"/>
  <c r="DY84" i="38" a="1"/>
  <c r="DY84" i="38" s="1"/>
  <c r="DW84" i="38"/>
  <c r="EA84" i="38"/>
  <c r="CP84" i="38" a="1"/>
  <c r="CP84" i="38" s="1"/>
  <c r="DZ84" i="38" a="1"/>
  <c r="DZ84" i="38" s="1"/>
  <c r="DR123" i="38"/>
  <c r="DV123" i="38" s="1"/>
  <c r="DX123" i="38" s="1"/>
  <c r="EB123" i="38" s="1"/>
  <c r="BU123" i="38" s="1"/>
  <c r="BI125" i="38"/>
  <c r="BP125" i="38" s="1" a="1"/>
  <c r="BP125" i="38" s="1"/>
  <c r="BR125" i="38" s="1"/>
  <c r="BS125" i="38" s="1"/>
  <c r="BT125" i="38" s="1"/>
  <c r="BT121" i="38" s="1"/>
  <c r="BI116" i="38"/>
  <c r="BP116" i="38" s="1" a="1"/>
  <c r="BP116" i="38" s="1"/>
  <c r="BR116" i="38" s="1"/>
  <c r="BS116" i="38" s="1"/>
  <c r="BT116" i="38" s="1"/>
  <c r="CC116" i="38" s="1" a="1"/>
  <c r="CC116" i="38" s="1"/>
  <c r="DY110" i="38" a="1"/>
  <c r="DY110" i="38" s="1"/>
  <c r="DW110" i="38"/>
  <c r="EA110" i="38"/>
  <c r="DZ110" i="38" a="1"/>
  <c r="DZ110" i="38" s="1"/>
  <c r="CP110" i="38" a="1"/>
  <c r="CP110" i="38" s="1"/>
  <c r="CN110" i="38" a="1"/>
  <c r="CN110" i="38" s="1"/>
  <c r="DU110" i="38"/>
  <c r="DT110" i="38" a="1"/>
  <c r="DT110" i="38" s="1"/>
  <c r="DS110" i="38" a="1"/>
  <c r="DS110" i="38" s="1"/>
  <c r="DQ110" i="38"/>
  <c r="DR110" i="38" s="1"/>
  <c r="DC136" i="38"/>
  <c r="BI143" i="38"/>
  <c r="BP143" i="38" s="1" a="1"/>
  <c r="BP143" i="38" s="1"/>
  <c r="BR143" i="38" s="1"/>
  <c r="BS143" i="38" s="1"/>
  <c r="BT143" i="38" s="1"/>
  <c r="DI136" i="38"/>
  <c r="BI139" i="38"/>
  <c r="BP139" i="38" s="1" a="1"/>
  <c r="BP139" i="38" s="1"/>
  <c r="BR139" i="38" s="1"/>
  <c r="BS139" i="38" s="1"/>
  <c r="BT139" i="38" s="1"/>
  <c r="DN136" i="38"/>
  <c r="DL136" i="38"/>
  <c r="BI141" i="38"/>
  <c r="DK141" i="38"/>
  <c r="DK136" i="38" s="1"/>
  <c r="DH136" i="38"/>
  <c r="BI154" i="38"/>
  <c r="DK154" i="38"/>
  <c r="DH147" i="38"/>
  <c r="DI147" i="38"/>
  <c r="BI152" i="38"/>
  <c r="BP152" i="38" s="1" a="1"/>
  <c r="BP152" i="38" s="1"/>
  <c r="BR152" i="38" s="1"/>
  <c r="DK152" i="38"/>
  <c r="DN147" i="38"/>
  <c r="BE172" i="38" a="1"/>
  <c r="BE172" i="38" s="1"/>
  <c r="BG172" i="38" a="1"/>
  <c r="BG172" i="38" s="1"/>
  <c r="BH172" i="38" s="1"/>
  <c r="DK172" i="38" s="1"/>
  <c r="BN172" i="38" a="1"/>
  <c r="BN172" i="38" s="1"/>
  <c r="BO172" i="38" s="1"/>
  <c r="DN172" i="38" s="1"/>
  <c r="DL147" i="38"/>
  <c r="BL172" i="38" a="1"/>
  <c r="BL172" i="38" s="1"/>
  <c r="BC172" i="38" a="1"/>
  <c r="BC172" i="38" s="1"/>
  <c r="BD172" i="38" s="1"/>
  <c r="DI172" i="38" s="1"/>
  <c r="BJ172" i="38" a="1"/>
  <c r="BJ172" i="38" s="1"/>
  <c r="BK172" i="38" s="1"/>
  <c r="DL172" i="38" s="1"/>
  <c r="BI150" i="38"/>
  <c r="DK150" i="38"/>
  <c r="BI145" i="38"/>
  <c r="BP145" i="38" s="1" a="1"/>
  <c r="BP145" i="38" s="1"/>
  <c r="BR145" i="38" s="1"/>
  <c r="BS145" i="38" s="1"/>
  <c r="BI156" i="38"/>
  <c r="BP156" i="38" s="1" a="1"/>
  <c r="BP156" i="38" s="1"/>
  <c r="BR156" i="38" s="1"/>
  <c r="DC163" i="38"/>
  <c r="BI168" i="38"/>
  <c r="BP168" i="38" s="1" a="1"/>
  <c r="BP168" i="38" s="1"/>
  <c r="BR168" i="38" s="1"/>
  <c r="DO168" i="38" s="1"/>
  <c r="DI168" i="38"/>
  <c r="BL170" i="38" a="1"/>
  <c r="BL170" i="38" s="1"/>
  <c r="DH170" i="38"/>
  <c r="DH163" i="38" s="1"/>
  <c r="BG170" i="38" a="1"/>
  <c r="BG170" i="38" s="1"/>
  <c r="BH170" i="38" s="1"/>
  <c r="DK170" i="38" s="1"/>
  <c r="BJ170" i="38" a="1"/>
  <c r="BJ170" i="38" s="1"/>
  <c r="BK170" i="38" s="1"/>
  <c r="DL170" i="38" s="1"/>
  <c r="BN170" i="38" a="1"/>
  <c r="BN170" i="38" s="1"/>
  <c r="BO170" i="38" s="1"/>
  <c r="DN170" i="38" s="1"/>
  <c r="BC170" i="38" a="1"/>
  <c r="BC170" i="38" s="1"/>
  <c r="BD170" i="38" s="1"/>
  <c r="DI170" i="38" s="1"/>
  <c r="BE170" i="38" a="1"/>
  <c r="BE170" i="38" s="1"/>
  <c r="BI166" i="38"/>
  <c r="BP166" i="38" s="1" a="1"/>
  <c r="BP166" i="38" s="1"/>
  <c r="BR166" i="38" s="1"/>
  <c r="BS166" i="38" s="1"/>
  <c r="DH177" i="38"/>
  <c r="DH174" i="38" s="1"/>
  <c r="BG177" i="38" a="1"/>
  <c r="BG177" i="38" s="1"/>
  <c r="BH177" i="38" s="1"/>
  <c r="DK177" i="38" s="1"/>
  <c r="DK174" i="38" s="1"/>
  <c r="BJ177" i="38" a="1"/>
  <c r="BJ177" i="38" s="1"/>
  <c r="BK177" i="38" s="1"/>
  <c r="DL177" i="38" s="1"/>
  <c r="DL174" i="38" s="1"/>
  <c r="BC177" i="38" a="1"/>
  <c r="BC177" i="38" s="1"/>
  <c r="BD177" i="38" s="1"/>
  <c r="DI177" i="38" s="1"/>
  <c r="DI174" i="38" s="1"/>
  <c r="BL177" i="38" a="1"/>
  <c r="BL177" i="38" s="1"/>
  <c r="BE177" i="38" a="1"/>
  <c r="BE177" i="38" s="1"/>
  <c r="EA183" i="38"/>
  <c r="DZ183" i="38" a="1"/>
  <c r="DZ183" i="38" s="1"/>
  <c r="DW183" i="38"/>
  <c r="CP183" i="38" a="1"/>
  <c r="CP183" i="38" s="1"/>
  <c r="DY183" i="38" a="1"/>
  <c r="DY183" i="38" s="1"/>
  <c r="DT183" i="38" a="1"/>
  <c r="DT183" i="38" s="1"/>
  <c r="DQ183" i="38"/>
  <c r="DR183" i="38" s="1"/>
  <c r="CN183" i="38" a="1"/>
  <c r="CN183" i="38" s="1"/>
  <c r="DU183" i="38"/>
  <c r="DS183" i="38" a="1"/>
  <c r="DS183" i="38" s="1"/>
  <c r="BP181" i="38" a="1"/>
  <c r="BP181" i="38" s="1"/>
  <c r="BR181" i="38" s="1"/>
  <c r="BI179" i="38"/>
  <c r="BP179" i="38" s="1" a="1"/>
  <c r="BP179" i="38" s="1"/>
  <c r="BR179" i="38" s="1"/>
  <c r="BS179" i="38" s="1"/>
  <c r="BT179" i="38" s="1"/>
  <c r="DN174" i="38"/>
  <c r="DV100" i="38"/>
  <c r="DX100" i="38" s="1"/>
  <c r="EB100" i="38" s="1"/>
  <c r="BU100" i="38" s="1"/>
  <c r="EA103" i="38"/>
  <c r="CP103" i="38" a="1"/>
  <c r="CP103" i="38" s="1"/>
  <c r="DW103" i="38"/>
  <c r="DZ103" i="38" a="1"/>
  <c r="DZ103" i="38" s="1"/>
  <c r="DY103" i="38" a="1"/>
  <c r="DY103" i="38" s="1"/>
  <c r="DS103" i="38" a="1"/>
  <c r="DS103" i="38" s="1"/>
  <c r="DQ103" i="38"/>
  <c r="DR103" i="38" s="1"/>
  <c r="CN103" i="38" a="1"/>
  <c r="CN103" i="38" s="1"/>
  <c r="DU103" i="38"/>
  <c r="DT103" i="38" a="1"/>
  <c r="DT103" i="38" s="1"/>
  <c r="BJ106" i="38" a="1"/>
  <c r="BJ106" i="38" s="1"/>
  <c r="BK106" i="38" s="1"/>
  <c r="DL106" i="38" s="1"/>
  <c r="DL98" i="38" s="1"/>
  <c r="BC106" i="38" a="1"/>
  <c r="BC106" i="38" s="1"/>
  <c r="BD106" i="38" s="1"/>
  <c r="DH106" i="38"/>
  <c r="DH98" i="38" s="1"/>
  <c r="BN106" i="38" a="1"/>
  <c r="BN106" i="38" s="1"/>
  <c r="BO106" i="38" s="1"/>
  <c r="DN106" i="38" s="1"/>
  <c r="DN98" i="38" s="1"/>
  <c r="BL106" i="38" a="1"/>
  <c r="BL106" i="38" s="1"/>
  <c r="BE106" i="38" a="1"/>
  <c r="BE106" i="38" s="1"/>
  <c r="BG106" i="38" a="1"/>
  <c r="BG106" i="38" s="1"/>
  <c r="BH106" i="38" s="1"/>
  <c r="DK106" i="38" s="1"/>
  <c r="DK98" i="38" s="1"/>
  <c r="DH37" i="38"/>
  <c r="CC108" i="38" a="1"/>
  <c r="CC108" i="38" s="1"/>
  <c r="CB108" i="38" a="1"/>
  <c r="CB108" i="38" s="1"/>
  <c r="DO108" i="38"/>
  <c r="DP108" i="38"/>
  <c r="DN37" i="38"/>
  <c r="DI37" i="38"/>
  <c r="DL37" i="38"/>
  <c r="CB29" i="38" a="1"/>
  <c r="CB29" i="38" s="1"/>
  <c r="DT29" i="38" s="1" a="1"/>
  <c r="DT29" i="38" s="1"/>
  <c r="BI41" i="38"/>
  <c r="BP41" i="38" s="1" a="1"/>
  <c r="BP41" i="38" s="1"/>
  <c r="BR41" i="38" s="1"/>
  <c r="BP42" i="38" a="1"/>
  <c r="BP42" i="38" s="1"/>
  <c r="BR42" i="38" s="1"/>
  <c r="BS42" i="38" s="1"/>
  <c r="BT42" i="38" s="1"/>
  <c r="BP45" i="38" a="1"/>
  <c r="BP45" i="38" s="1"/>
  <c r="BR45" i="38" s="1"/>
  <c r="BS45" i="38" s="1"/>
  <c r="BT45" i="38" s="1"/>
  <c r="BI47" i="38"/>
  <c r="DK47" i="38"/>
  <c r="DK37" i="38" s="1"/>
  <c r="BP30" i="38" a="1"/>
  <c r="BP30" i="38" s="1"/>
  <c r="BR30" i="38" s="1"/>
  <c r="BS30" i="38" s="1"/>
  <c r="BT30" i="38" s="1"/>
  <c r="DO33" i="38"/>
  <c r="BS33" i="38"/>
  <c r="BT33" i="38" s="1"/>
  <c r="CC33" i="38" s="1" a="1"/>
  <c r="CC33" i="38" s="1"/>
  <c r="EA29" i="38"/>
  <c r="CP29" i="38" a="1"/>
  <c r="CP29" i="38" s="1"/>
  <c r="DZ29" i="38" a="1"/>
  <c r="DZ29" i="38" s="1"/>
  <c r="DY29" i="38" a="1"/>
  <c r="DY29" i="38" s="1"/>
  <c r="DW29" i="38"/>
  <c r="BI90" i="38"/>
  <c r="BP90" i="38" s="1" a="1"/>
  <c r="BP90" i="38" s="1"/>
  <c r="DI25" i="38"/>
  <c r="DO148" i="38"/>
  <c r="DP148" i="38"/>
  <c r="BS131" i="38"/>
  <c r="BS130" i="38" s="1"/>
  <c r="DO81" i="38"/>
  <c r="DO80" i="38" s="1"/>
  <c r="BS81" i="38"/>
  <c r="BS80" i="38" s="1"/>
  <c r="DP131" i="38"/>
  <c r="DP130" i="38" s="1"/>
  <c r="BS35" i="38"/>
  <c r="BT35" i="38" s="1"/>
  <c r="DO35" i="38"/>
  <c r="BR161" i="38"/>
  <c r="BS161" i="38" s="1"/>
  <c r="BT161" i="38" s="1"/>
  <c r="BT158" i="38" s="1"/>
  <c r="BT175" i="38"/>
  <c r="BT99" i="38"/>
  <c r="BT113" i="38"/>
  <c r="DO113" i="38"/>
  <c r="DP113" i="38"/>
  <c r="BT119" i="38"/>
  <c r="BS118" i="38"/>
  <c r="DO119" i="38"/>
  <c r="DO118" i="38" s="1"/>
  <c r="DP119" i="38"/>
  <c r="DP118" i="38" s="1"/>
  <c r="BS127" i="38"/>
  <c r="BT128" i="38"/>
  <c r="BT164" i="38"/>
  <c r="DP164" i="38"/>
  <c r="DO164" i="38"/>
  <c r="BT148" i="38"/>
  <c r="CC88" i="38" a="1"/>
  <c r="CC88" i="38" s="1"/>
  <c r="CB88" i="38" a="1"/>
  <c r="CB88" i="38" s="1"/>
  <c r="DO88" i="38"/>
  <c r="DP88" i="38"/>
  <c r="BS133" i="38"/>
  <c r="BT134" i="38"/>
  <c r="CC159" i="38" a="1"/>
  <c r="CC159" i="38" s="1"/>
  <c r="CB159" i="38" a="1"/>
  <c r="CB159" i="38" s="1"/>
  <c r="CC122" i="38" a="1"/>
  <c r="CC122" i="38" s="1"/>
  <c r="CB122" i="38" a="1"/>
  <c r="CB122" i="38" s="1"/>
  <c r="DV26" i="38"/>
  <c r="CN137" i="38" a="1"/>
  <c r="CN137" i="38" s="1"/>
  <c r="DS137" i="38" a="1"/>
  <c r="DS137" i="38" s="1"/>
  <c r="DT137" i="38" a="1"/>
  <c r="DT137" i="38" s="1"/>
  <c r="DU137" i="38"/>
  <c r="DQ137" i="38"/>
  <c r="DY137" i="38" a="1"/>
  <c r="DY137" i="38" s="1"/>
  <c r="DZ137" i="38" a="1"/>
  <c r="DZ137" i="38" s="1"/>
  <c r="DW137" i="38"/>
  <c r="EA137" i="38"/>
  <c r="CP137" i="38" a="1"/>
  <c r="CP137" i="38" s="1"/>
  <c r="DU38" i="38"/>
  <c r="DT38" i="38" a="1"/>
  <c r="DT38" i="38" s="1"/>
  <c r="DQ38" i="38"/>
  <c r="DS38" i="38" a="1"/>
  <c r="DS38" i="38" s="1"/>
  <c r="CN38" i="38" a="1"/>
  <c r="CN38" i="38" s="1"/>
  <c r="DW38" i="38"/>
  <c r="EA38" i="38"/>
  <c r="DZ38" i="38" a="1"/>
  <c r="DZ38" i="38" s="1"/>
  <c r="CP38" i="38" a="1"/>
  <c r="CP38" i="38" s="1"/>
  <c r="DY38" i="38" a="1"/>
  <c r="DY38" i="38" s="1"/>
  <c r="G17" i="90" a="1"/>
  <c r="G17" i="90" s="1"/>
  <c r="F22" i="90" a="1"/>
  <c r="F22" i="90" s="1"/>
  <c r="G28" i="90" a="1"/>
  <c r="G28" i="90" s="1"/>
  <c r="D13" i="90" a="1"/>
  <c r="D13" i="90" s="1"/>
  <c r="G13" i="90" a="1"/>
  <c r="G13" i="90" s="1"/>
  <c r="D30" i="90" a="1"/>
  <c r="D30" i="90" s="1"/>
  <c r="G8" i="90" a="1"/>
  <c r="G8" i="90" s="1"/>
  <c r="D29" i="90" a="1"/>
  <c r="D29" i="90" s="1"/>
  <c r="G27" i="90" a="1"/>
  <c r="G27" i="90" s="1"/>
  <c r="E21" i="90" a="1"/>
  <c r="E21" i="90" s="1"/>
  <c r="E20" i="90" a="1"/>
  <c r="E20" i="90" s="1"/>
  <c r="F30" i="90" a="1"/>
  <c r="F30" i="90" s="1"/>
  <c r="E9" i="90" a="1"/>
  <c r="E9" i="90" s="1"/>
  <c r="F15" i="90" a="1"/>
  <c r="F15" i="90" s="1"/>
  <c r="D14" i="90" a="1"/>
  <c r="D14" i="90" s="1"/>
  <c r="F20" i="90" a="1"/>
  <c r="F20" i="90" s="1"/>
  <c r="F28" i="90" a="1"/>
  <c r="F28" i="90" s="1"/>
  <c r="D20" i="90" a="1"/>
  <c r="D20" i="90" s="1"/>
  <c r="D10" i="90" a="1"/>
  <c r="D10" i="90" s="1"/>
  <c r="CZ190" i="38" a="1"/>
  <c r="CZ190" i="38" s="1"/>
  <c r="E28" i="90" a="1"/>
  <c r="E28" i="90" s="1"/>
  <c r="F17" i="90" a="1"/>
  <c r="F17" i="90" s="1"/>
  <c r="G21" i="90" a="1"/>
  <c r="G21" i="90" s="1"/>
  <c r="CY190" i="38" a="1"/>
  <c r="CY190" i="38" s="1"/>
  <c r="CX190" i="38" a="1"/>
  <c r="CX190" i="38" s="1"/>
  <c r="E13" i="90" a="1"/>
  <c r="E13" i="90" s="1"/>
  <c r="D9" i="90" a="1"/>
  <c r="D9" i="90" s="1"/>
  <c r="G16" i="90" a="1"/>
  <c r="G16" i="90" s="1"/>
  <c r="D8" i="90" a="1"/>
  <c r="D8" i="90" s="1"/>
  <c r="D28" i="90" a="1"/>
  <c r="D28" i="90" s="1"/>
  <c r="G14" i="90" a="1"/>
  <c r="G14" i="90" s="1"/>
  <c r="D22" i="90" a="1"/>
  <c r="D22" i="90" s="1"/>
  <c r="F13" i="90" a="1"/>
  <c r="F13" i="90" s="1"/>
  <c r="E16" i="90" a="1"/>
  <c r="E16" i="90" s="1"/>
  <c r="D16" i="90" a="1"/>
  <c r="D16" i="90" s="1"/>
  <c r="G15" i="90" a="1"/>
  <c r="G15" i="90" s="1"/>
  <c r="G30" i="90" a="1"/>
  <c r="G30" i="90" s="1"/>
  <c r="F21" i="90" a="1"/>
  <c r="F21" i="90" s="1"/>
  <c r="D21" i="90" a="1"/>
  <c r="D21" i="90" s="1"/>
  <c r="F14" i="90" a="1"/>
  <c r="F14" i="90" s="1"/>
  <c r="E8" i="90" a="1"/>
  <c r="E8" i="90" s="1"/>
  <c r="F27" i="90" a="1"/>
  <c r="F27" i="90" s="1"/>
  <c r="E22" i="90" a="1"/>
  <c r="E22" i="90" s="1"/>
  <c r="E14" i="90" a="1"/>
  <c r="E14" i="90" s="1"/>
  <c r="E15" i="90" a="1"/>
  <c r="E15" i="90" s="1"/>
  <c r="D17" i="90" a="1"/>
  <c r="D17" i="90" s="1"/>
  <c r="G9" i="90" a="1"/>
  <c r="G9" i="90" s="1"/>
  <c r="E30" i="90" a="1"/>
  <c r="E30" i="90" s="1"/>
  <c r="F8" i="90" a="1"/>
  <c r="F8" i="90" s="1"/>
  <c r="E17" i="90" a="1"/>
  <c r="E17" i="90" s="1"/>
  <c r="D27" i="90" a="1"/>
  <c r="D27" i="90" s="1"/>
  <c r="E27" i="90" a="1"/>
  <c r="E27" i="90" s="1"/>
  <c r="F16" i="90" a="1"/>
  <c r="F16" i="90" s="1"/>
  <c r="G20" i="90" a="1"/>
  <c r="G20" i="90" s="1"/>
  <c r="F29" i="90" a="1"/>
  <c r="F29" i="90" s="1"/>
  <c r="D15" i="90" a="1"/>
  <c r="D15" i="90" s="1"/>
  <c r="E29" i="90" a="1"/>
  <c r="E29" i="90" s="1"/>
  <c r="CW190" i="38" a="1"/>
  <c r="CW190" i="38" s="1"/>
  <c r="F10" i="90" a="1"/>
  <c r="F10" i="90" s="1"/>
  <c r="E10" i="90" a="1"/>
  <c r="E10" i="90" s="1"/>
  <c r="G29" i="90" a="1"/>
  <c r="G29" i="90" s="1"/>
  <c r="G10" i="90" a="1"/>
  <c r="G10" i="90" s="1"/>
  <c r="F9" i="90" a="1"/>
  <c r="F9" i="90" s="1"/>
  <c r="G22" i="90" a="1"/>
  <c r="G22" i="90" s="1"/>
  <c r="DQ92" i="38" l="1"/>
  <c r="DR93" i="38"/>
  <c r="DR92" i="38" s="1"/>
  <c r="CC20" i="38" a="1"/>
  <c r="CC20" i="38" s="1"/>
  <c r="CB20" i="38" a="1"/>
  <c r="CB20" i="38" s="1"/>
  <c r="BT15" i="38"/>
  <c r="BT66" i="38"/>
  <c r="BS49" i="38"/>
  <c r="DO66" i="38"/>
  <c r="DO49" i="38" s="1"/>
  <c r="DP66" i="38"/>
  <c r="DV84" i="38"/>
  <c r="DX84" i="38" s="1"/>
  <c r="EB84" i="38" s="1"/>
  <c r="BU84" i="38" s="1"/>
  <c r="BS112" i="38"/>
  <c r="BS121" i="38"/>
  <c r="CB125" i="38" a="1"/>
  <c r="CB125" i="38" s="1"/>
  <c r="CC125" i="38" a="1"/>
  <c r="CC125" i="38" s="1"/>
  <c r="DO125" i="38"/>
  <c r="DO121" i="38" s="1"/>
  <c r="DP125" i="38"/>
  <c r="DP116" i="38"/>
  <c r="DP112" i="38" s="1"/>
  <c r="DO116" i="38"/>
  <c r="DO112" i="38" s="1"/>
  <c r="CB116" i="38" a="1"/>
  <c r="CB116" i="38" s="1"/>
  <c r="DS116" i="38" s="1" a="1"/>
  <c r="DS116" i="38" s="1"/>
  <c r="CP116" i="38" a="1"/>
  <c r="CP116" i="38" s="1"/>
  <c r="DZ116" i="38" a="1"/>
  <c r="DZ116" i="38" s="1"/>
  <c r="DY116" i="38" a="1"/>
  <c r="DY116" i="38" s="1"/>
  <c r="DW116" i="38"/>
  <c r="EA116" i="38"/>
  <c r="DV110" i="38"/>
  <c r="DX110" i="38" s="1"/>
  <c r="EB110" i="38" s="1"/>
  <c r="BU110" i="38" s="1"/>
  <c r="CC143" i="38" a="1"/>
  <c r="CC143" i="38" s="1"/>
  <c r="CB143" i="38" a="1"/>
  <c r="CB143" i="38" s="1"/>
  <c r="DO143" i="38"/>
  <c r="DP143" i="38"/>
  <c r="BP141" i="38" a="1"/>
  <c r="BP141" i="38" s="1"/>
  <c r="BR141" i="38" s="1"/>
  <c r="BS141" i="38" s="1"/>
  <c r="CC139" i="38" a="1"/>
  <c r="CC139" i="38" s="1"/>
  <c r="CB139" i="38" a="1"/>
  <c r="CB139" i="38" s="1"/>
  <c r="DO139" i="38"/>
  <c r="DP139" i="38"/>
  <c r="DL163" i="38"/>
  <c r="BP154" i="38" a="1"/>
  <c r="BP154" i="38" s="1"/>
  <c r="BR154" i="38" s="1"/>
  <c r="BS154" i="38" s="1"/>
  <c r="BT154" i="38" s="1"/>
  <c r="BS152" i="38"/>
  <c r="BT152" i="38" s="1"/>
  <c r="DO152" i="38"/>
  <c r="DK147" i="38"/>
  <c r="DN163" i="38"/>
  <c r="DP152" i="38"/>
  <c r="BP150" i="38" a="1"/>
  <c r="BP150" i="38" s="1"/>
  <c r="BR150" i="38" s="1"/>
  <c r="BS150" i="38" s="1"/>
  <c r="BT150" i="38" s="1"/>
  <c r="BI172" i="38"/>
  <c r="BP172" i="38" s="1" a="1"/>
  <c r="BP172" i="38" s="1"/>
  <c r="BR172" i="38" s="1"/>
  <c r="BS172" i="38" s="1"/>
  <c r="BT172" i="38" s="1"/>
  <c r="BT145" i="38"/>
  <c r="DO145" i="38"/>
  <c r="DP145" i="38"/>
  <c r="DK163" i="38"/>
  <c r="DI163" i="38"/>
  <c r="BS156" i="38"/>
  <c r="DO156" i="38"/>
  <c r="DP156" i="38"/>
  <c r="BS168" i="38"/>
  <c r="BT168" i="38" s="1"/>
  <c r="DP168" i="38"/>
  <c r="BI170" i="38"/>
  <c r="BT166" i="38"/>
  <c r="CC166" i="38" s="1" a="1"/>
  <c r="CC166" i="38" s="1"/>
  <c r="DO166" i="38"/>
  <c r="DP166" i="38"/>
  <c r="BI177" i="38"/>
  <c r="BP177" i="38" s="1" a="1"/>
  <c r="BP177" i="38" s="1"/>
  <c r="BR177" i="38" s="1"/>
  <c r="BS177" i="38" s="1"/>
  <c r="BT177" i="38" s="1"/>
  <c r="DV183" i="38"/>
  <c r="DX183" i="38" s="1"/>
  <c r="EB183" i="38" s="1"/>
  <c r="BU183" i="38" s="1"/>
  <c r="DO181" i="38"/>
  <c r="DP181" i="38"/>
  <c r="BS181" i="38"/>
  <c r="BT181" i="38" s="1"/>
  <c r="CB179" i="38" a="1"/>
  <c r="CB179" i="38" s="1"/>
  <c r="CC179" i="38" a="1"/>
  <c r="CC179" i="38" s="1"/>
  <c r="DO179" i="38"/>
  <c r="DP179" i="38"/>
  <c r="DV103" i="38"/>
  <c r="DX103" i="38" s="1"/>
  <c r="EB103" i="38" s="1"/>
  <c r="BU103" i="38" s="1"/>
  <c r="DI106" i="38"/>
  <c r="DI98" i="38" s="1"/>
  <c r="BI106" i="38"/>
  <c r="BP106" i="38" s="1" a="1"/>
  <c r="BP106" i="38" s="1"/>
  <c r="BR106" i="38" s="1"/>
  <c r="BS106" i="38" s="1"/>
  <c r="BT106" i="38" s="1"/>
  <c r="BT98" i="38" s="1"/>
  <c r="CN108" i="38" a="1"/>
  <c r="CN108" i="38" s="1"/>
  <c r="DT108" i="38" a="1"/>
  <c r="DT108" i="38" s="1"/>
  <c r="DQ108" i="38"/>
  <c r="DR108" i="38" s="1"/>
  <c r="DS108" i="38" a="1"/>
  <c r="DS108" i="38" s="1"/>
  <c r="DU108" i="38"/>
  <c r="EA108" i="38"/>
  <c r="CP108" i="38" a="1"/>
  <c r="CP108" i="38" s="1"/>
  <c r="DZ108" i="38" a="1"/>
  <c r="DZ108" i="38" s="1"/>
  <c r="DY108" i="38" a="1"/>
  <c r="DY108" i="38" s="1"/>
  <c r="DW108" i="38"/>
  <c r="DS29" i="38" a="1"/>
  <c r="DS29" i="38" s="1"/>
  <c r="DU29" i="38"/>
  <c r="DQ29" i="38"/>
  <c r="DR29" i="38" s="1"/>
  <c r="CN29" i="38" a="1"/>
  <c r="CN29" i="38" s="1"/>
  <c r="BS41" i="38"/>
  <c r="BT41" i="38" s="1"/>
  <c r="DO41" i="38"/>
  <c r="DP41" i="38"/>
  <c r="CC42" i="38" a="1"/>
  <c r="CC42" i="38" s="1"/>
  <c r="CB42" i="38" a="1"/>
  <c r="CB42" i="38" s="1"/>
  <c r="DO42" i="38"/>
  <c r="DP42" i="38"/>
  <c r="CB45" i="38" a="1"/>
  <c r="CB45" i="38" s="1"/>
  <c r="CC45" i="38" a="1"/>
  <c r="CC45" i="38" s="1"/>
  <c r="DO45" i="38"/>
  <c r="DP45" i="38"/>
  <c r="BP47" i="38" a="1"/>
  <c r="BP47" i="38" s="1"/>
  <c r="BR47" i="38" s="1"/>
  <c r="BS47" i="38" s="1"/>
  <c r="CB33" i="38" a="1"/>
  <c r="CB33" i="38" s="1"/>
  <c r="CN33" i="38" s="1" a="1"/>
  <c r="CN33" i="38" s="1"/>
  <c r="CC30" i="38" a="1"/>
  <c r="CC30" i="38" s="1"/>
  <c r="CB30" i="38" a="1"/>
  <c r="CB30" i="38" s="1"/>
  <c r="DO30" i="38"/>
  <c r="DO25" i="38" s="1"/>
  <c r="DP30" i="38"/>
  <c r="BR90" i="38"/>
  <c r="BT131" i="38"/>
  <c r="CC131" i="38" s="1" a="1"/>
  <c r="CC131" i="38" s="1"/>
  <c r="BT25" i="38"/>
  <c r="CB161" i="38" a="1"/>
  <c r="CB161" i="38" s="1"/>
  <c r="DS161" i="38" s="1" a="1"/>
  <c r="DS161" i="38" s="1"/>
  <c r="CP33" i="38" a="1"/>
  <c r="CP33" i="38" s="1"/>
  <c r="DZ33" i="38" a="1"/>
  <c r="DZ33" i="38" s="1"/>
  <c r="EA33" i="38"/>
  <c r="DY33" i="38" a="1"/>
  <c r="DY33" i="38" s="1"/>
  <c r="DW33" i="38"/>
  <c r="CC161" i="38" a="1"/>
  <c r="CC161" i="38" s="1"/>
  <c r="EA161" i="38" s="1"/>
  <c r="BS158" i="38"/>
  <c r="BT81" i="38"/>
  <c r="BT80" i="38" s="1"/>
  <c r="DO161" i="38"/>
  <c r="DO158" i="38" s="1"/>
  <c r="DP161" i="38"/>
  <c r="DP158" i="38" s="1"/>
  <c r="CB175" i="38" a="1"/>
  <c r="CB175" i="38" s="1"/>
  <c r="DU175" i="38" s="1"/>
  <c r="CC175" i="38" a="1"/>
  <c r="CC175" i="38" s="1"/>
  <c r="EA175" i="38" s="1"/>
  <c r="CC35" i="38" a="1"/>
  <c r="CC35" i="38" s="1"/>
  <c r="CB35" i="38" a="1"/>
  <c r="CB35" i="38" s="1"/>
  <c r="CC99" i="38" a="1"/>
  <c r="CC99" i="38" s="1"/>
  <c r="CB99" i="38" a="1"/>
  <c r="CB99" i="38" s="1"/>
  <c r="BT112" i="38"/>
  <c r="CC113" i="38" a="1"/>
  <c r="CC113" i="38" s="1"/>
  <c r="CB113" i="38" a="1"/>
  <c r="CB113" i="38" s="1"/>
  <c r="CN159" i="38" a="1"/>
  <c r="CN159" i="38" s="1"/>
  <c r="DS159" i="38" a="1"/>
  <c r="DS159" i="38" s="1"/>
  <c r="DU159" i="38"/>
  <c r="DT159" i="38" a="1"/>
  <c r="DT159" i="38" s="1"/>
  <c r="DQ159" i="38"/>
  <c r="DR159" i="38" s="1"/>
  <c r="DW159" i="38"/>
  <c r="DZ159" i="38" a="1"/>
  <c r="DZ159" i="38" s="1"/>
  <c r="EA159" i="38"/>
  <c r="DY159" i="38" a="1"/>
  <c r="DY159" i="38" s="1"/>
  <c r="CP159" i="38" a="1"/>
  <c r="CP159" i="38" s="1"/>
  <c r="BT133" i="38"/>
  <c r="CB134" i="38" a="1"/>
  <c r="CB134" i="38" s="1"/>
  <c r="CC134" i="38" a="1"/>
  <c r="CC134" i="38" s="1"/>
  <c r="CB164" i="38" a="1"/>
  <c r="CB164" i="38" s="1"/>
  <c r="CC164" i="38" a="1"/>
  <c r="CC164" i="38" s="1"/>
  <c r="DU88" i="38"/>
  <c r="DQ88" i="38"/>
  <c r="DT88" i="38" a="1"/>
  <c r="DT88" i="38" s="1"/>
  <c r="CN88" i="38" a="1"/>
  <c r="CN88" i="38" s="1"/>
  <c r="DS88" i="38" a="1"/>
  <c r="DS88" i="38" s="1"/>
  <c r="CC128" i="38" a="1"/>
  <c r="CC128" i="38" s="1"/>
  <c r="CB128" i="38" a="1"/>
  <c r="CB128" i="38" s="1"/>
  <c r="BT127" i="38"/>
  <c r="DY88" i="38" a="1"/>
  <c r="DY88" i="38" s="1"/>
  <c r="DW88" i="38"/>
  <c r="DZ88" i="38" a="1"/>
  <c r="DZ88" i="38" s="1"/>
  <c r="EA88" i="38"/>
  <c r="CP88" i="38" a="1"/>
  <c r="CP88" i="38" s="1"/>
  <c r="CB148" i="38" a="1"/>
  <c r="CB148" i="38" s="1"/>
  <c r="CC148" i="38" a="1"/>
  <c r="CC148" i="38" s="1"/>
  <c r="CB119" i="38" a="1"/>
  <c r="CB119" i="38" s="1"/>
  <c r="BT118" i="38"/>
  <c r="CC119" i="38" a="1"/>
  <c r="CC119" i="38" s="1"/>
  <c r="DT122" i="38" a="1"/>
  <c r="DT122" i="38" s="1"/>
  <c r="DU122" i="38"/>
  <c r="DS122" i="38" a="1"/>
  <c r="DS122" i="38" s="1"/>
  <c r="CN122" i="38" a="1"/>
  <c r="CN122" i="38" s="1"/>
  <c r="DQ122" i="38"/>
  <c r="CP122" i="38" a="1"/>
  <c r="CP122" i="38" s="1"/>
  <c r="DZ122" i="38" a="1"/>
  <c r="DZ122" i="38" s="1"/>
  <c r="DW122" i="38"/>
  <c r="EA122" i="38"/>
  <c r="DY122" i="38" a="1"/>
  <c r="DY122" i="38" s="1"/>
  <c r="DR137" i="38"/>
  <c r="DR38" i="38"/>
  <c r="DX26" i="38"/>
  <c r="DF190" i="38" a="1"/>
  <c r="DF190" i="38" s="1"/>
  <c r="AZ190" i="38"/>
  <c r="D61" i="79" a="1"/>
  <c r="D61" i="79" s="1"/>
  <c r="D62" i="79" s="1"/>
  <c r="D64" i="79" s="1"/>
  <c r="DV93" i="38" l="1"/>
  <c r="DT20" i="38" a="1"/>
  <c r="DT20" i="38" s="1"/>
  <c r="DT15" i="38" s="1"/>
  <c r="DU20" i="38"/>
  <c r="DU15" i="38" s="1"/>
  <c r="DQ20" i="38"/>
  <c r="CN20" i="38" a="1"/>
  <c r="CN20" i="38" s="1"/>
  <c r="DS20" i="38" a="1"/>
  <c r="DS20" i="38" s="1"/>
  <c r="DS15" i="38" s="1"/>
  <c r="CP20" i="38" a="1"/>
  <c r="CP20" i="38" s="1"/>
  <c r="DW20" i="38"/>
  <c r="DW15" i="38" s="1"/>
  <c r="EA20" i="38"/>
  <c r="EA15" i="38" s="1"/>
  <c r="DZ20" i="38" a="1"/>
  <c r="DZ20" i="38" s="1"/>
  <c r="DZ15" i="38" s="1"/>
  <c r="DY20" i="38" a="1"/>
  <c r="DY20" i="38" s="1"/>
  <c r="DY15" i="38" s="1"/>
  <c r="DP49" i="38"/>
  <c r="CC66" i="38" a="1"/>
  <c r="CC66" i="38" s="1"/>
  <c r="CB66" i="38" a="1"/>
  <c r="CB66" i="38" s="1"/>
  <c r="BT49" i="38"/>
  <c r="CP125" i="38" a="1"/>
  <c r="CP125" i="38" s="1"/>
  <c r="EA125" i="38"/>
  <c r="EA121" i="38" s="1"/>
  <c r="DY125" i="38" a="1"/>
  <c r="DY125" i="38" s="1"/>
  <c r="DY121" i="38" s="1"/>
  <c r="DW125" i="38"/>
  <c r="DW121" i="38" s="1"/>
  <c r="DZ125" i="38" a="1"/>
  <c r="DZ125" i="38" s="1"/>
  <c r="DZ121" i="38" s="1"/>
  <c r="DP121" i="38"/>
  <c r="DT125" i="38" a="1"/>
  <c r="DT125" i="38" s="1"/>
  <c r="DT121" i="38" s="1"/>
  <c r="DQ125" i="38"/>
  <c r="DR125" i="38" s="1"/>
  <c r="CN125" i="38" a="1"/>
  <c r="CN125" i="38" s="1"/>
  <c r="DU125" i="38"/>
  <c r="DU121" i="38" s="1"/>
  <c r="DS125" i="38" a="1"/>
  <c r="DS125" i="38" s="1"/>
  <c r="DS121" i="38" s="1"/>
  <c r="DU116" i="38"/>
  <c r="CN116" i="38" a="1"/>
  <c r="CN116" i="38" s="1"/>
  <c r="DT116" i="38" a="1"/>
  <c r="DT116" i="38" s="1"/>
  <c r="DQ116" i="38"/>
  <c r="DR116" i="38" s="1"/>
  <c r="DS143" i="38" a="1"/>
  <c r="DS143" i="38" s="1"/>
  <c r="DQ143" i="38"/>
  <c r="DR143" i="38" s="1"/>
  <c r="CN143" i="38" a="1"/>
  <c r="CN143" i="38" s="1"/>
  <c r="DU143" i="38"/>
  <c r="DT143" i="38" a="1"/>
  <c r="DT143" i="38" s="1"/>
  <c r="DW143" i="38"/>
  <c r="DZ143" i="38" a="1"/>
  <c r="DZ143" i="38" s="1"/>
  <c r="EA143" i="38"/>
  <c r="CP143" i="38" a="1"/>
  <c r="CP143" i="38" s="1"/>
  <c r="DY143" i="38" a="1"/>
  <c r="DY143" i="38" s="1"/>
  <c r="BT141" i="38"/>
  <c r="BT136" i="38" s="1"/>
  <c r="BS136" i="38"/>
  <c r="DO141" i="38"/>
  <c r="DO136" i="38" s="1"/>
  <c r="DP141" i="38"/>
  <c r="DP136" i="38" s="1"/>
  <c r="DS139" i="38" a="1"/>
  <c r="DS139" i="38" s="1"/>
  <c r="CN139" i="38" a="1"/>
  <c r="CN139" i="38" s="1"/>
  <c r="DU139" i="38"/>
  <c r="DQ139" i="38"/>
  <c r="DR139" i="38" s="1"/>
  <c r="DT139" i="38" a="1"/>
  <c r="DT139" i="38" s="1"/>
  <c r="CP139" i="38" a="1"/>
  <c r="CP139" i="38" s="1"/>
  <c r="DZ139" i="38" a="1"/>
  <c r="DZ139" i="38" s="1"/>
  <c r="DY139" i="38" a="1"/>
  <c r="DY139" i="38" s="1"/>
  <c r="EA139" i="38"/>
  <c r="DW139" i="38"/>
  <c r="CB154" i="38" a="1"/>
  <c r="CB154" i="38" s="1"/>
  <c r="CC154" i="38" a="1"/>
  <c r="CC154" i="38" s="1"/>
  <c r="DO154" i="38"/>
  <c r="DP154" i="38"/>
  <c r="CC152" i="38" a="1"/>
  <c r="CC152" i="38" s="1"/>
  <c r="CB152" i="38" a="1"/>
  <c r="CB152" i="38" s="1"/>
  <c r="CC150" i="38" a="1"/>
  <c r="CC150" i="38" s="1"/>
  <c r="CB150" i="38" a="1"/>
  <c r="CB150" i="38" s="1"/>
  <c r="DO150" i="38"/>
  <c r="DP150" i="38"/>
  <c r="CB145" i="38" a="1"/>
  <c r="CB145" i="38" s="1"/>
  <c r="CC145" i="38" a="1"/>
  <c r="CC145" i="38" s="1"/>
  <c r="BT156" i="38"/>
  <c r="BS147" i="38"/>
  <c r="CC172" i="38" a="1"/>
  <c r="CC172" i="38" s="1"/>
  <c r="CB172" i="38" a="1"/>
  <c r="CB172" i="38" s="1"/>
  <c r="DO172" i="38"/>
  <c r="DP172" i="38"/>
  <c r="CB168" i="38" a="1"/>
  <c r="CB168" i="38" s="1"/>
  <c r="CC168" i="38" a="1"/>
  <c r="CC168" i="38" s="1"/>
  <c r="BP170" i="38" a="1"/>
  <c r="BP170" i="38" s="1"/>
  <c r="BR170" i="38" s="1"/>
  <c r="BS170" i="38" s="1"/>
  <c r="CB166" i="38" a="1"/>
  <c r="CB166" i="38" s="1"/>
  <c r="CN166" i="38" s="1" a="1"/>
  <c r="CN166" i="38" s="1"/>
  <c r="EA166" i="38"/>
  <c r="CP166" i="38" a="1"/>
  <c r="CP166" i="38" s="1"/>
  <c r="DZ166" i="38" a="1"/>
  <c r="DZ166" i="38" s="1"/>
  <c r="DY166" i="38" a="1"/>
  <c r="DY166" i="38" s="1"/>
  <c r="DW166" i="38"/>
  <c r="BT174" i="38"/>
  <c r="DO177" i="38"/>
  <c r="DO174" i="38" s="1"/>
  <c r="DP177" i="38"/>
  <c r="DP174" i="38" s="1"/>
  <c r="BS174" i="38"/>
  <c r="CC181" i="38" a="1"/>
  <c r="CC181" i="38" s="1"/>
  <c r="CB181" i="38" a="1"/>
  <c r="CB181" i="38" s="1"/>
  <c r="DZ179" i="38" a="1"/>
  <c r="DZ179" i="38" s="1"/>
  <c r="DY179" i="38" a="1"/>
  <c r="DY179" i="38" s="1"/>
  <c r="DW179" i="38"/>
  <c r="CP179" i="38" a="1"/>
  <c r="CP179" i="38" s="1"/>
  <c r="EA179" i="38"/>
  <c r="DS179" i="38" a="1"/>
  <c r="DS179" i="38" s="1"/>
  <c r="DQ179" i="38"/>
  <c r="DR179" i="38" s="1"/>
  <c r="CN179" i="38" a="1"/>
  <c r="CN179" i="38" s="1"/>
  <c r="DU179" i="38"/>
  <c r="DT179" i="38" a="1"/>
  <c r="DT179" i="38" s="1"/>
  <c r="CC177" i="38" a="1"/>
  <c r="CC177" i="38" s="1"/>
  <c r="CB177" i="38" a="1"/>
  <c r="CB177" i="38" s="1"/>
  <c r="DO106" i="38"/>
  <c r="DO98" i="38" s="1"/>
  <c r="DP106" i="38"/>
  <c r="DP98" i="38" s="1"/>
  <c r="BS98" i="38"/>
  <c r="CB106" i="38" a="1"/>
  <c r="CB106" i="38" s="1"/>
  <c r="CC106" i="38" a="1"/>
  <c r="CC106" i="38" s="1"/>
  <c r="DV108" i="38"/>
  <c r="DX108" i="38" s="1"/>
  <c r="EB108" i="38" s="1"/>
  <c r="BU108" i="38" s="1"/>
  <c r="DV29" i="38"/>
  <c r="DX29" i="38" s="1"/>
  <c r="EB29" i="38" s="1"/>
  <c r="BU29" i="38" s="1"/>
  <c r="CB41" i="38" a="1"/>
  <c r="CB41" i="38" s="1"/>
  <c r="CC41" i="38" a="1"/>
  <c r="CC41" i="38" s="1"/>
  <c r="DQ42" i="38"/>
  <c r="DR42" i="38" s="1"/>
  <c r="DT42" i="38" a="1"/>
  <c r="DT42" i="38" s="1"/>
  <c r="CN42" i="38" a="1"/>
  <c r="CN42" i="38" s="1"/>
  <c r="DU42" i="38"/>
  <c r="DS42" i="38" a="1"/>
  <c r="DS42" i="38" s="1"/>
  <c r="DW42" i="38"/>
  <c r="CP42" i="38" a="1"/>
  <c r="CP42" i="38" s="1"/>
  <c r="DY42" i="38" a="1"/>
  <c r="DY42" i="38" s="1"/>
  <c r="EA42" i="38"/>
  <c r="DZ42" i="38" a="1"/>
  <c r="DZ42" i="38" s="1"/>
  <c r="DW45" i="38"/>
  <c r="CP45" i="38" a="1"/>
  <c r="CP45" i="38" s="1"/>
  <c r="DZ45" i="38" a="1"/>
  <c r="DZ45" i="38" s="1"/>
  <c r="DY45" i="38" a="1"/>
  <c r="DY45" i="38" s="1"/>
  <c r="EA45" i="38"/>
  <c r="DU45" i="38"/>
  <c r="DQ45" i="38"/>
  <c r="DR45" i="38" s="1"/>
  <c r="CN45" i="38" a="1"/>
  <c r="CN45" i="38" s="1"/>
  <c r="DS45" i="38" a="1"/>
  <c r="DS45" i="38" s="1"/>
  <c r="DT45" i="38" a="1"/>
  <c r="DT45" i="38" s="1"/>
  <c r="DQ33" i="38"/>
  <c r="DR33" i="38" s="1"/>
  <c r="DS33" i="38" a="1"/>
  <c r="DS33" i="38" s="1"/>
  <c r="BT47" i="38"/>
  <c r="BS37" i="38"/>
  <c r="DU33" i="38"/>
  <c r="DO47" i="38"/>
  <c r="DO37" i="38" s="1"/>
  <c r="DP47" i="38"/>
  <c r="DT33" i="38" a="1"/>
  <c r="DT33" i="38" s="1"/>
  <c r="DP25" i="38"/>
  <c r="DS30" i="38" a="1"/>
  <c r="DS30" i="38" s="1"/>
  <c r="DQ30" i="38"/>
  <c r="DR30" i="38" s="1"/>
  <c r="CN30" i="38" a="1"/>
  <c r="CN30" i="38" s="1"/>
  <c r="DU30" i="38"/>
  <c r="DT30" i="38" a="1"/>
  <c r="DT30" i="38" s="1"/>
  <c r="EA30" i="38"/>
  <c r="CP30" i="38" a="1"/>
  <c r="CP30" i="38" s="1"/>
  <c r="DZ30" i="38" a="1"/>
  <c r="DZ30" i="38" s="1"/>
  <c r="DW30" i="38"/>
  <c r="DY30" i="38" a="1"/>
  <c r="DY30" i="38" s="1"/>
  <c r="BT130" i="38"/>
  <c r="CB131" i="38" a="1"/>
  <c r="CB131" i="38" s="1"/>
  <c r="CN131" i="38" s="1" a="1"/>
  <c r="CN131" i="38" s="1"/>
  <c r="BS90" i="38"/>
  <c r="DP90" i="38"/>
  <c r="DP87" i="38" s="1"/>
  <c r="DO90" i="38"/>
  <c r="DO87" i="38" s="1"/>
  <c r="CN161" i="38" a="1"/>
  <c r="CN161" i="38" s="1"/>
  <c r="DQ161" i="38"/>
  <c r="DQ158" i="38" s="1"/>
  <c r="DT161" i="38" a="1"/>
  <c r="DT161" i="38" s="1"/>
  <c r="DT158" i="38" s="1"/>
  <c r="DU161" i="38"/>
  <c r="DU158" i="38" s="1"/>
  <c r="BS25" i="38"/>
  <c r="DW161" i="38"/>
  <c r="DW158" i="38" s="1"/>
  <c r="CP161" i="38" a="1"/>
  <c r="CP161" i="38" s="1"/>
  <c r="DZ161" i="38" a="1"/>
  <c r="DZ161" i="38" s="1"/>
  <c r="DZ158" i="38" s="1"/>
  <c r="DY161" i="38" a="1"/>
  <c r="DY161" i="38" s="1"/>
  <c r="DY158" i="38" s="1"/>
  <c r="DQ175" i="38"/>
  <c r="DT175" i="38" a="1"/>
  <c r="DT175" i="38" s="1"/>
  <c r="CC81" i="38" a="1"/>
  <c r="CC81" i="38" s="1"/>
  <c r="DY81" i="38" s="1" a="1"/>
  <c r="DY81" i="38" s="1"/>
  <c r="DY80" i="38" s="1"/>
  <c r="CB81" i="38" a="1"/>
  <c r="CB81" i="38" s="1"/>
  <c r="DT81" i="38" s="1" a="1"/>
  <c r="DT81" i="38" s="1"/>
  <c r="DT80" i="38" s="1"/>
  <c r="CP175" i="38" a="1"/>
  <c r="CP175" i="38" s="1"/>
  <c r="DZ175" i="38" a="1"/>
  <c r="DZ175" i="38" s="1"/>
  <c r="DY175" i="38" a="1"/>
  <c r="DY175" i="38" s="1"/>
  <c r="DW175" i="38"/>
  <c r="DS175" i="38" a="1"/>
  <c r="DS175" i="38" s="1"/>
  <c r="CN175" i="38" a="1"/>
  <c r="CN175" i="38" s="1"/>
  <c r="DS35" i="38" a="1"/>
  <c r="DS35" i="38" s="1"/>
  <c r="DQ35" i="38"/>
  <c r="CN35" i="38" a="1"/>
  <c r="CN35" i="38" s="1"/>
  <c r="DU35" i="38"/>
  <c r="DT35" i="38" a="1"/>
  <c r="DT35" i="38" s="1"/>
  <c r="CP35" i="38" a="1"/>
  <c r="CP35" i="38" s="1"/>
  <c r="DW35" i="38"/>
  <c r="DY35" i="38" a="1"/>
  <c r="DY35" i="38" s="1"/>
  <c r="DZ35" i="38" a="1"/>
  <c r="DZ35" i="38" s="1"/>
  <c r="EA35" i="38"/>
  <c r="DS158" i="38"/>
  <c r="DU99" i="38"/>
  <c r="DS99" i="38" a="1"/>
  <c r="DS99" i="38" s="1"/>
  <c r="DQ99" i="38"/>
  <c r="DT99" i="38" a="1"/>
  <c r="DT99" i="38" s="1"/>
  <c r="CN99" i="38" a="1"/>
  <c r="CN99" i="38" s="1"/>
  <c r="EA99" i="38"/>
  <c r="CP99" i="38" a="1"/>
  <c r="CP99" i="38" s="1"/>
  <c r="DY99" i="38" a="1"/>
  <c r="DY99" i="38" s="1"/>
  <c r="DZ99" i="38" a="1"/>
  <c r="DZ99" i="38" s="1"/>
  <c r="DW99" i="38"/>
  <c r="DQ113" i="38"/>
  <c r="CN113" i="38" a="1"/>
  <c r="CN113" i="38" s="1"/>
  <c r="DU113" i="38"/>
  <c r="DU112" i="38" s="1"/>
  <c r="DT113" i="38" a="1"/>
  <c r="DT113" i="38" s="1"/>
  <c r="DS113" i="38" a="1"/>
  <c r="DS113" i="38" s="1"/>
  <c r="DS112" i="38" s="1"/>
  <c r="DY113" i="38" a="1"/>
  <c r="DY113" i="38" s="1"/>
  <c r="DY112" i="38" s="1"/>
  <c r="DW113" i="38"/>
  <c r="DW112" i="38" s="1"/>
  <c r="EA113" i="38"/>
  <c r="EA112" i="38" s="1"/>
  <c r="DZ113" i="38" a="1"/>
  <c r="DZ113" i="38" s="1"/>
  <c r="DZ112" i="38" s="1"/>
  <c r="CP113" i="38" a="1"/>
  <c r="CP113" i="38" s="1"/>
  <c r="DU148" i="38"/>
  <c r="DS148" i="38" a="1"/>
  <c r="DS148" i="38" s="1"/>
  <c r="CN148" i="38" a="1"/>
  <c r="CN148" i="38" s="1"/>
  <c r="DQ148" i="38"/>
  <c r="DR148" i="38" s="1"/>
  <c r="DT148" i="38" a="1"/>
  <c r="DT148" i="38" s="1"/>
  <c r="DZ119" i="38" a="1"/>
  <c r="DZ119" i="38" s="1"/>
  <c r="DZ118" i="38" s="1"/>
  <c r="EA119" i="38"/>
  <c r="EA118" i="38" s="1"/>
  <c r="DW119" i="38"/>
  <c r="DW118" i="38" s="1"/>
  <c r="DY119" i="38" a="1"/>
  <c r="DY119" i="38" s="1"/>
  <c r="DY118" i="38" s="1"/>
  <c r="CP119" i="38" a="1"/>
  <c r="CP119" i="38" s="1"/>
  <c r="DZ164" i="38" a="1"/>
  <c r="DZ164" i="38" s="1"/>
  <c r="EA164" i="38"/>
  <c r="DW164" i="38"/>
  <c r="DY164" i="38" a="1"/>
  <c r="DY164" i="38" s="1"/>
  <c r="CP164" i="38" a="1"/>
  <c r="CP164" i="38" s="1"/>
  <c r="EA158" i="38"/>
  <c r="DT119" i="38" a="1"/>
  <c r="DT119" i="38" s="1"/>
  <c r="DT118" i="38" s="1"/>
  <c r="DQ119" i="38"/>
  <c r="CN119" i="38" a="1"/>
  <c r="CN119" i="38" s="1"/>
  <c r="DU119" i="38"/>
  <c r="DU118" i="38" s="1"/>
  <c r="DS119" i="38" a="1"/>
  <c r="DS119" i="38" s="1"/>
  <c r="DS118" i="38" s="1"/>
  <c r="DU164" i="38"/>
  <c r="DS164" i="38" a="1"/>
  <c r="DS164" i="38" s="1"/>
  <c r="CN164" i="38" a="1"/>
  <c r="CN164" i="38" s="1"/>
  <c r="DT164" i="38" a="1"/>
  <c r="DT164" i="38" s="1"/>
  <c r="DQ164" i="38"/>
  <c r="DV159" i="38"/>
  <c r="DX159" i="38" s="1"/>
  <c r="CN128" i="38" a="1"/>
  <c r="CN128" i="38" s="1"/>
  <c r="DT128" i="38" a="1"/>
  <c r="DT128" i="38" s="1"/>
  <c r="DT127" i="38" s="1"/>
  <c r="DQ128" i="38"/>
  <c r="DS128" i="38" a="1"/>
  <c r="DS128" i="38" s="1"/>
  <c r="DS127" i="38" s="1"/>
  <c r="DU128" i="38"/>
  <c r="DU127" i="38" s="1"/>
  <c r="DW128" i="38"/>
  <c r="DW127" i="38" s="1"/>
  <c r="DY128" i="38" a="1"/>
  <c r="DY128" i="38" s="1"/>
  <c r="DY127" i="38" s="1"/>
  <c r="EA128" i="38"/>
  <c r="EA127" i="38" s="1"/>
  <c r="DZ128" i="38" a="1"/>
  <c r="DZ128" i="38" s="1"/>
  <c r="DZ127" i="38" s="1"/>
  <c r="CP128" i="38" a="1"/>
  <c r="CP128" i="38" s="1"/>
  <c r="CP131" i="38" a="1"/>
  <c r="CP131" i="38" s="1"/>
  <c r="DW131" i="38"/>
  <c r="DW130" i="38" s="1"/>
  <c r="DZ131" i="38" a="1"/>
  <c r="DZ131" i="38" s="1"/>
  <c r="DZ130" i="38" s="1"/>
  <c r="EA131" i="38"/>
  <c r="EA130" i="38" s="1"/>
  <c r="DY131" i="38" a="1"/>
  <c r="DY131" i="38" s="1"/>
  <c r="DY130" i="38" s="1"/>
  <c r="DR88" i="38"/>
  <c r="DV88" i="38" s="1"/>
  <c r="CP134" i="38" a="1"/>
  <c r="CP134" i="38" s="1"/>
  <c r="DZ134" i="38" a="1"/>
  <c r="DZ134" i="38" s="1"/>
  <c r="DZ133" i="38" s="1"/>
  <c r="EA134" i="38"/>
  <c r="EA133" i="38" s="1"/>
  <c r="DW134" i="38"/>
  <c r="DW133" i="38" s="1"/>
  <c r="DY134" i="38" a="1"/>
  <c r="DY134" i="38" s="1"/>
  <c r="DY133" i="38" s="1"/>
  <c r="DW148" i="38"/>
  <c r="DZ148" i="38" a="1"/>
  <c r="DZ148" i="38" s="1"/>
  <c r="CP148" i="38" a="1"/>
  <c r="CP148" i="38" s="1"/>
  <c r="EA148" i="38"/>
  <c r="DY148" i="38" a="1"/>
  <c r="DY148" i="38" s="1"/>
  <c r="DS134" i="38" a="1"/>
  <c r="DS134" i="38" s="1"/>
  <c r="DS133" i="38" s="1"/>
  <c r="DT134" i="38" a="1"/>
  <c r="DT134" i="38" s="1"/>
  <c r="DT133" i="38" s="1"/>
  <c r="DU134" i="38"/>
  <c r="DU133" i="38" s="1"/>
  <c r="CN134" i="38" a="1"/>
  <c r="CN134" i="38" s="1"/>
  <c r="DQ134" i="38"/>
  <c r="DR134" i="38" s="1"/>
  <c r="DR133" i="38" s="1"/>
  <c r="EB26" i="38"/>
  <c r="DV137" i="38"/>
  <c r="DX137" i="38" s="1"/>
  <c r="DQ121" i="38"/>
  <c r="DR122" i="38"/>
  <c r="DV38" i="38"/>
  <c r="EX190" i="38" a="1"/>
  <c r="EX190" i="38" s="1"/>
  <c r="EX7" i="38" s="1"/>
  <c r="D59" i="45" a="1"/>
  <c r="D59" i="45" s="1"/>
  <c r="ED190" i="38" a="1"/>
  <c r="ED190" i="38" s="1"/>
  <c r="EK190" i="38" a="1"/>
  <c r="EK190" i="38" s="1"/>
  <c r="EG190" i="38" a="1"/>
  <c r="EG190" i="38" s="1"/>
  <c r="EH190" i="38" a="1"/>
  <c r="EH190" i="38" s="1"/>
  <c r="EI190" i="38" a="1"/>
  <c r="EI190" i="38" s="1"/>
  <c r="EL190" i="38" a="1"/>
  <c r="EL190" i="38" s="1"/>
  <c r="EJ190" i="38" a="1"/>
  <c r="EJ190" i="38" s="1"/>
  <c r="EF190" i="38" a="1"/>
  <c r="EF190" i="38" s="1"/>
  <c r="DV92" i="38" l="1"/>
  <c r="DX93" i="38"/>
  <c r="DX92" i="38" s="1"/>
  <c r="DQ15" i="38"/>
  <c r="DR20" i="38"/>
  <c r="DR15" i="38" s="1"/>
  <c r="DQ66" i="38"/>
  <c r="DS66" i="38" a="1"/>
  <c r="DS66" i="38" s="1"/>
  <c r="DS49" i="38" s="1"/>
  <c r="DU66" i="38"/>
  <c r="DU49" i="38" s="1"/>
  <c r="CN66" i="38" a="1"/>
  <c r="CN66" i="38" s="1"/>
  <c r="DT66" i="38" a="1"/>
  <c r="DT66" i="38" s="1"/>
  <c r="DT49" i="38" s="1"/>
  <c r="DZ66" i="38" a="1"/>
  <c r="DZ66" i="38" s="1"/>
  <c r="DZ49" i="38" s="1"/>
  <c r="CP66" i="38" a="1"/>
  <c r="CP66" i="38" s="1"/>
  <c r="DW66" i="38"/>
  <c r="DW49" i="38" s="1"/>
  <c r="EA66" i="38"/>
  <c r="EA49" i="38" s="1"/>
  <c r="DY66" i="38" a="1"/>
  <c r="DY66" i="38" s="1"/>
  <c r="DY49" i="38" s="1"/>
  <c r="DV125" i="38"/>
  <c r="DX125" i="38" s="1"/>
  <c r="EB125" i="38" s="1"/>
  <c r="BU125" i="38" s="1"/>
  <c r="DR121" i="38"/>
  <c r="DT112" i="38"/>
  <c r="DV116" i="38"/>
  <c r="DX116" i="38" s="1"/>
  <c r="EB116" i="38" s="1"/>
  <c r="BU116" i="38" s="1"/>
  <c r="DO147" i="38"/>
  <c r="DV143" i="38"/>
  <c r="DX143" i="38" s="1"/>
  <c r="CB141" i="38" a="1"/>
  <c r="CB141" i="38" s="1"/>
  <c r="CC141" i="38" a="1"/>
  <c r="CC141" i="38" s="1"/>
  <c r="DV139" i="38"/>
  <c r="DX139" i="38" s="1"/>
  <c r="EB139" i="38" s="1"/>
  <c r="BU139" i="38" s="1"/>
  <c r="DW154" i="38"/>
  <c r="EA154" i="38"/>
  <c r="CP154" i="38" a="1"/>
  <c r="CP154" i="38" s="1"/>
  <c r="DZ154" i="38" a="1"/>
  <c r="DZ154" i="38" s="1"/>
  <c r="DY154" i="38" a="1"/>
  <c r="DY154" i="38" s="1"/>
  <c r="DT154" i="38" a="1"/>
  <c r="DT154" i="38" s="1"/>
  <c r="DQ154" i="38"/>
  <c r="DR154" i="38" s="1"/>
  <c r="CN154" i="38" a="1"/>
  <c r="CN154" i="38" s="1"/>
  <c r="DU154" i="38"/>
  <c r="DS154" i="38" a="1"/>
  <c r="DS154" i="38" s="1"/>
  <c r="DT152" i="38" a="1"/>
  <c r="DT152" i="38" s="1"/>
  <c r="CN152" i="38" a="1"/>
  <c r="CN152" i="38" s="1"/>
  <c r="DU152" i="38"/>
  <c r="DQ152" i="38"/>
  <c r="DR152" i="38" s="1"/>
  <c r="DS152" i="38" a="1"/>
  <c r="DS152" i="38" s="1"/>
  <c r="EA152" i="38"/>
  <c r="CP152" i="38" a="1"/>
  <c r="CP152" i="38" s="1"/>
  <c r="DZ152" i="38" a="1"/>
  <c r="DZ152" i="38" s="1"/>
  <c r="DY152" i="38" a="1"/>
  <c r="DY152" i="38" s="1"/>
  <c r="DW152" i="38"/>
  <c r="DT150" i="38" a="1"/>
  <c r="DT150" i="38" s="1"/>
  <c r="DS150" i="38" a="1"/>
  <c r="DS150" i="38" s="1"/>
  <c r="DQ150" i="38"/>
  <c r="DR150" i="38" s="1"/>
  <c r="CN150" i="38" a="1"/>
  <c r="CN150" i="38" s="1"/>
  <c r="DU150" i="38"/>
  <c r="DZ150" i="38" a="1"/>
  <c r="DZ150" i="38" s="1"/>
  <c r="DY150" i="38" a="1"/>
  <c r="DY150" i="38" s="1"/>
  <c r="DW150" i="38"/>
  <c r="CP150" i="38" a="1"/>
  <c r="CP150" i="38" s="1"/>
  <c r="EA150" i="38"/>
  <c r="DP147" i="38"/>
  <c r="DZ145" i="38" a="1"/>
  <c r="DZ145" i="38" s="1"/>
  <c r="EA145" i="38"/>
  <c r="CP145" i="38" a="1"/>
  <c r="CP145" i="38" s="1"/>
  <c r="DY145" i="38" a="1"/>
  <c r="DY145" i="38" s="1"/>
  <c r="DW145" i="38"/>
  <c r="DS145" i="38" a="1"/>
  <c r="DS145" i="38" s="1"/>
  <c r="CN145" i="38" a="1"/>
  <c r="CN145" i="38" s="1"/>
  <c r="DU145" i="38"/>
  <c r="DQ145" i="38"/>
  <c r="DT145" i="38" a="1"/>
  <c r="DT145" i="38" s="1"/>
  <c r="CB156" i="38" a="1"/>
  <c r="CB156" i="38" s="1"/>
  <c r="CC156" i="38" a="1"/>
  <c r="CC156" i="38" s="1"/>
  <c r="BT147" i="38"/>
  <c r="DT172" i="38" a="1"/>
  <c r="DT172" i="38" s="1"/>
  <c r="DS172" i="38" a="1"/>
  <c r="DS172" i="38" s="1"/>
  <c r="DQ172" i="38"/>
  <c r="DR172" i="38" s="1"/>
  <c r="CN172" i="38" a="1"/>
  <c r="CN172" i="38" s="1"/>
  <c r="DU172" i="38"/>
  <c r="DZ172" i="38" a="1"/>
  <c r="DZ172" i="38" s="1"/>
  <c r="EA172" i="38"/>
  <c r="CP172" i="38" a="1"/>
  <c r="CP172" i="38" s="1"/>
  <c r="DY172" i="38" a="1"/>
  <c r="DY172" i="38" s="1"/>
  <c r="DW172" i="38"/>
  <c r="EA168" i="38"/>
  <c r="DZ168" i="38" a="1"/>
  <c r="DZ168" i="38" s="1"/>
  <c r="CP168" i="38" a="1"/>
  <c r="CP168" i="38" s="1"/>
  <c r="DW168" i="38"/>
  <c r="DY168" i="38" a="1"/>
  <c r="DY168" i="38" s="1"/>
  <c r="DQ168" i="38"/>
  <c r="DT168" i="38" a="1"/>
  <c r="DT168" i="38" s="1"/>
  <c r="CN168" i="38" a="1"/>
  <c r="CN168" i="38" s="1"/>
  <c r="DS168" i="38" a="1"/>
  <c r="DS168" i="38" s="1"/>
  <c r="DU168" i="38"/>
  <c r="BT170" i="38"/>
  <c r="BS163" i="38"/>
  <c r="DO170" i="38"/>
  <c r="DO163" i="38" s="1"/>
  <c r="DP170" i="38"/>
  <c r="DS166" i="38" a="1"/>
  <c r="DS166" i="38" s="1"/>
  <c r="DU166" i="38"/>
  <c r="DQ166" i="38"/>
  <c r="DR166" i="38" s="1"/>
  <c r="DT166" i="38" a="1"/>
  <c r="DT166" i="38" s="1"/>
  <c r="DQ181" i="38"/>
  <c r="DR181" i="38" s="1"/>
  <c r="CN181" i="38" a="1"/>
  <c r="CN181" i="38" s="1"/>
  <c r="DU181" i="38"/>
  <c r="DT181" i="38" a="1"/>
  <c r="DT181" i="38" s="1"/>
  <c r="DS181" i="38" a="1"/>
  <c r="DS181" i="38" s="1"/>
  <c r="CP181" i="38" a="1"/>
  <c r="CP181" i="38" s="1"/>
  <c r="DZ181" i="38" a="1"/>
  <c r="DZ181" i="38" s="1"/>
  <c r="EA181" i="38"/>
  <c r="DW181" i="38"/>
  <c r="DY181" i="38" a="1"/>
  <c r="DY181" i="38" s="1"/>
  <c r="DV179" i="38"/>
  <c r="DX179" i="38" s="1"/>
  <c r="EB179" i="38" s="1"/>
  <c r="BU179" i="38" s="1"/>
  <c r="DT177" i="38" a="1"/>
  <c r="DT177" i="38" s="1"/>
  <c r="CN177" i="38" a="1"/>
  <c r="CN177" i="38" s="1"/>
  <c r="DU177" i="38"/>
  <c r="DQ177" i="38"/>
  <c r="DR177" i="38" s="1"/>
  <c r="DS177" i="38" a="1"/>
  <c r="DS177" i="38" s="1"/>
  <c r="DZ177" i="38" a="1"/>
  <c r="DZ177" i="38" s="1"/>
  <c r="EA177" i="38"/>
  <c r="DY177" i="38" a="1"/>
  <c r="DY177" i="38" s="1"/>
  <c r="CP177" i="38" a="1"/>
  <c r="CP177" i="38" s="1"/>
  <c r="DW177" i="38"/>
  <c r="CP106" i="38" a="1"/>
  <c r="CP106" i="38" s="1"/>
  <c r="EA106" i="38"/>
  <c r="EA98" i="38" s="1"/>
  <c r="DZ106" i="38" a="1"/>
  <c r="DZ106" i="38" s="1"/>
  <c r="DZ98" i="38" s="1"/>
  <c r="DW106" i="38"/>
  <c r="DW98" i="38" s="1"/>
  <c r="DY106" i="38" a="1"/>
  <c r="DY106" i="38" s="1"/>
  <c r="DY98" i="38" s="1"/>
  <c r="DU106" i="38"/>
  <c r="DU98" i="38" s="1"/>
  <c r="DT106" i="38" a="1"/>
  <c r="DT106" i="38" s="1"/>
  <c r="DT98" i="38" s="1"/>
  <c r="DS106" i="38" a="1"/>
  <c r="DS106" i="38" s="1"/>
  <c r="DS98" i="38" s="1"/>
  <c r="DQ106" i="38"/>
  <c r="DR106" i="38" s="1"/>
  <c r="CN106" i="38" a="1"/>
  <c r="CN106" i="38" s="1"/>
  <c r="CP41" i="38" a="1"/>
  <c r="CP41" i="38" s="1"/>
  <c r="DZ41" i="38" a="1"/>
  <c r="DZ41" i="38" s="1"/>
  <c r="DY41" i="38" a="1"/>
  <c r="DY41" i="38" s="1"/>
  <c r="EA41" i="38"/>
  <c r="DW41" i="38"/>
  <c r="DQ41" i="38"/>
  <c r="DS41" i="38" a="1"/>
  <c r="DS41" i="38" s="1"/>
  <c r="DT41" i="38" a="1"/>
  <c r="DT41" i="38" s="1"/>
  <c r="DU41" i="38"/>
  <c r="CN41" i="38" a="1"/>
  <c r="CN41" i="38" s="1"/>
  <c r="DV42" i="38"/>
  <c r="DX42" i="38" s="1"/>
  <c r="EB42" i="38" s="1"/>
  <c r="BU42" i="38" s="1"/>
  <c r="DR161" i="38"/>
  <c r="DR158" i="38" s="1"/>
  <c r="DQ131" i="38"/>
  <c r="DR131" i="38" s="1"/>
  <c r="DR130" i="38" s="1"/>
  <c r="DV45" i="38"/>
  <c r="DX45" i="38" s="1"/>
  <c r="EB45" i="38" s="1"/>
  <c r="BU45" i="38" s="1"/>
  <c r="DV33" i="38"/>
  <c r="DX33" i="38" s="1"/>
  <c r="EB33" i="38" s="1"/>
  <c r="BU33" i="38" s="1"/>
  <c r="DP37" i="38"/>
  <c r="CC47" i="38" a="1"/>
  <c r="CC47" i="38" s="1"/>
  <c r="CB47" i="38" a="1"/>
  <c r="CB47" i="38" s="1"/>
  <c r="BT37" i="38"/>
  <c r="DV30" i="38"/>
  <c r="DX30" i="38" s="1"/>
  <c r="EB30" i="38" s="1"/>
  <c r="BU30" i="38" s="1"/>
  <c r="DU131" i="38"/>
  <c r="DU130" i="38" s="1"/>
  <c r="DT131" i="38" a="1"/>
  <c r="DT131" i="38" s="1"/>
  <c r="DT130" i="38" s="1"/>
  <c r="DS131" i="38" a="1"/>
  <c r="DS131" i="38" s="1"/>
  <c r="DS130" i="38" s="1"/>
  <c r="BT90" i="38"/>
  <c r="BS87" i="38"/>
  <c r="DS81" i="38" a="1"/>
  <c r="DS81" i="38" s="1"/>
  <c r="DS80" i="38" s="1"/>
  <c r="DS25" i="38"/>
  <c r="DT25" i="38"/>
  <c r="DU25" i="38"/>
  <c r="DW25" i="38"/>
  <c r="DZ25" i="38"/>
  <c r="DY25" i="38"/>
  <c r="EA25" i="38"/>
  <c r="CN81" i="38" a="1"/>
  <c r="CN81" i="38" s="1"/>
  <c r="DR175" i="38"/>
  <c r="DU81" i="38"/>
  <c r="DU80" i="38" s="1"/>
  <c r="DQ81" i="38"/>
  <c r="DQ80" i="38" s="1"/>
  <c r="DZ81" i="38" a="1"/>
  <c r="DZ81" i="38" s="1"/>
  <c r="DZ80" i="38" s="1"/>
  <c r="DW81" i="38"/>
  <c r="DW80" i="38" s="1"/>
  <c r="EA81" i="38"/>
  <c r="EA80" i="38" s="1"/>
  <c r="CP81" i="38" a="1"/>
  <c r="CP81" i="38" s="1"/>
  <c r="DR35" i="38"/>
  <c r="EB159" i="38"/>
  <c r="BU159" i="38" s="1"/>
  <c r="DR99" i="38"/>
  <c r="DQ112" i="38"/>
  <c r="DR113" i="38"/>
  <c r="DX88" i="38"/>
  <c r="EB88" i="38" s="1"/>
  <c r="BU88" i="38" s="1"/>
  <c r="DQ127" i="38"/>
  <c r="DQ133" i="38"/>
  <c r="DV134" i="38"/>
  <c r="DR164" i="38"/>
  <c r="DV148" i="38"/>
  <c r="DQ118" i="38"/>
  <c r="DR119" i="38"/>
  <c r="DR118" i="38" s="1"/>
  <c r="DR128" i="38"/>
  <c r="DR127" i="38" s="1"/>
  <c r="BU26" i="38"/>
  <c r="EB137" i="38"/>
  <c r="DX38" i="38"/>
  <c r="DV122" i="38"/>
  <c r="C15" i="90" a="1"/>
  <c r="C15" i="90" s="1"/>
  <c r="C14" i="90" a="1"/>
  <c r="C14" i="90" s="1"/>
  <c r="C20" i="90" a="1"/>
  <c r="C20" i="90" s="1"/>
  <c r="C13" i="90" a="1"/>
  <c r="C13" i="90" s="1"/>
  <c r="C29" i="90" a="1"/>
  <c r="C29" i="90" s="1"/>
  <c r="C27" i="90" a="1"/>
  <c r="C27" i="90" s="1"/>
  <c r="C28" i="90" a="1"/>
  <c r="C28" i="90" s="1"/>
  <c r="C21" i="90" a="1"/>
  <c r="C21" i="90" s="1"/>
  <c r="C22" i="90" a="1"/>
  <c r="C22" i="90" s="1"/>
  <c r="C30" i="90" a="1"/>
  <c r="C30" i="90" s="1"/>
  <c r="C10" i="90" a="1"/>
  <c r="C10" i="90" s="1"/>
  <c r="C17" i="90" a="1"/>
  <c r="C17" i="90" s="1"/>
  <c r="C8" i="90" a="1"/>
  <c r="C8" i="90" s="1"/>
  <c r="C16" i="90" a="1"/>
  <c r="C16" i="90" s="1"/>
  <c r="C9" i="90" a="1"/>
  <c r="C9" i="90" s="1"/>
  <c r="EB93" i="38" l="1"/>
  <c r="DV20" i="38"/>
  <c r="DX20" i="38" s="1"/>
  <c r="DQ49" i="38"/>
  <c r="DR66" i="38"/>
  <c r="EB143" i="38"/>
  <c r="BU143" i="38" s="1"/>
  <c r="DW141" i="38"/>
  <c r="DW136" i="38" s="1"/>
  <c r="DY141" i="38" a="1"/>
  <c r="DY141" i="38" s="1"/>
  <c r="DY136" i="38" s="1"/>
  <c r="CP141" i="38" a="1"/>
  <c r="CP141" i="38" s="1"/>
  <c r="EA141" i="38"/>
  <c r="EA136" i="38" s="1"/>
  <c r="DZ141" i="38" a="1"/>
  <c r="DZ141" i="38" s="1"/>
  <c r="DZ136" i="38" s="1"/>
  <c r="DS141" i="38" a="1"/>
  <c r="DS141" i="38" s="1"/>
  <c r="DS136" i="38" s="1"/>
  <c r="DQ141" i="38"/>
  <c r="DR141" i="38" s="1"/>
  <c r="DU141" i="38"/>
  <c r="DU136" i="38" s="1"/>
  <c r="CN141" i="38" a="1"/>
  <c r="CN141" i="38" s="1"/>
  <c r="DT141" i="38" a="1"/>
  <c r="DT141" i="38" s="1"/>
  <c r="DT136" i="38" s="1"/>
  <c r="DV154" i="38"/>
  <c r="DX154" i="38" s="1"/>
  <c r="EB154" i="38" s="1"/>
  <c r="BU154" i="38" s="1"/>
  <c r="DV152" i="38"/>
  <c r="DX152" i="38" s="1"/>
  <c r="EB152" i="38" s="1"/>
  <c r="BU152" i="38" s="1"/>
  <c r="DV150" i="38"/>
  <c r="DX150" i="38" s="1"/>
  <c r="EB150" i="38" s="1"/>
  <c r="BU150" i="38" s="1"/>
  <c r="DR145" i="38"/>
  <c r="DU156" i="38"/>
  <c r="DU147" i="38" s="1"/>
  <c r="CN156" i="38" a="1"/>
  <c r="CN156" i="38" s="1"/>
  <c r="DT156" i="38" a="1"/>
  <c r="DT156" i="38" s="1"/>
  <c r="DT147" i="38" s="1"/>
  <c r="DS156" i="38" a="1"/>
  <c r="DS156" i="38" s="1"/>
  <c r="DS147" i="38" s="1"/>
  <c r="DQ156" i="38"/>
  <c r="EA156" i="38"/>
  <c r="EA147" i="38" s="1"/>
  <c r="DY156" i="38" a="1"/>
  <c r="DY156" i="38" s="1"/>
  <c r="DY147" i="38" s="1"/>
  <c r="CP156" i="38" a="1"/>
  <c r="CP156" i="38" s="1"/>
  <c r="DW156" i="38"/>
  <c r="DW147" i="38" s="1"/>
  <c r="DZ156" i="38" a="1"/>
  <c r="DZ156" i="38" s="1"/>
  <c r="DZ147" i="38" s="1"/>
  <c r="DV172" i="38"/>
  <c r="DX172" i="38" s="1"/>
  <c r="EB172" i="38" s="1"/>
  <c r="BU172" i="38" s="1"/>
  <c r="DR168" i="38"/>
  <c r="DV168" i="38" s="1"/>
  <c r="DX168" i="38" s="1"/>
  <c r="EB168" i="38" s="1"/>
  <c r="BU168" i="38" s="1"/>
  <c r="DP163" i="38"/>
  <c r="DV166" i="38"/>
  <c r="DX166" i="38" s="1"/>
  <c r="EB166" i="38" s="1"/>
  <c r="BU166" i="38" s="1"/>
  <c r="CC170" i="38" a="1"/>
  <c r="CC170" i="38" s="1"/>
  <c r="CB170" i="38" a="1"/>
  <c r="CB170" i="38" s="1"/>
  <c r="BT163" i="38"/>
  <c r="DT174" i="38"/>
  <c r="DW174" i="38"/>
  <c r="DR174" i="38"/>
  <c r="DU174" i="38"/>
  <c r="DS174" i="38"/>
  <c r="DY174" i="38"/>
  <c r="EA174" i="38"/>
  <c r="DZ174" i="38"/>
  <c r="DV181" i="38"/>
  <c r="DX181" i="38" s="1"/>
  <c r="EB181" i="38" s="1"/>
  <c r="BU181" i="38" s="1"/>
  <c r="DV177" i="38"/>
  <c r="DX177" i="38" s="1"/>
  <c r="EB177" i="38" s="1"/>
  <c r="BU177" i="38" s="1"/>
  <c r="DQ174" i="38"/>
  <c r="DQ130" i="38"/>
  <c r="DQ98" i="38"/>
  <c r="DV106" i="38"/>
  <c r="DX106" i="38" s="1"/>
  <c r="EB106" i="38" s="1"/>
  <c r="BU106" i="38" s="1"/>
  <c r="DV161" i="38"/>
  <c r="DX161" i="38" s="1"/>
  <c r="DR41" i="38"/>
  <c r="DV41" i="38" s="1"/>
  <c r="DX41" i="38" s="1"/>
  <c r="EB41" i="38" s="1"/>
  <c r="BU41" i="38" s="1"/>
  <c r="DT47" i="38" a="1"/>
  <c r="DT47" i="38" s="1"/>
  <c r="DT37" i="38" s="1"/>
  <c r="DU47" i="38"/>
  <c r="DU37" i="38" s="1"/>
  <c r="DS47" i="38" a="1"/>
  <c r="DS47" i="38" s="1"/>
  <c r="DS37" i="38" s="1"/>
  <c r="DQ47" i="38"/>
  <c r="CN47" i="38" a="1"/>
  <c r="CN47" i="38" s="1"/>
  <c r="DZ47" i="38" a="1"/>
  <c r="DZ47" i="38" s="1"/>
  <c r="DZ37" i="38" s="1"/>
  <c r="DW47" i="38"/>
  <c r="DW37" i="38" s="1"/>
  <c r="CP47" i="38" a="1"/>
  <c r="CP47" i="38" s="1"/>
  <c r="DY47" i="38" a="1"/>
  <c r="DY47" i="38" s="1"/>
  <c r="DY37" i="38" s="1"/>
  <c r="EA47" i="38"/>
  <c r="EA37" i="38" s="1"/>
  <c r="DV131" i="38"/>
  <c r="DV130" i="38" s="1"/>
  <c r="CC90" i="38" a="1"/>
  <c r="CC90" i="38" s="1"/>
  <c r="CB90" i="38" a="1"/>
  <c r="CB90" i="38" s="1"/>
  <c r="BT87" i="38"/>
  <c r="DV175" i="38"/>
  <c r="DX175" i="38" s="1"/>
  <c r="DQ25" i="38"/>
  <c r="DR25" i="38"/>
  <c r="DR81" i="38"/>
  <c r="DR80" i="38" s="1"/>
  <c r="DV35" i="38"/>
  <c r="DX35" i="38" s="1"/>
  <c r="DR98" i="38"/>
  <c r="DV99" i="38"/>
  <c r="DR112" i="38"/>
  <c r="DV113" i="38"/>
  <c r="DV164" i="38"/>
  <c r="DV133" i="38"/>
  <c r="DX134" i="38"/>
  <c r="DX133" i="38" s="1"/>
  <c r="DV128" i="38"/>
  <c r="DX148" i="38"/>
  <c r="DV119" i="38"/>
  <c r="BU137" i="38"/>
  <c r="EB38" i="38"/>
  <c r="DV121" i="38"/>
  <c r="DX122" i="38"/>
  <c r="DX121" i="38" s="1"/>
  <c r="U16" i="90" a="1"/>
  <c r="U16" i="90" s="1"/>
  <c r="U22" i="90" a="1"/>
  <c r="U22" i="90" s="1"/>
  <c r="U27" i="90" a="1"/>
  <c r="U27" i="90" s="1"/>
  <c r="U13" i="90" a="1"/>
  <c r="U13" i="90" s="1"/>
  <c r="U14" i="90" a="1"/>
  <c r="U14" i="90" s="1"/>
  <c r="U17" i="90" a="1"/>
  <c r="U17" i="90" s="1"/>
  <c r="U20" i="90" a="1"/>
  <c r="U20" i="90" s="1"/>
  <c r="U8" i="90" a="1"/>
  <c r="U8" i="90" s="1"/>
  <c r="U15" i="90" a="1"/>
  <c r="U15" i="90" s="1"/>
  <c r="U21" i="90" a="1"/>
  <c r="U21" i="90" s="1"/>
  <c r="U30" i="90" a="1"/>
  <c r="U30" i="90" s="1"/>
  <c r="U29" i="90" a="1"/>
  <c r="U29" i="90" s="1"/>
  <c r="U9" i="90" a="1"/>
  <c r="U9" i="90" s="1"/>
  <c r="U10" i="90" a="1"/>
  <c r="U10" i="90" s="1"/>
  <c r="U28" i="90" a="1"/>
  <c r="U28" i="90" s="1"/>
  <c r="R16" i="90" a="1"/>
  <c r="R16" i="90" s="1"/>
  <c r="R10" i="90" a="1"/>
  <c r="R10" i="90" s="1"/>
  <c r="R15" i="90" a="1"/>
  <c r="R15" i="90" s="1"/>
  <c r="R14" i="90" a="1"/>
  <c r="R14" i="90" s="1"/>
  <c r="R28" i="90" a="1"/>
  <c r="R28" i="90" s="1"/>
  <c r="R21" i="90" a="1"/>
  <c r="R21" i="90" s="1"/>
  <c r="R8" i="90" a="1"/>
  <c r="R8" i="90" s="1"/>
  <c r="R9" i="90" a="1"/>
  <c r="R9" i="90" s="1"/>
  <c r="R20" i="90" a="1"/>
  <c r="R20" i="90" s="1"/>
  <c r="R13" i="90" a="1"/>
  <c r="R13" i="90" s="1"/>
  <c r="R17" i="90" a="1"/>
  <c r="R17" i="90" s="1"/>
  <c r="R29" i="90" a="1"/>
  <c r="R29" i="90" s="1"/>
  <c r="R30" i="90" a="1"/>
  <c r="R30" i="90" s="1"/>
  <c r="R27" i="90" a="1"/>
  <c r="R27" i="90" s="1"/>
  <c r="R22" i="90" a="1"/>
  <c r="R22" i="90" s="1"/>
  <c r="EB92" i="38" l="1"/>
  <c r="BU93" i="38"/>
  <c r="BV92" i="38" s="1"/>
  <c r="BW92" i="38" s="1"/>
  <c r="DV15" i="38"/>
  <c r="EB20" i="38"/>
  <c r="DX15" i="38"/>
  <c r="DV66" i="38"/>
  <c r="DR49" i="38"/>
  <c r="DV141" i="38"/>
  <c r="DX141" i="38" s="1"/>
  <c r="EB141" i="38" s="1"/>
  <c r="BU141" i="38" s="1"/>
  <c r="DQ136" i="38"/>
  <c r="DV145" i="38"/>
  <c r="DR136" i="38"/>
  <c r="DR156" i="38"/>
  <c r="DQ147" i="38"/>
  <c r="DQ170" i="38"/>
  <c r="DS170" i="38" a="1"/>
  <c r="DS170" i="38" s="1"/>
  <c r="DS163" i="38" s="1"/>
  <c r="DU170" i="38"/>
  <c r="DU163" i="38" s="1"/>
  <c r="DT170" i="38" a="1"/>
  <c r="DT170" i="38" s="1"/>
  <c r="DT163" i="38" s="1"/>
  <c r="CN170" i="38" a="1"/>
  <c r="CN170" i="38" s="1"/>
  <c r="CP170" i="38" a="1"/>
  <c r="CP170" i="38" s="1"/>
  <c r="DZ170" i="38" a="1"/>
  <c r="DZ170" i="38" s="1"/>
  <c r="DZ163" i="38" s="1"/>
  <c r="DW170" i="38"/>
  <c r="DW163" i="38" s="1"/>
  <c r="DY170" i="38" a="1"/>
  <c r="DY170" i="38" s="1"/>
  <c r="DY163" i="38" s="1"/>
  <c r="EA170" i="38"/>
  <c r="EA163" i="38" s="1"/>
  <c r="DX174" i="38"/>
  <c r="DV158" i="38"/>
  <c r="DQ37" i="38"/>
  <c r="DR47" i="38"/>
  <c r="DX131" i="38"/>
  <c r="DX130" i="38" s="1"/>
  <c r="DT90" i="38" a="1"/>
  <c r="DT90" i="38" s="1"/>
  <c r="DT87" i="38" s="1"/>
  <c r="DU90" i="38"/>
  <c r="DU87" i="38" s="1"/>
  <c r="CN90" i="38" a="1"/>
  <c r="CN90" i="38" s="1"/>
  <c r="DQ90" i="38"/>
  <c r="DS90" i="38" a="1"/>
  <c r="DS90" i="38" s="1"/>
  <c r="DS87" i="38" s="1"/>
  <c r="DZ90" i="38" a="1"/>
  <c r="DZ90" i="38" s="1"/>
  <c r="DZ87" i="38" s="1"/>
  <c r="DY90" i="38" a="1"/>
  <c r="DY90" i="38" s="1"/>
  <c r="DY87" i="38" s="1"/>
  <c r="DW90" i="38"/>
  <c r="DW87" i="38" s="1"/>
  <c r="EA90" i="38"/>
  <c r="EA87" i="38" s="1"/>
  <c r="CP90" i="38" a="1"/>
  <c r="CP90" i="38" s="1"/>
  <c r="DV174" i="38"/>
  <c r="DV81" i="38"/>
  <c r="DX81" i="38" s="1"/>
  <c r="DX80" i="38" s="1"/>
  <c r="EB175" i="38"/>
  <c r="BU175" i="38" s="1"/>
  <c r="BV174" i="38" s="1"/>
  <c r="BW174" i="38" s="1"/>
  <c r="DV25" i="38"/>
  <c r="EB35" i="38"/>
  <c r="DX25" i="38"/>
  <c r="DX99" i="38"/>
  <c r="DV98" i="38"/>
  <c r="DX113" i="38"/>
  <c r="DX112" i="38" s="1"/>
  <c r="DV112" i="38"/>
  <c r="EB148" i="38"/>
  <c r="BU148" i="38" s="1"/>
  <c r="DV127" i="38"/>
  <c r="DX128" i="38"/>
  <c r="DX127" i="38" s="1"/>
  <c r="EB134" i="38"/>
  <c r="DX164" i="38"/>
  <c r="DV118" i="38"/>
  <c r="DX119" i="38"/>
  <c r="EB161" i="38"/>
  <c r="DX158" i="38"/>
  <c r="BU38" i="38"/>
  <c r="EB122" i="38"/>
  <c r="BU122" i="38" s="1"/>
  <c r="BV121" i="38" s="1"/>
  <c r="BW121" i="38" s="1"/>
  <c r="BU20" i="38" l="1"/>
  <c r="BV15" i="38" s="1"/>
  <c r="BW15" i="38" s="1"/>
  <c r="EB15" i="38"/>
  <c r="DX66" i="38"/>
  <c r="DV49" i="38"/>
  <c r="DX145" i="38"/>
  <c r="DV136" i="38"/>
  <c r="DV156" i="38"/>
  <c r="DR147" i="38"/>
  <c r="DR170" i="38"/>
  <c r="DR163" i="38" s="1"/>
  <c r="DQ163" i="38"/>
  <c r="DV80" i="38"/>
  <c r="EB131" i="38"/>
  <c r="EB130" i="38" s="1"/>
  <c r="DV47" i="38"/>
  <c r="DR37" i="38"/>
  <c r="DR90" i="38"/>
  <c r="DR87" i="38" s="1"/>
  <c r="DQ87" i="38"/>
  <c r="EB174" i="38"/>
  <c r="BU35" i="38"/>
  <c r="BV25" i="38" s="1"/>
  <c r="BW25" i="38" s="1"/>
  <c r="EB25" i="38"/>
  <c r="EB113" i="38"/>
  <c r="BU113" i="38" s="1"/>
  <c r="BV112" i="38" s="1"/>
  <c r="BW112" i="38" s="1"/>
  <c r="DX98" i="38"/>
  <c r="EB99" i="38"/>
  <c r="EB81" i="38"/>
  <c r="BU81" i="38" s="1"/>
  <c r="BV80" i="38" s="1"/>
  <c r="BW80" i="38" s="1"/>
  <c r="BU134" i="38"/>
  <c r="BV133" i="38" s="1"/>
  <c r="BW133" i="38" s="1"/>
  <c r="EB133" i="38"/>
  <c r="DX118" i="38"/>
  <c r="EB119" i="38"/>
  <c r="EB128" i="38"/>
  <c r="EB164" i="38"/>
  <c r="EB121" i="38"/>
  <c r="BU161" i="38"/>
  <c r="BV158" i="38" s="1"/>
  <c r="BW158" i="38" s="1"/>
  <c r="EB158" i="38"/>
  <c r="C3" i="102" a="1"/>
  <c r="C3" i="102" s="1"/>
  <c r="EB66" i="38" l="1"/>
  <c r="DX49" i="38"/>
  <c r="EB145" i="38"/>
  <c r="DX136" i="38"/>
  <c r="DX156" i="38"/>
  <c r="DV147" i="38"/>
  <c r="DV170" i="38"/>
  <c r="DX170" i="38" s="1"/>
  <c r="BU131" i="38"/>
  <c r="BV130" i="38" s="1"/>
  <c r="BW130" i="38" s="1"/>
  <c r="EB112" i="38"/>
  <c r="DX47" i="38"/>
  <c r="DV37" i="38"/>
  <c r="DV90" i="38"/>
  <c r="DX90" i="38" s="1"/>
  <c r="DX87" i="38" s="1"/>
  <c r="EB80" i="38"/>
  <c r="BU99" i="38"/>
  <c r="BV98" i="38" s="1"/>
  <c r="BW98" i="38" s="1"/>
  <c r="EB98" i="38"/>
  <c r="EB127" i="38"/>
  <c r="BU128" i="38"/>
  <c r="BV127" i="38" s="1"/>
  <c r="BW127" i="38" s="1"/>
  <c r="EB118" i="38"/>
  <c r="BU119" i="38"/>
  <c r="BV118" i="38" s="1"/>
  <c r="BW118" i="38" s="1"/>
  <c r="BU164" i="38"/>
  <c r="H3" i="102"/>
  <c r="EB49" i="38" l="1"/>
  <c r="BU66" i="38"/>
  <c r="BV49" i="38" s="1"/>
  <c r="BW49" i="38" s="1"/>
  <c r="BU145" i="38"/>
  <c r="BV136" i="38" s="1"/>
  <c r="BW136" i="38" s="1"/>
  <c r="EB136" i="38"/>
  <c r="EB156" i="38"/>
  <c r="DX147" i="38"/>
  <c r="DV163" i="38"/>
  <c r="EB170" i="38"/>
  <c r="DX163" i="38"/>
  <c r="EB47" i="38"/>
  <c r="DX37" i="38"/>
  <c r="DV87" i="38"/>
  <c r="EB90" i="38"/>
  <c r="CV190" i="38" a="1"/>
  <c r="CV190" i="38" s="1"/>
  <c r="J190" i="38"/>
  <c r="G3" i="102"/>
  <c r="F4" i="102"/>
  <c r="I3" i="102"/>
  <c r="BU156" i="38" l="1"/>
  <c r="BV147" i="38" s="1"/>
  <c r="BW147" i="38" s="1"/>
  <c r="EB147" i="38"/>
  <c r="BU170" i="38"/>
  <c r="BV163" i="38" s="1"/>
  <c r="BW163" i="38" s="1"/>
  <c r="EB163" i="38"/>
  <c r="BU47" i="38"/>
  <c r="BV37" i="38" s="1"/>
  <c r="BW37" i="38" s="1"/>
  <c r="EB37" i="38"/>
  <c r="EB87" i="38"/>
  <c r="BU90" i="38"/>
  <c r="BV87" i="38" s="1"/>
  <c r="BW87" i="38" s="1"/>
  <c r="G4" i="102"/>
  <c r="F5" i="102"/>
  <c r="BX15" i="38" l="1" a="1"/>
  <c r="BX15" i="38" s="1"/>
  <c r="BX49" i="38" a="1"/>
  <c r="BX49" i="38" s="1"/>
  <c r="BX12" i="38" a="1"/>
  <c r="BX12" i="38" s="1"/>
  <c r="G5" i="102"/>
  <c r="F6" i="102"/>
  <c r="C17" i="102" a="1"/>
  <c r="C17" i="102" s="1"/>
  <c r="C20" i="102" a="1"/>
  <c r="C20" i="102" s="1"/>
  <c r="F7" i="102" l="1"/>
  <c r="G6" i="102"/>
  <c r="F8" i="102" l="1"/>
  <c r="G7" i="102"/>
  <c r="C18" i="102" l="1" a="1"/>
  <c r="C18" i="102" s="1"/>
  <c r="C21" i="102" l="1" a="1"/>
  <c r="C21" i="102" s="1"/>
  <c r="C8" i="102" l="1" a="1"/>
  <c r="C8" i="102" s="1"/>
  <c r="H8" i="102" l="1"/>
  <c r="AL190" i="38"/>
  <c r="C9" i="102" l="1" a="1"/>
  <c r="C9" i="102" s="1"/>
  <c r="DA190" i="38" a="1"/>
  <c r="DA190" i="38" s="1"/>
  <c r="H9" i="90" a="1"/>
  <c r="H9" i="90" s="1"/>
  <c r="H8" i="90" a="1"/>
  <c r="H8" i="90" s="1"/>
  <c r="H27" i="90" a="1"/>
  <c r="H27" i="90" s="1"/>
  <c r="H15" i="90" a="1"/>
  <c r="H15" i="90" s="1"/>
  <c r="H10" i="90" a="1"/>
  <c r="H10" i="90" s="1"/>
  <c r="H22" i="90" a="1"/>
  <c r="H22" i="90" s="1"/>
  <c r="H16" i="90" a="1"/>
  <c r="H16" i="90" s="1"/>
  <c r="H29" i="90" a="1"/>
  <c r="H29" i="90" s="1"/>
  <c r="H30" i="90" a="1"/>
  <c r="H30" i="90" s="1"/>
  <c r="H14" i="90" a="1"/>
  <c r="H14" i="90" s="1"/>
  <c r="H13" i="90" a="1"/>
  <c r="H13" i="90" s="1"/>
  <c r="H28" i="90" a="1"/>
  <c r="H28" i="90" s="1"/>
  <c r="H21" i="90" a="1"/>
  <c r="H21" i="90" s="1"/>
  <c r="H20" i="90" a="1"/>
  <c r="H20" i="90" s="1"/>
  <c r="H17" i="90" a="1"/>
  <c r="H17" i="90" s="1"/>
  <c r="I8" i="102"/>
  <c r="F9" i="102"/>
  <c r="G8" i="102"/>
  <c r="AO190" i="38"/>
  <c r="AN190" i="38" s="1"/>
  <c r="D39" i="45"/>
  <c r="E28" i="45" s="1"/>
  <c r="C10" i="102" a="1"/>
  <c r="C10" i="102" s="1"/>
  <c r="DB190" i="38" l="1" a="1"/>
  <c r="DB190" i="38" s="1"/>
  <c r="I20" i="90" a="1"/>
  <c r="I20" i="90" s="1"/>
  <c r="J20" i="90" s="1"/>
  <c r="I16" i="90" a="1"/>
  <c r="I16" i="90" s="1"/>
  <c r="J16" i="90" s="1"/>
  <c r="I17" i="90" a="1"/>
  <c r="I17" i="90" s="1"/>
  <c r="J17" i="90" s="1"/>
  <c r="I29" i="90" a="1"/>
  <c r="I29" i="90" s="1"/>
  <c r="J29" i="90" s="1"/>
  <c r="I21" i="90" a="1"/>
  <c r="I21" i="90" s="1"/>
  <c r="J21" i="90" s="1"/>
  <c r="I30" i="90" a="1"/>
  <c r="I30" i="90" s="1"/>
  <c r="J30" i="90" s="1"/>
  <c r="I27" i="90" a="1"/>
  <c r="I27" i="90" s="1"/>
  <c r="J27" i="90" s="1"/>
  <c r="I14" i="90" a="1"/>
  <c r="I14" i="90" s="1"/>
  <c r="J14" i="90" s="1"/>
  <c r="I9" i="90" a="1"/>
  <c r="I9" i="90" s="1"/>
  <c r="J9" i="90" s="1"/>
  <c r="I22" i="90" a="1"/>
  <c r="I22" i="90" s="1"/>
  <c r="J22" i="90" s="1"/>
  <c r="I8" i="90" a="1"/>
  <c r="I8" i="90" s="1"/>
  <c r="J8" i="90" s="1"/>
  <c r="I13" i="90" a="1"/>
  <c r="I13" i="90" s="1"/>
  <c r="J13" i="90" s="1"/>
  <c r="I10" i="90" a="1"/>
  <c r="I10" i="90" s="1"/>
  <c r="J10" i="90" s="1"/>
  <c r="I15" i="90" a="1"/>
  <c r="I15" i="90" s="1"/>
  <c r="J15" i="90" s="1"/>
  <c r="I28" i="90" a="1"/>
  <c r="I28" i="90" s="1"/>
  <c r="J28" i="90" s="1"/>
  <c r="H9" i="102"/>
  <c r="I9" i="102" s="1"/>
  <c r="H23" i="102"/>
  <c r="I23" i="102" s="1"/>
  <c r="H22" i="102"/>
  <c r="H10" i="102"/>
  <c r="C11" i="102" a="1"/>
  <c r="C11" i="102" s="1"/>
  <c r="AP190" i="38"/>
  <c r="DC190" i="38" a="1"/>
  <c r="DC190" i="38" s="1"/>
  <c r="F14" i="102" l="1"/>
  <c r="G10" i="102"/>
  <c r="F11" i="102"/>
  <c r="I10" i="102"/>
  <c r="F23" i="102"/>
  <c r="F24" i="102" s="1"/>
  <c r="I22" i="102"/>
  <c r="G9" i="102"/>
  <c r="AX190" i="38"/>
  <c r="AU190" i="38"/>
  <c r="DM190" i="38" a="1"/>
  <c r="DM190" i="38" s="1"/>
  <c r="BM190" i="38"/>
  <c r="DD190" i="38" l="1" a="1"/>
  <c r="DD190" i="38" s="1"/>
  <c r="K14" i="90" a="1"/>
  <c r="K14" i="90" s="1"/>
  <c r="K30" i="90" a="1"/>
  <c r="K30" i="90" s="1"/>
  <c r="K17" i="90" a="1"/>
  <c r="K17" i="90" s="1"/>
  <c r="K29" i="90" a="1"/>
  <c r="K29" i="90" s="1"/>
  <c r="K21" i="90" a="1"/>
  <c r="K21" i="90" s="1"/>
  <c r="K9" i="90" a="1"/>
  <c r="K9" i="90" s="1"/>
  <c r="K10" i="90" a="1"/>
  <c r="K10" i="90" s="1"/>
  <c r="K8" i="90" a="1"/>
  <c r="K8" i="90" s="1"/>
  <c r="K28" i="90" a="1"/>
  <c r="K28" i="90" s="1"/>
  <c r="K15" i="90" a="1"/>
  <c r="K15" i="90" s="1"/>
  <c r="K20" i="90" a="1"/>
  <c r="K20" i="90" s="1"/>
  <c r="K27" i="90" a="1"/>
  <c r="K27" i="90" s="1"/>
  <c r="K13" i="90" a="1"/>
  <c r="K13" i="90" s="1"/>
  <c r="K16" i="90" a="1"/>
  <c r="K16" i="90" s="1"/>
  <c r="K22" i="90" a="1"/>
  <c r="K22" i="90" s="1"/>
  <c r="AY190" i="38"/>
  <c r="DG190" i="38" l="1" a="1"/>
  <c r="DG190" i="38" s="1"/>
  <c r="BA190" i="38"/>
  <c r="DE190" i="38" a="1"/>
  <c r="DE190" i="38" s="1"/>
  <c r="BB190" i="38"/>
  <c r="DH190" i="38" a="1"/>
  <c r="DH190" i="38" s="1"/>
  <c r="DJ190" i="38" a="1"/>
  <c r="DJ190" i="38" s="1"/>
  <c r="BF190" i="38"/>
  <c r="BK190" i="38" l="1"/>
  <c r="DL190" i="38" a="1"/>
  <c r="DL190" i="38" s="1"/>
  <c r="BH190" i="38"/>
  <c r="BO190" i="38"/>
  <c r="BD190" i="38"/>
  <c r="DI190" i="38" a="1"/>
  <c r="DI190" i="38" s="1"/>
  <c r="DN190" i="38" l="1" a="1"/>
  <c r="DN190" i="38" s="1"/>
  <c r="DK190" i="38" a="1"/>
  <c r="DK190" i="38" s="1"/>
  <c r="BR190" i="38" l="1"/>
  <c r="DO190" i="38" l="1" a="1"/>
  <c r="DO190" i="38" s="1"/>
  <c r="DP190" i="38" a="1"/>
  <c r="DP190" i="38" s="1"/>
  <c r="DP7" i="38" s="1"/>
  <c r="D40" i="79" l="1" a="1"/>
  <c r="D40" i="79" s="1"/>
  <c r="E29" i="79" s="1"/>
  <c r="D40" i="45" a="1"/>
  <c r="D40" i="45" s="1"/>
  <c r="E29" i="45" s="1"/>
  <c r="D61" i="45" a="1"/>
  <c r="D61" i="45" s="1"/>
  <c r="D62" i="45" s="1"/>
  <c r="D64" i="45" s="1"/>
  <c r="DU190" i="38" l="1" a="1"/>
  <c r="DU190" i="38" s="1"/>
  <c r="AD13" i="90" a="1"/>
  <c r="AD13" i="90" s="1"/>
  <c r="AD20" i="90" a="1"/>
  <c r="AD20" i="90" s="1"/>
  <c r="AD27" i="90" a="1"/>
  <c r="AD27" i="90" s="1"/>
  <c r="AD16" i="90" a="1"/>
  <c r="AD16" i="90" s="1"/>
  <c r="AD8" i="90" a="1"/>
  <c r="AD8" i="90" s="1"/>
  <c r="AD15" i="90" a="1"/>
  <c r="AD15" i="90" s="1"/>
  <c r="AD9" i="90" a="1"/>
  <c r="AD9" i="90" s="1"/>
  <c r="AD14" i="90" a="1"/>
  <c r="AD14" i="90" s="1"/>
  <c r="AD29" i="90" a="1"/>
  <c r="AD29" i="90" s="1"/>
  <c r="AD30" i="90" a="1"/>
  <c r="AD30" i="90" s="1"/>
  <c r="AD10" i="90" a="1"/>
  <c r="AD10" i="90" s="1"/>
  <c r="AD17" i="90" a="1"/>
  <c r="AD17" i="90" s="1"/>
  <c r="AD22" i="90" a="1"/>
  <c r="AD22" i="90" s="1"/>
  <c r="AD28" i="90" a="1"/>
  <c r="AD28" i="90" s="1"/>
  <c r="AD21" i="90" a="1"/>
  <c r="AD21" i="90" s="1"/>
  <c r="X22" i="90" a="1"/>
  <c r="X22" i="90" s="1"/>
  <c r="C23" i="102" a="1"/>
  <c r="C23" i="102" s="1"/>
  <c r="X15" i="90" a="1"/>
  <c r="X15" i="90" s="1"/>
  <c r="X27" i="90" a="1"/>
  <c r="X27" i="90" s="1"/>
  <c r="X9" i="90" a="1"/>
  <c r="X9" i="90" s="1"/>
  <c r="X28" i="90" a="1"/>
  <c r="X28" i="90" s="1"/>
  <c r="X10" i="90" a="1"/>
  <c r="X10" i="90" s="1"/>
  <c r="X14" i="90" a="1"/>
  <c r="X14" i="90" s="1"/>
  <c r="X16" i="90" a="1"/>
  <c r="X16" i="90" s="1"/>
  <c r="X13" i="90" a="1"/>
  <c r="X13" i="90" s="1"/>
  <c r="X29" i="90" a="1"/>
  <c r="X29" i="90" s="1"/>
  <c r="X20" i="90" a="1"/>
  <c r="X20" i="90" s="1"/>
  <c r="X21" i="90" a="1"/>
  <c r="X21" i="90" s="1"/>
  <c r="X17" i="90" a="1"/>
  <c r="X17" i="90" s="1"/>
  <c r="X30" i="90" a="1"/>
  <c r="X30" i="90" s="1"/>
  <c r="X8" i="90" a="1"/>
  <c r="X8" i="90" s="1"/>
  <c r="DT190" i="38" a="1"/>
  <c r="DT190" i="38" s="1"/>
  <c r="AC28" i="90" a="1"/>
  <c r="AC28" i="90" s="1"/>
  <c r="AC16" i="90" a="1"/>
  <c r="AC16" i="90" s="1"/>
  <c r="AC21" i="90" a="1"/>
  <c r="AC21" i="90" s="1"/>
  <c r="AC15" i="90" a="1"/>
  <c r="AC15" i="90" s="1"/>
  <c r="V27" i="90" a="1"/>
  <c r="V27" i="90" s="1"/>
  <c r="AC8" i="90" a="1"/>
  <c r="AC8" i="90" s="1"/>
  <c r="V8" i="90" a="1"/>
  <c r="V8" i="90" s="1"/>
  <c r="AC22" i="90" a="1"/>
  <c r="AC22" i="90" s="1"/>
  <c r="V30" i="90" a="1"/>
  <c r="V30" i="90" s="1"/>
  <c r="AC27" i="90" a="1"/>
  <c r="AC27" i="90" s="1"/>
  <c r="V22" i="90" a="1"/>
  <c r="V22" i="90" s="1"/>
  <c r="AC13" i="90" a="1"/>
  <c r="AC13" i="90" s="1"/>
  <c r="AC10" i="90" a="1"/>
  <c r="AC10" i="90" s="1"/>
  <c r="V28" i="90" a="1"/>
  <c r="V28" i="90" s="1"/>
  <c r="AC14" i="90" a="1"/>
  <c r="AC14" i="90" s="1"/>
  <c r="V9" i="90" a="1"/>
  <c r="V9" i="90" s="1"/>
  <c r="AC20" i="90" a="1"/>
  <c r="AC20" i="90" s="1"/>
  <c r="V10" i="90" a="1"/>
  <c r="V10" i="90" s="1"/>
  <c r="V15" i="90" a="1"/>
  <c r="V15" i="90" s="1"/>
  <c r="V16" i="90" a="1"/>
  <c r="V16" i="90" s="1"/>
  <c r="V21" i="90" a="1"/>
  <c r="V21" i="90" s="1"/>
  <c r="AC29" i="90" a="1"/>
  <c r="AC29" i="90" s="1"/>
  <c r="V20" i="90" a="1"/>
  <c r="V20" i="90" s="1"/>
  <c r="V29" i="90" a="1"/>
  <c r="V29" i="90" s="1"/>
  <c r="V13" i="90" a="1"/>
  <c r="V13" i="90" s="1"/>
  <c r="AC9" i="90" a="1"/>
  <c r="AC9" i="90" s="1"/>
  <c r="AC30" i="90" a="1"/>
  <c r="AC30" i="90" s="1"/>
  <c r="V17" i="90" a="1"/>
  <c r="V17" i="90" s="1"/>
  <c r="AC17" i="90" a="1"/>
  <c r="AC17" i="90" s="1"/>
  <c r="V14" i="90" a="1"/>
  <c r="V14" i="90" s="1"/>
  <c r="W16" i="90" a="1"/>
  <c r="W16" i="90" s="1"/>
  <c r="W13" i="90" a="1"/>
  <c r="W13" i="90" s="1"/>
  <c r="W29" i="90" a="1"/>
  <c r="W29" i="90" s="1"/>
  <c r="W17" i="90" a="1"/>
  <c r="W17" i="90" s="1"/>
  <c r="W22" i="90" a="1"/>
  <c r="W22" i="90" s="1"/>
  <c r="W10" i="90" a="1"/>
  <c r="W10" i="90" s="1"/>
  <c r="W9" i="90" a="1"/>
  <c r="W9" i="90" s="1"/>
  <c r="W15" i="90" a="1"/>
  <c r="W15" i="90" s="1"/>
  <c r="W14" i="90" a="1"/>
  <c r="W14" i="90" s="1"/>
  <c r="W27" i="90" a="1"/>
  <c r="W27" i="90" s="1"/>
  <c r="W28" i="90" a="1"/>
  <c r="W28" i="90" s="1"/>
  <c r="W8" i="90" a="1"/>
  <c r="W8" i="90" s="1"/>
  <c r="W21" i="90" a="1"/>
  <c r="W21" i="90" s="1"/>
  <c r="W30" i="90" a="1"/>
  <c r="W30" i="90" s="1"/>
  <c r="W20" i="90" a="1"/>
  <c r="W20" i="90" s="1"/>
  <c r="EA190" i="38" a="1"/>
  <c r="EA190" i="38" s="1"/>
  <c r="AJ15" i="90" a="1"/>
  <c r="AJ15" i="90" s="1"/>
  <c r="AJ8" i="90" a="1"/>
  <c r="AJ8" i="90" s="1"/>
  <c r="AJ10" i="90" a="1"/>
  <c r="AJ10" i="90" s="1"/>
  <c r="AJ30" i="90" a="1"/>
  <c r="AJ30" i="90" s="1"/>
  <c r="AJ22" i="90" a="1"/>
  <c r="AJ22" i="90" s="1"/>
  <c r="AJ20" i="90" a="1"/>
  <c r="AJ20" i="90" s="1"/>
  <c r="AJ16" i="90" a="1"/>
  <c r="AJ16" i="90" s="1"/>
  <c r="AJ28" i="90" a="1"/>
  <c r="AJ28" i="90" s="1"/>
  <c r="AJ14" i="90" a="1"/>
  <c r="AJ14" i="90" s="1"/>
  <c r="AJ17" i="90" a="1"/>
  <c r="AJ17" i="90" s="1"/>
  <c r="AJ13" i="90" a="1"/>
  <c r="AJ13" i="90" s="1"/>
  <c r="AJ29" i="90" a="1"/>
  <c r="AJ29" i="90" s="1"/>
  <c r="AJ21" i="90" a="1"/>
  <c r="AJ21" i="90" s="1"/>
  <c r="AJ27" i="90" a="1"/>
  <c r="AJ27" i="90" s="1"/>
  <c r="AJ9" i="90" a="1"/>
  <c r="AJ9" i="90" s="1"/>
  <c r="DY190" i="38" a="1"/>
  <c r="DY190" i="38" s="1"/>
  <c r="AH27" i="90" a="1"/>
  <c r="AH27" i="90" s="1"/>
  <c r="AH22" i="90" a="1"/>
  <c r="AH22" i="90" s="1"/>
  <c r="AH16" i="90" a="1"/>
  <c r="AH16" i="90" s="1"/>
  <c r="AH8" i="90" a="1"/>
  <c r="AH8" i="90" s="1"/>
  <c r="AH29" i="90" a="1"/>
  <c r="AH29" i="90" s="1"/>
  <c r="AH28" i="90" a="1"/>
  <c r="AH28" i="90" s="1"/>
  <c r="AH30" i="90" a="1"/>
  <c r="AH30" i="90" s="1"/>
  <c r="AH10" i="90" a="1"/>
  <c r="AH10" i="90" s="1"/>
  <c r="AH14" i="90" a="1"/>
  <c r="AH14" i="90" s="1"/>
  <c r="AH15" i="90" a="1"/>
  <c r="AH15" i="90" s="1"/>
  <c r="AH13" i="90" a="1"/>
  <c r="AH13" i="90" s="1"/>
  <c r="AH21" i="90" a="1"/>
  <c r="AH21" i="90" s="1"/>
  <c r="AH17" i="90" a="1"/>
  <c r="AH17" i="90" s="1"/>
  <c r="AH9" i="90" a="1"/>
  <c r="AH9" i="90" s="1"/>
  <c r="AH20" i="90" a="1"/>
  <c r="AH20" i="90" s="1"/>
  <c r="DZ190" i="38" a="1"/>
  <c r="DZ190" i="38" s="1"/>
  <c r="AI28" i="90" a="1"/>
  <c r="AI28" i="90" s="1"/>
  <c r="AI16" i="90" a="1"/>
  <c r="AI16" i="90" s="1"/>
  <c r="AI9" i="90" a="1"/>
  <c r="AI9" i="90" s="1"/>
  <c r="AI13" i="90" a="1"/>
  <c r="AI13" i="90" s="1"/>
  <c r="AI14" i="90" a="1"/>
  <c r="AI14" i="90" s="1"/>
  <c r="AI17" i="90" a="1"/>
  <c r="AI17" i="90" s="1"/>
  <c r="AI10" i="90" a="1"/>
  <c r="AI10" i="90" s="1"/>
  <c r="AI20" i="90" a="1"/>
  <c r="AI20" i="90" s="1"/>
  <c r="AI15" i="90" a="1"/>
  <c r="AI15" i="90" s="1"/>
  <c r="AI30" i="90" a="1"/>
  <c r="AI30" i="90" s="1"/>
  <c r="AI27" i="90" a="1"/>
  <c r="AI27" i="90" s="1"/>
  <c r="AI8" i="90" a="1"/>
  <c r="AI8" i="90" s="1"/>
  <c r="AI22" i="90" a="1"/>
  <c r="AI22" i="90" s="1"/>
  <c r="AI21" i="90" a="1"/>
  <c r="AI21" i="90" s="1"/>
  <c r="AI29" i="90" a="1"/>
  <c r="AI29" i="90" s="1"/>
  <c r="DW190" i="38" a="1"/>
  <c r="DW190" i="38" s="1"/>
  <c r="AF27" i="90" a="1"/>
  <c r="AF27" i="90" s="1"/>
  <c r="AF22" i="90" a="1"/>
  <c r="AF22" i="90" s="1"/>
  <c r="AF14" i="90" a="1"/>
  <c r="AF14" i="90" s="1"/>
  <c r="AF10" i="90" a="1"/>
  <c r="AF10" i="90" s="1"/>
  <c r="AF30" i="90" a="1"/>
  <c r="AF30" i="90" s="1"/>
  <c r="AF28" i="90" a="1"/>
  <c r="AF28" i="90" s="1"/>
  <c r="AF8" i="90" a="1"/>
  <c r="AF8" i="90" s="1"/>
  <c r="AF13" i="90" a="1"/>
  <c r="AF13" i="90" s="1"/>
  <c r="AF20" i="90" a="1"/>
  <c r="AF20" i="90" s="1"/>
  <c r="AF17" i="90" a="1"/>
  <c r="AF17" i="90" s="1"/>
  <c r="AF15" i="90" a="1"/>
  <c r="AF15" i="90" s="1"/>
  <c r="AF21" i="90" a="1"/>
  <c r="AF21" i="90" s="1"/>
  <c r="AF9" i="90" a="1"/>
  <c r="AF9" i="90" s="1"/>
  <c r="AF16" i="90" a="1"/>
  <c r="AF16" i="90" s="1"/>
  <c r="AF29" i="90" a="1"/>
  <c r="AF29" i="90" s="1"/>
  <c r="DS190" i="38" a="1"/>
  <c r="DS190" i="38" s="1"/>
  <c r="S27" i="90" a="1"/>
  <c r="S27" i="90" s="1"/>
  <c r="S17" i="90" a="1"/>
  <c r="S17" i="90" s="1"/>
  <c r="S15" i="90" a="1"/>
  <c r="S15" i="90" s="1"/>
  <c r="S21" i="90" a="1"/>
  <c r="S21" i="90" s="1"/>
  <c r="AB20" i="90" a="1"/>
  <c r="AB20" i="90" s="1"/>
  <c r="S30" i="90" a="1"/>
  <c r="S30" i="90" s="1"/>
  <c r="S22" i="90" a="1"/>
  <c r="S22" i="90" s="1"/>
  <c r="AB28" i="90" a="1"/>
  <c r="AB28" i="90" s="1"/>
  <c r="AB27" i="90" a="1"/>
  <c r="AB27" i="90" s="1"/>
  <c r="S9" i="90" a="1"/>
  <c r="S9" i="90" s="1"/>
  <c r="AB29" i="90" a="1"/>
  <c r="AB29" i="90" s="1"/>
  <c r="S16" i="90" a="1"/>
  <c r="S16" i="90" s="1"/>
  <c r="AB15" i="90" a="1"/>
  <c r="AB15" i="90" s="1"/>
  <c r="AB16" i="90" a="1"/>
  <c r="AB16" i="90" s="1"/>
  <c r="AB8" i="90" a="1"/>
  <c r="AB8" i="90" s="1"/>
  <c r="S29" i="90" a="1"/>
  <c r="S29" i="90" s="1"/>
  <c r="S28" i="90" a="1"/>
  <c r="S28" i="90" s="1"/>
  <c r="AB17" i="90" a="1"/>
  <c r="AB17" i="90" s="1"/>
  <c r="S10" i="90" a="1"/>
  <c r="S10" i="90" s="1"/>
  <c r="AB14" i="90" a="1"/>
  <c r="AB14" i="90" s="1"/>
  <c r="S13" i="90" a="1"/>
  <c r="S13" i="90" s="1"/>
  <c r="AB13" i="90" a="1"/>
  <c r="AB13" i="90" s="1"/>
  <c r="S8" i="90" a="1"/>
  <c r="S8" i="90" s="1"/>
  <c r="AB22" i="90" a="1"/>
  <c r="AB22" i="90" s="1"/>
  <c r="AB30" i="90" a="1"/>
  <c r="AB30" i="90" s="1"/>
  <c r="S14" i="90" a="1"/>
  <c r="S14" i="90" s="1"/>
  <c r="S20" i="90" a="1"/>
  <c r="S20" i="90" s="1"/>
  <c r="AB21" i="90" a="1"/>
  <c r="AB21" i="90" s="1"/>
  <c r="AB9" i="90" a="1"/>
  <c r="AB9" i="90" s="1"/>
  <c r="AB10" i="90" a="1"/>
  <c r="AB10" i="90" s="1"/>
  <c r="T30" i="90" a="1"/>
  <c r="T30" i="90" s="1"/>
  <c r="T9" i="90" a="1"/>
  <c r="T9" i="90" s="1"/>
  <c r="T27" i="90" a="1"/>
  <c r="T27" i="90" s="1"/>
  <c r="C19" i="102" a="1"/>
  <c r="C19" i="102" s="1"/>
  <c r="T22" i="90" a="1"/>
  <c r="T22" i="90" s="1"/>
  <c r="T15" i="90" a="1"/>
  <c r="T15" i="90" s="1"/>
  <c r="T20" i="90" a="1"/>
  <c r="T20" i="90" s="1"/>
  <c r="T17" i="90" a="1"/>
  <c r="T17" i="90" s="1"/>
  <c r="T21" i="90" a="1"/>
  <c r="T21" i="90" s="1"/>
  <c r="T14" i="90" a="1"/>
  <c r="T14" i="90" s="1"/>
  <c r="T10" i="90" a="1"/>
  <c r="T10" i="90" s="1"/>
  <c r="T28" i="90" a="1"/>
  <c r="T28" i="90" s="1"/>
  <c r="T13" i="90" a="1"/>
  <c r="T13" i="90" s="1"/>
  <c r="T16" i="90" a="1"/>
  <c r="T16" i="90" s="1"/>
  <c r="T29" i="90" a="1"/>
  <c r="T29" i="90" s="1"/>
  <c r="T8" i="90" a="1"/>
  <c r="T8" i="90" s="1"/>
  <c r="DR190" i="38" l="1" a="1"/>
  <c r="DR190" i="38" s="1"/>
  <c r="AA21" i="90" a="1"/>
  <c r="AA21" i="90" s="1"/>
  <c r="AA28" i="90" a="1"/>
  <c r="AA28" i="90" s="1"/>
  <c r="AA22" i="90" a="1"/>
  <c r="AA22" i="90" s="1"/>
  <c r="AA20" i="90" a="1"/>
  <c r="AA20" i="90" s="1"/>
  <c r="AA16" i="90" a="1"/>
  <c r="AA16" i="90" s="1"/>
  <c r="AA15" i="90" a="1"/>
  <c r="AA15" i="90" s="1"/>
  <c r="AA29" i="90" a="1"/>
  <c r="AA29" i="90" s="1"/>
  <c r="AA9" i="90" a="1"/>
  <c r="AA9" i="90" s="1"/>
  <c r="AA17" i="90" a="1"/>
  <c r="AA17" i="90" s="1"/>
  <c r="AA27" i="90" a="1"/>
  <c r="AA27" i="90" s="1"/>
  <c r="AA8" i="90" a="1"/>
  <c r="AA8" i="90" s="1"/>
  <c r="AA10" i="90" a="1"/>
  <c r="AA10" i="90" s="1"/>
  <c r="AA13" i="90" a="1"/>
  <c r="AA13" i="90" s="1"/>
  <c r="AA30" i="90" a="1"/>
  <c r="AA30" i="90" s="1"/>
  <c r="AA14" i="90" a="1"/>
  <c r="AA14" i="90" s="1"/>
  <c r="DQ190" i="38" a="1"/>
  <c r="DQ190" i="38" s="1"/>
  <c r="Z30" i="90" a="1"/>
  <c r="Z30" i="90" s="1"/>
  <c r="Z14" i="90" a="1"/>
  <c r="Z14" i="90" s="1"/>
  <c r="Z8" i="90" a="1"/>
  <c r="Z8" i="90" s="1"/>
  <c r="Z13" i="90" a="1"/>
  <c r="Z13" i="90" s="1"/>
  <c r="Z10" i="90" a="1"/>
  <c r="Z10" i="90" s="1"/>
  <c r="Z29" i="90" a="1"/>
  <c r="Z29" i="90" s="1"/>
  <c r="Z21" i="90" a="1"/>
  <c r="Z21" i="90" s="1"/>
  <c r="Z22" i="90" a="1"/>
  <c r="Z22" i="90" s="1"/>
  <c r="Z15" i="90" a="1"/>
  <c r="Z15" i="90" s="1"/>
  <c r="Z16" i="90" a="1"/>
  <c r="Z16" i="90" s="1"/>
  <c r="Z9" i="90" a="1"/>
  <c r="Z9" i="90" s="1"/>
  <c r="Z20" i="90" a="1"/>
  <c r="Z20" i="90" s="1"/>
  <c r="Z17" i="90" a="1"/>
  <c r="Z17" i="90" s="1"/>
  <c r="Z27" i="90" a="1"/>
  <c r="Z27" i="90" s="1"/>
  <c r="Z28" i="90" a="1"/>
  <c r="Z28" i="90" s="1"/>
  <c r="N13" i="90" a="1"/>
  <c r="N13" i="90" s="1"/>
  <c r="N9" i="90" a="1"/>
  <c r="N9" i="90" s="1"/>
  <c r="N16" i="90" a="1"/>
  <c r="N16" i="90" s="1"/>
  <c r="N28" i="90" a="1"/>
  <c r="N28" i="90" s="1"/>
  <c r="N21" i="90" a="1"/>
  <c r="N21" i="90" s="1"/>
  <c r="N30" i="90" a="1"/>
  <c r="N30" i="90" s="1"/>
  <c r="N20" i="90" a="1"/>
  <c r="N20" i="90" s="1"/>
  <c r="N29" i="90" a="1"/>
  <c r="N29" i="90" s="1"/>
  <c r="N17" i="90" a="1"/>
  <c r="N17" i="90" s="1"/>
  <c r="N15" i="90" a="1"/>
  <c r="N15" i="90" s="1"/>
  <c r="N27" i="90" a="1"/>
  <c r="N27" i="90" s="1"/>
  <c r="N22" i="90" a="1"/>
  <c r="N22" i="90" s="1"/>
  <c r="N14" i="90" a="1"/>
  <c r="N14" i="90" s="1"/>
  <c r="N8" i="90" a="1"/>
  <c r="N8" i="90" s="1"/>
  <c r="N10" i="90" a="1"/>
  <c r="N10" i="90" s="1"/>
  <c r="L27" i="90" a="1"/>
  <c r="L27" i="90" s="1"/>
  <c r="M27" i="90" s="1"/>
  <c r="L17" i="90" a="1"/>
  <c r="L17" i="90" s="1"/>
  <c r="M17" i="90" s="1"/>
  <c r="L21" i="90" a="1"/>
  <c r="L21" i="90" s="1"/>
  <c r="M21" i="90" s="1"/>
  <c r="L9" i="90" a="1"/>
  <c r="L9" i="90" s="1"/>
  <c r="M9" i="90" s="1"/>
  <c r="L29" i="90" a="1"/>
  <c r="L29" i="90" s="1"/>
  <c r="M29" i="90" s="1"/>
  <c r="L20" i="90" a="1"/>
  <c r="L20" i="90" s="1"/>
  <c r="M20" i="90" s="1"/>
  <c r="L14" i="90" a="1"/>
  <c r="L14" i="90" s="1"/>
  <c r="M14" i="90" s="1"/>
  <c r="L15" i="90" a="1"/>
  <c r="L15" i="90" s="1"/>
  <c r="M15" i="90" s="1"/>
  <c r="L30" i="90" a="1"/>
  <c r="L30" i="90" s="1"/>
  <c r="M30" i="90" s="1"/>
  <c r="L22" i="90" a="1"/>
  <c r="L22" i="90" s="1"/>
  <c r="M22" i="90" s="1"/>
  <c r="L8" i="90" a="1"/>
  <c r="L8" i="90" s="1"/>
  <c r="M8" i="90" s="1"/>
  <c r="L16" i="90" a="1"/>
  <c r="L16" i="90" s="1"/>
  <c r="M16" i="90" s="1"/>
  <c r="L28" i="90" a="1"/>
  <c r="L28" i="90" s="1"/>
  <c r="M28" i="90" s="1"/>
  <c r="L10" i="90" a="1"/>
  <c r="L10" i="90" s="1"/>
  <c r="M10" i="90" s="1"/>
  <c r="L13" i="90" a="1"/>
  <c r="L13" i="90" s="1"/>
  <c r="M13" i="90" s="1"/>
  <c r="C12" i="102" a="1"/>
  <c r="C12" i="102" s="1"/>
  <c r="H28" i="102"/>
  <c r="I28" i="102" s="1"/>
  <c r="H18" i="102"/>
  <c r="I18" i="102" s="1"/>
  <c r="H36" i="102"/>
  <c r="I36" i="102" s="1"/>
  <c r="H26" i="102"/>
  <c r="I26" i="102" s="1"/>
  <c r="H16" i="102"/>
  <c r="I16" i="102" s="1"/>
  <c r="AE20" i="90" l="1"/>
  <c r="AE21" i="90"/>
  <c r="AE9" i="90"/>
  <c r="AE17" i="90"/>
  <c r="AE22" i="90"/>
  <c r="AE16" i="90"/>
  <c r="AE10" i="90"/>
  <c r="AE13" i="90"/>
  <c r="AE8" i="90"/>
  <c r="DV190" i="38"/>
  <c r="DV7" i="38" s="1"/>
  <c r="AE29" i="90"/>
  <c r="AE14" i="90"/>
  <c r="AE15" i="90"/>
  <c r="AE30" i="90"/>
  <c r="C22" i="102" a="1"/>
  <c r="C22" i="102" s="1"/>
  <c r="H11" i="102"/>
  <c r="C13" i="102" a="1"/>
  <c r="C13" i="102" s="1"/>
  <c r="H12" i="102" s="1"/>
  <c r="I12" i="102" s="1"/>
  <c r="DX190" i="38" l="1" a="1"/>
  <c r="DX190" i="38" s="1"/>
  <c r="EB190" i="38" s="1"/>
  <c r="EB7" i="38" s="1"/>
  <c r="AG9" i="90" a="1"/>
  <c r="AG9" i="90" s="1"/>
  <c r="AG22" i="90" a="1"/>
  <c r="AG22" i="90" s="1"/>
  <c r="AG15" i="90" a="1"/>
  <c r="AG15" i="90" s="1"/>
  <c r="AG8" i="90" a="1"/>
  <c r="AG8" i="90" s="1"/>
  <c r="AG29" i="90" a="1"/>
  <c r="AG29" i="90" s="1"/>
  <c r="AG10" i="90" a="1"/>
  <c r="AG10" i="90" s="1"/>
  <c r="AG27" i="90" a="1"/>
  <c r="AG27" i="90" s="1"/>
  <c r="AG28" i="90" a="1"/>
  <c r="AG28" i="90" s="1"/>
  <c r="AG17" i="90" a="1"/>
  <c r="AG17" i="90" s="1"/>
  <c r="AG21" i="90" a="1"/>
  <c r="AG21" i="90" s="1"/>
  <c r="AG30" i="90" a="1"/>
  <c r="AG30" i="90" s="1"/>
  <c r="AG16" i="90" a="1"/>
  <c r="AG16" i="90" s="1"/>
  <c r="AG20" i="90" a="1"/>
  <c r="AG20" i="90" s="1"/>
  <c r="AG13" i="90" a="1"/>
  <c r="AG13" i="90" s="1"/>
  <c r="AG14" i="90" a="1"/>
  <c r="AG14" i="90" s="1"/>
  <c r="O9" i="90" a="1"/>
  <c r="O9" i="90" s="1"/>
  <c r="P9" i="90" s="1"/>
  <c r="Q9" i="90" s="1"/>
  <c r="Y9" i="90" s="1"/>
  <c r="O20" i="90" a="1"/>
  <c r="O20" i="90" s="1"/>
  <c r="P20" i="90" s="1"/>
  <c r="Q20" i="90" s="1"/>
  <c r="Y20" i="90" s="1"/>
  <c r="O17" i="90" a="1"/>
  <c r="O17" i="90" s="1"/>
  <c r="P17" i="90" s="1"/>
  <c r="Q17" i="90" s="1"/>
  <c r="Y17" i="90" s="1"/>
  <c r="O21" i="90" a="1"/>
  <c r="O21" i="90" s="1"/>
  <c r="P21" i="90" s="1"/>
  <c r="Q21" i="90" s="1"/>
  <c r="Y21" i="90" s="1"/>
  <c r="O22" i="90" a="1"/>
  <c r="O22" i="90" s="1"/>
  <c r="P22" i="90" s="1"/>
  <c r="Q22" i="90" s="1"/>
  <c r="Y22" i="90" s="1"/>
  <c r="O27" i="90" a="1"/>
  <c r="O27" i="90" s="1"/>
  <c r="P27" i="90" s="1"/>
  <c r="Q27" i="90" s="1"/>
  <c r="Y27" i="90" s="1"/>
  <c r="AE27" i="90" s="1"/>
  <c r="O29" i="90" a="1"/>
  <c r="O29" i="90" s="1"/>
  <c r="P29" i="90" s="1"/>
  <c r="Q29" i="90" s="1"/>
  <c r="Y29" i="90" s="1"/>
  <c r="O30" i="90" a="1"/>
  <c r="O30" i="90" s="1"/>
  <c r="P30" i="90" s="1"/>
  <c r="Q30" i="90" s="1"/>
  <c r="Y30" i="90" s="1"/>
  <c r="O8" i="90" a="1"/>
  <c r="O8" i="90" s="1"/>
  <c r="P8" i="90" s="1"/>
  <c r="Q8" i="90" s="1"/>
  <c r="Y8" i="90" s="1"/>
  <c r="O28" i="90" a="1"/>
  <c r="O28" i="90" s="1"/>
  <c r="P28" i="90" s="1"/>
  <c r="Q28" i="90" s="1"/>
  <c r="Y28" i="90" s="1"/>
  <c r="AE28" i="90" s="1"/>
  <c r="O14" i="90" a="1"/>
  <c r="O14" i="90" s="1"/>
  <c r="P14" i="90" s="1"/>
  <c r="Q14" i="90" s="1"/>
  <c r="Y14" i="90" s="1"/>
  <c r="O10" i="90" a="1"/>
  <c r="O10" i="90" s="1"/>
  <c r="P10" i="90" s="1"/>
  <c r="Q10" i="90" s="1"/>
  <c r="Y10" i="90" s="1"/>
  <c r="O16" i="90" a="1"/>
  <c r="O16" i="90" s="1"/>
  <c r="P16" i="90" s="1"/>
  <c r="Q16" i="90" s="1"/>
  <c r="Y16" i="90" s="1"/>
  <c r="C14" i="102" a="1"/>
  <c r="C14" i="102" s="1"/>
  <c r="H13" i="102" s="1"/>
  <c r="I13" i="102" s="1"/>
  <c r="O13" i="90" a="1"/>
  <c r="O13" i="90" s="1"/>
  <c r="P13" i="90" s="1"/>
  <c r="Q13" i="90" s="1"/>
  <c r="Y13" i="90" s="1"/>
  <c r="O15" i="90" a="1"/>
  <c r="O15" i="90" s="1"/>
  <c r="P15" i="90" s="1"/>
  <c r="Q15" i="90" s="1"/>
  <c r="Y15" i="90" s="1"/>
  <c r="I11" i="102"/>
  <c r="F12" i="102"/>
  <c r="G11" i="102"/>
  <c r="H17" i="102"/>
  <c r="I17" i="102" s="1"/>
  <c r="H27" i="102"/>
  <c r="I27" i="102" s="1"/>
  <c r="H35" i="102"/>
  <c r="AK16" i="90" l="1"/>
  <c r="AL16" i="90" s="1"/>
  <c r="AK17" i="90"/>
  <c r="AL17" i="90" s="1"/>
  <c r="AK15" i="90"/>
  <c r="AL15" i="90" s="1"/>
  <c r="AK13" i="90"/>
  <c r="AL13" i="90" s="1"/>
  <c r="AK14" i="90"/>
  <c r="AL14" i="90" s="1"/>
  <c r="AK21" i="90"/>
  <c r="AL21" i="90" s="1"/>
  <c r="AK22" i="90"/>
  <c r="AL22" i="90" s="1"/>
  <c r="AK20" i="90"/>
  <c r="AL20" i="90" s="1"/>
  <c r="AK9" i="90"/>
  <c r="AL9" i="90" s="1"/>
  <c r="AK10" i="90"/>
  <c r="AL10" i="90" s="1"/>
  <c r="AK8" i="90"/>
  <c r="AL8" i="90" s="1"/>
  <c r="F36" i="102"/>
  <c r="H37" i="102"/>
  <c r="I37" i="102" s="1"/>
  <c r="I35" i="102"/>
  <c r="F13" i="102"/>
  <c r="G13" i="102" s="1"/>
  <c r="G12" i="102"/>
  <c r="AK30" i="90"/>
  <c r="AL30" i="90" s="1"/>
  <c r="AK27" i="90"/>
  <c r="AL27" i="90" s="1"/>
  <c r="AK28" i="90"/>
  <c r="AL28" i="90" s="1"/>
  <c r="AK29" i="90"/>
  <c r="AL29" i="90" s="1"/>
  <c r="C15" i="102"/>
  <c r="H14" i="102" l="1"/>
  <c r="H24" i="102"/>
  <c r="C16" i="102"/>
  <c r="BW190" i="38"/>
  <c r="C7" i="38" s="1"/>
  <c r="C24" i="102" l="1"/>
  <c r="H15" i="102"/>
  <c r="I24" i="102"/>
  <c r="H25" i="102"/>
  <c r="I14" i="102"/>
  <c r="G14" i="102"/>
  <c r="I25" i="102" l="1"/>
  <c r="F26" i="102"/>
  <c r="F27" i="102" s="1"/>
  <c r="F28" i="102" s="1"/>
  <c r="H29" i="102"/>
  <c r="I29" i="102" s="1"/>
  <c r="F16" i="102"/>
  <c r="I15" i="102"/>
  <c r="G15" i="102"/>
  <c r="H19" i="102"/>
  <c r="G19" i="102" l="1"/>
  <c r="I19" i="102"/>
  <c r="F17" i="102"/>
  <c r="G16" i="102"/>
  <c r="F18" i="102" l="1"/>
  <c r="G18" i="102" s="1"/>
  <c r="G17" i="10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Knoll, Maximilian</author>
    <author>Jawaid, Abdul</author>
  </authors>
  <commentList>
    <comment ref="AJ4" authorId="0" shapeId="0" xr:uid="{93D77A32-CA84-46DD-8891-D96ED90F3FB8}">
      <text>
        <r>
          <rPr>
            <sz val="9"/>
            <color indexed="81"/>
            <rFont val="Segoe UI"/>
            <family val="2"/>
          </rPr>
          <t>Scrap 
before this production step</t>
        </r>
      </text>
    </comment>
    <comment ref="AW4" authorId="0" shapeId="0" xr:uid="{C94930A4-D701-4AFA-BCAB-0D22D6746C9F}">
      <text>
        <r>
          <rPr>
            <sz val="9"/>
            <color indexed="81"/>
            <rFont val="Segoe UI"/>
            <family val="2"/>
          </rPr>
          <t>Scrap 
before this production step</t>
        </r>
      </text>
    </comment>
    <comment ref="F29" authorId="1" shapeId="0" xr:uid="{6EA0C454-9CA5-4582-A4AF-7D1E8B44C5D5}">
      <text>
        <r>
          <rPr>
            <b/>
            <sz val="9"/>
            <color indexed="81"/>
            <rFont val="Segoe UI"/>
            <family val="2"/>
          </rPr>
          <t>PCB assembly</t>
        </r>
        <r>
          <rPr>
            <sz val="9"/>
            <color indexed="81"/>
            <rFont val="Segoe UI"/>
            <family val="2"/>
          </rPr>
          <t>_x000D_
Resistors qty: 52_x000D_
Capacitor qty: 33_x000D_
Other bead parts qty: 7_x000D_
Bigger standard components qty: 15_x000D_
IC+Connectors qty: 3_x000D_
Field of application: universal_x000D_
longest length of SMD component: L=max40mm_x000D_
_x000D_
§§§SR-0013-Tool1:C4:237:C5:74:F12:2:C30:52:C31:33:C32:7:C35:15:C36:3:C48:universal:C50:L=max40mm:</t>
        </r>
      </text>
    </comment>
    <comment ref="F30" authorId="1" shapeId="0" xr:uid="{FF6812A9-5FAE-4D26-AE4C-D6DD685277EC}">
      <text>
        <r>
          <rPr>
            <b/>
            <sz val="9"/>
            <color indexed="81"/>
            <rFont val="Segoe UI"/>
            <family val="2"/>
          </rPr>
          <t>PCB assembly</t>
        </r>
        <r>
          <rPr>
            <sz val="9"/>
            <color indexed="81"/>
            <rFont val="Segoe UI"/>
            <family val="2"/>
          </rPr>
          <t>_x000D_
Resistors qty: no_x000D_
Capacitor qty: no_x000D_
Other bead parts qty: no_x000D_
Bigger standard components qty: 1_x000D_
IC+Connectors qty: no_x000D_
Field of application: universal_x000D_
longest length of SMD component: L=max40mm_x000D_
_x000D_
§§§SR-0013-Tool1:C4:237:C5:74:F12:2:C30:0:C31:0:C32:0:C35:1:C36:0:C48:universal:C50:L=max40mm:</t>
        </r>
      </text>
    </comment>
    <comment ref="S30" authorId="1" shapeId="0" xr:uid="{FE909246-68FE-402D-86FB-004B74EF1959}">
      <text>
        <r>
          <rPr>
            <b/>
            <sz val="9"/>
            <color indexed="81"/>
            <rFont val="Segoe UI"/>
            <family val="2"/>
          </rPr>
          <t>Jawaid, Abdul:</t>
        </r>
        <r>
          <rPr>
            <sz val="9"/>
            <color indexed="81"/>
            <rFont val="Segoe UI"/>
            <family val="2"/>
          </rPr>
          <t xml:space="preserve">
Only 1 part supply</t>
        </r>
      </text>
    </comment>
    <comment ref="F33" authorId="1" shapeId="0" xr:uid="{84C33721-52C4-4B0E-BEC7-88BC39A6E420}">
      <text>
        <r>
          <rPr>
            <b/>
            <sz val="9"/>
            <color indexed="81"/>
            <rFont val="Segoe UI"/>
            <family val="2"/>
          </rPr>
          <t>Jawaid, Abdul:</t>
        </r>
        <r>
          <rPr>
            <sz val="9"/>
            <color indexed="81"/>
            <rFont val="Segoe UI"/>
            <family val="2"/>
          </rPr>
          <t xml:space="preserve">
mashine 40mm/s + insert and taking time</t>
        </r>
      </text>
    </comment>
    <comment ref="F35" authorId="1" shapeId="0" xr:uid="{0CE2B7DE-1A42-481A-B8B7-B02575F54989}">
      <text>
        <r>
          <rPr>
            <b/>
            <sz val="9"/>
            <color indexed="81"/>
            <rFont val="Segoe UI"/>
            <family val="2"/>
          </rPr>
          <t>Jawaid, Abdul:</t>
        </r>
        <r>
          <rPr>
            <sz val="9"/>
            <color indexed="81"/>
            <rFont val="Segoe UI"/>
            <family val="2"/>
          </rPr>
          <t xml:space="preserve">
Insert = 3 Sec
Testing = 0,1sec per piece=11 sec
Take out = 3 Sec
7 seconds to max. 20 seconds per use (depending on the BT)</t>
        </r>
      </text>
    </comment>
    <comment ref="F41" authorId="1" shapeId="0" xr:uid="{72DCB97D-2980-4686-8042-A05E5945363D}">
      <text>
        <r>
          <rPr>
            <b/>
            <sz val="9"/>
            <color indexed="81"/>
            <rFont val="Segoe UI"/>
            <family val="2"/>
          </rPr>
          <t>PCB assembly</t>
        </r>
        <r>
          <rPr>
            <sz val="9"/>
            <color indexed="81"/>
            <rFont val="Segoe UI"/>
            <family val="2"/>
          </rPr>
          <t>_x000D_
Resistors qty: 39_x000D_
Capacitor qty: 27_x000D_
Other bead parts qty: 4_x000D_
Bigger standard components qty: 5_x000D_
IC+Connectors qty: 6_x000D_
Field of application: universal_x000D_
longest length of SMD component: L=max40mm_x000D_
_x000D_
§§§SR-0013-Tool1:C4:91:C5:55:F12:2:C30:39:C31:27:C32:4:C35:5:C36:6:C48:universal:C50:L=max40mm:</t>
        </r>
      </text>
    </comment>
    <comment ref="F42" authorId="1" shapeId="0" xr:uid="{A2D1C6F7-384A-4480-B49F-6422DE5C26C3}">
      <text>
        <r>
          <rPr>
            <b/>
            <sz val="9"/>
            <color indexed="81"/>
            <rFont val="Segoe UI"/>
            <family val="2"/>
          </rPr>
          <t>PCB assembly</t>
        </r>
        <r>
          <rPr>
            <sz val="9"/>
            <color indexed="81"/>
            <rFont val="Segoe UI"/>
            <family val="2"/>
          </rPr>
          <t>_x000D_
Resistors qty: 51_x000D_
Capacitor qty: 78_x000D_
Other bead parts qty: 3_x000D_
Bigger standard components qty: 5_x000D_
IC+Connectors qty: 3_x000D_
Field of application: universal_x000D_
longest length of SMD component: L=max40mm_x000D_
_x000D_
§§§SR-0013-Tool1:C4:91:C5:55:F12:2:C30:51:C31:78:C32:3:C35:5:C36:3:C48:universal:C50:L=max40mm:</t>
        </r>
      </text>
    </comment>
    <comment ref="S42" authorId="1" shapeId="0" xr:uid="{FA70E05E-8877-4172-BD2B-3DE66E5D9B17}">
      <text>
        <r>
          <rPr>
            <b/>
            <sz val="9"/>
            <color indexed="81"/>
            <rFont val="Segoe UI"/>
            <family val="2"/>
          </rPr>
          <t>Jawaid, Abdul:</t>
        </r>
        <r>
          <rPr>
            <sz val="9"/>
            <color indexed="81"/>
            <rFont val="Segoe UI"/>
            <family val="2"/>
          </rPr>
          <t xml:space="preserve">
Similar parts
</t>
        </r>
      </text>
    </comment>
    <comment ref="F45" authorId="1" shapeId="0" xr:uid="{977DC426-7A2F-4EE3-A6C5-9A13FCACA251}">
      <text>
        <r>
          <rPr>
            <b/>
            <sz val="9"/>
            <color indexed="81"/>
            <rFont val="Segoe UI"/>
            <family val="2"/>
          </rPr>
          <t>Jawaid, Abdul:</t>
        </r>
        <r>
          <rPr>
            <sz val="9"/>
            <color indexed="81"/>
            <rFont val="Segoe UI"/>
            <family val="2"/>
          </rPr>
          <t xml:space="preserve">
mashine 40mm/s + insert and taking time</t>
        </r>
      </text>
    </comment>
    <comment ref="F47" authorId="1" shapeId="0" xr:uid="{F5A32322-29C9-4EE3-905B-066E86C14D53}">
      <text>
        <r>
          <rPr>
            <b/>
            <sz val="9"/>
            <color indexed="81"/>
            <rFont val="Segoe UI"/>
            <family val="2"/>
          </rPr>
          <t>Jawaid, Abdul:</t>
        </r>
        <r>
          <rPr>
            <sz val="9"/>
            <color indexed="81"/>
            <rFont val="Segoe UI"/>
            <family val="2"/>
          </rPr>
          <t xml:space="preserve">
Insert = 3 Sec
Testing = 0,1sec per piece=218 part= 21,8 sec
Take out = 3 Sec
7 seconds to max. 20 seconds per use (depending on the BT)</t>
        </r>
      </text>
    </comment>
    <comment ref="F90" authorId="1" shapeId="0" xr:uid="{706AD106-6695-4887-A139-61C857A8998D}">
      <text>
        <r>
          <rPr>
            <b/>
            <sz val="9"/>
            <color indexed="81"/>
            <rFont val="Segoe UI"/>
            <family val="2"/>
          </rPr>
          <t>Injection Molding</t>
        </r>
        <r>
          <rPr>
            <sz val="9"/>
            <color indexed="81"/>
            <rFont val="Segoe UI"/>
            <family val="2"/>
          </rPr>
          <t>_x000D_
Material: PA 6_x000D_
Weight: 6,7 g_x000D_
Wall thickness: 0,6 mm_x000D_
_x000D_
§§§SR-0099-Tool1:D7:PA 6:D8:spritzblank (technisch):D9:Standard:D10:gering:D11:mittel:D12:6.7:D13:□ - Rechteckig:D14:172.8:D15:41.3:D16:11.4:D17:0.6:D18:30:D19::D20:2:D21:=F21:D22:Freifallend:D23:4:D26::D27:=F27:D28:=F28:D29:=F29:D30:=F30:D31:=F31:D32:=F32:D92:M:F41:Automotive:F42:system supplier:F43:125000:F44:7:F45:80:F46:80:F48:Deutschland:F49:250:F50:3:G36:aus ACT Import:G41:Industrie:G42:system supplier:G43:800000:G44::G45:80:G46:80:G48:China:G49:300:G50:3:</t>
        </r>
      </text>
    </comment>
    <comment ref="AR100" authorId="1" shapeId="0" xr:uid="{21F31A8E-DF77-49B4-8FE7-0BBD3029FC1A}">
      <text>
        <r>
          <rPr>
            <b/>
            <sz val="9"/>
            <color indexed="81"/>
            <rFont val="Segoe UI"/>
            <family val="2"/>
          </rPr>
          <t>Jawaid, Abdul:</t>
        </r>
        <r>
          <rPr>
            <sz val="9"/>
            <color indexed="81"/>
            <rFont val="Segoe UI"/>
            <family val="2"/>
          </rPr>
          <t xml:space="preserve">
Assumption of 0,1 gm
</t>
        </r>
      </text>
    </comment>
    <comment ref="F103" authorId="1" shapeId="0" xr:uid="{733B3752-0436-4169-A5DF-47F0CECC39EF}">
      <text>
        <r>
          <rPr>
            <b/>
            <sz val="9"/>
            <color indexed="81"/>
            <rFont val="Segoe UI"/>
            <family val="2"/>
          </rPr>
          <t>PCB assembly</t>
        </r>
        <r>
          <rPr>
            <sz val="9"/>
            <color indexed="81"/>
            <rFont val="Segoe UI"/>
            <family val="2"/>
          </rPr>
          <t>_x000D_
Resistors qty: 28_x000D_
Capacitor qty: 32_x000D_
Other bead parts qty: no_x000D_
Bigger standard components qty: 6_x000D_
IC+Connectors qty: 1_x000D_
Field of application: universal_x000D_
longest length of SMD component: L=max40mm_x000D_
_x000D_
§§§SR-0013-Tool1:C4:85:C5:76.6:F12:2:C30:28:C31:32:C32:0:C35:6:C36:1:C48:universal:C50:L=max40mm:</t>
        </r>
      </text>
    </comment>
    <comment ref="S103" authorId="1" shapeId="0" xr:uid="{654C7C91-980C-4221-BF6C-B0C0AC687377}">
      <text>
        <r>
          <rPr>
            <b/>
            <sz val="9"/>
            <color indexed="81"/>
            <rFont val="Segoe UI"/>
            <family val="2"/>
          </rPr>
          <t>Jawaid, Abdul:</t>
        </r>
        <r>
          <rPr>
            <sz val="9"/>
            <color indexed="81"/>
            <rFont val="Segoe UI"/>
            <family val="2"/>
          </rPr>
          <t xml:space="preserve">
Similar Parts</t>
        </r>
      </text>
    </comment>
    <comment ref="F106" authorId="1" shapeId="0" xr:uid="{99D5906E-1CF6-40DC-A4EE-5D412042F826}">
      <text>
        <r>
          <rPr>
            <b/>
            <sz val="9"/>
            <color indexed="81"/>
            <rFont val="Segoe UI"/>
            <family val="2"/>
          </rPr>
          <t>Jawaid, Abdul:</t>
        </r>
        <r>
          <rPr>
            <sz val="9"/>
            <color indexed="81"/>
            <rFont val="Segoe UI"/>
            <family val="2"/>
          </rPr>
          <t xml:space="preserve">
mashine 40mm/s + insert and taking time</t>
        </r>
      </text>
    </comment>
    <comment ref="F108" authorId="1" shapeId="0" xr:uid="{C211D040-8259-4636-8E4C-40648C7D651A}">
      <text>
        <r>
          <rPr>
            <b/>
            <sz val="9"/>
            <color indexed="81"/>
            <rFont val="Segoe UI"/>
            <family val="2"/>
          </rPr>
          <t>Jawaid, Abdul:</t>
        </r>
        <r>
          <rPr>
            <sz val="9"/>
            <color indexed="81"/>
            <rFont val="Segoe UI"/>
            <family val="2"/>
          </rPr>
          <t xml:space="preserve">
Insert = 3 Sec
Testing = 0,1sec per piece=67 part= 6,7 sec
Take out = 3 Sec
7 seconds to max. 20 seconds per use (depending on the BT)</t>
        </r>
      </text>
    </comment>
    <comment ref="F110" authorId="1" shapeId="0" xr:uid="{8D343D96-B65D-44C4-9B4E-60BE4BAB23A9}">
      <text>
        <r>
          <rPr>
            <b/>
            <sz val="9"/>
            <color indexed="81"/>
            <rFont val="Segoe UI"/>
            <family val="2"/>
          </rPr>
          <t>Jawaid, Abdul:</t>
        </r>
        <r>
          <rPr>
            <sz val="9"/>
            <color indexed="81"/>
            <rFont val="Segoe UI"/>
            <family val="2"/>
          </rPr>
          <t xml:space="preserve">
Base Film come = 2sec
Glue dropped = 1 sec
Flex PCB Place = 2 sec
unloading = 1 sec</t>
        </r>
      </text>
    </comment>
    <comment ref="F139" authorId="1" shapeId="0" xr:uid="{8DAACF62-B338-423F-B969-5573DF784FDF}">
      <text>
        <r>
          <rPr>
            <b/>
            <sz val="9"/>
            <color indexed="81"/>
            <rFont val="Segoe UI"/>
            <family val="2"/>
          </rPr>
          <t>Jawaid, Abdul:</t>
        </r>
        <r>
          <rPr>
            <sz val="9"/>
            <color indexed="81"/>
            <rFont val="Segoe UI"/>
            <family val="2"/>
          </rPr>
          <t xml:space="preserve">
300kg/h
5kg/min
0,0833kg/sec
83,33g/sec
Weight of Part 0,0003kg=0,3gm
=&gt;but sheet making hole then stamped
so take unstamped</t>
        </r>
      </text>
    </comment>
    <comment ref="F145" authorId="1" shapeId="0" xr:uid="{5D6BAF34-C762-4A4C-9268-ED10DA5C4430}">
      <text>
        <r>
          <rPr>
            <b/>
            <sz val="9"/>
            <color indexed="81"/>
            <rFont val="Segoe UI"/>
            <family val="2"/>
          </rPr>
          <t>Jawaid, Abdul:</t>
        </r>
        <r>
          <rPr>
            <sz val="9"/>
            <color indexed="81"/>
            <rFont val="Segoe UI"/>
            <family val="2"/>
          </rPr>
          <t xml:space="preserve">
450m/min,7500mm/s
165mm part
1 sec 45 part</t>
        </r>
      </text>
    </comment>
    <comment ref="F150" authorId="1" shapeId="0" xr:uid="{E5639937-4676-4984-824F-2C8E3BC75BBD}">
      <text>
        <r>
          <rPr>
            <b/>
            <sz val="9"/>
            <color indexed="81"/>
            <rFont val="Segoe UI"/>
            <family val="2"/>
          </rPr>
          <t>Jawaid, Abdul:</t>
        </r>
        <r>
          <rPr>
            <sz val="9"/>
            <color indexed="81"/>
            <rFont val="Segoe UI"/>
            <family val="2"/>
          </rPr>
          <t xml:space="preserve">
300kg/h
5kg/min
0,0833kg/sec
83,33g/sec
Weight of Part 0,0009kg=0,9gm
=&gt;92,5 part per sec</t>
        </r>
      </text>
    </comment>
    <comment ref="F156" authorId="1" shapeId="0" xr:uid="{DFCC7004-1ADB-4305-8D56-CE4E8AB88E29}">
      <text>
        <r>
          <rPr>
            <b/>
            <sz val="9"/>
            <color indexed="81"/>
            <rFont val="Segoe UI"/>
            <family val="2"/>
          </rPr>
          <t>Jawaid, Abdul:</t>
        </r>
        <r>
          <rPr>
            <sz val="9"/>
            <color indexed="81"/>
            <rFont val="Segoe UI"/>
            <family val="2"/>
          </rPr>
          <t xml:space="preserve">
450m/min,7500mm/s
165mm part
1 sec 45 part</t>
        </r>
      </text>
    </comment>
    <comment ref="F161" authorId="1" shapeId="0" xr:uid="{FDB0771F-CCAC-4348-A0BF-19EF37302639}">
      <text>
        <r>
          <rPr>
            <b/>
            <sz val="9"/>
            <color indexed="81"/>
            <rFont val="Segoe UI"/>
            <family val="2"/>
          </rPr>
          <t>Injection Molding</t>
        </r>
        <r>
          <rPr>
            <sz val="9"/>
            <color indexed="81"/>
            <rFont val="Segoe UI"/>
            <family val="2"/>
          </rPr>
          <t>_x000D_
Material: PC glasklar_x000D_
Weight: 15 g_x000D_
Wall thickness: 2,2 mm_x000D_
_x000D_
§§§SR-0099-Tool1:D7:PC glasklar:D8:spritzblank (technisch):D9:Standard:D10:mittel:D11:mittel:D12:15:D13:□ - Rechteckig:D14:165:D15:36:D16:2.2:D17:2.2:D18:100:D19::D20:3:D21:=F21:D22:Freifallend:D23::D26::D27:=F27:D28:=F28:D29:=F29:D30:=F30:D31:=F31:D32:=F32:D92:M:F41:Automotive:F42:system supplier:F43:125000:F44:7:F45:80:F46:80:F48:Deutschland:F49:250:F50:3:G36:aus ACT Import:G41:Industrie:G42:system supplier:G43:214285.714285714:G44:7:G45:80:G46:80:G48:Deutschland:G49:250:G50:3:</t>
        </r>
      </text>
    </comment>
    <comment ref="F166" authorId="1" shapeId="0" xr:uid="{1878D2AB-1D9F-461A-BFB7-BB4CD48C514A}">
      <text>
        <r>
          <rPr>
            <b/>
            <sz val="9"/>
            <color indexed="81"/>
            <rFont val="Segoe UI"/>
            <family val="2"/>
          </rPr>
          <t>Jawaid, Abdul:</t>
        </r>
        <r>
          <rPr>
            <sz val="9"/>
            <color indexed="81"/>
            <rFont val="Segoe UI"/>
            <family val="2"/>
          </rPr>
          <t xml:space="preserve">
300kg/h
5kg/min
0,0833kg/sec
83,33g/sec
Weight of Part 0,002kg=2gm
=&gt;41,6 part per sec</t>
        </r>
      </text>
    </comment>
    <comment ref="F172" authorId="1" shapeId="0" xr:uid="{1F6D5B9C-F47D-4A60-83B5-8ACB030EB331}">
      <text>
        <r>
          <rPr>
            <b/>
            <sz val="9"/>
            <color indexed="81"/>
            <rFont val="Segoe UI"/>
            <family val="2"/>
          </rPr>
          <t>Jawaid, Abdul:</t>
        </r>
        <r>
          <rPr>
            <sz val="9"/>
            <color indexed="81"/>
            <rFont val="Segoe UI"/>
            <family val="2"/>
          </rPr>
          <t xml:space="preserve">
450m/min,7500mm/s
165mm part
1 sec 45 part</t>
        </r>
      </text>
    </comment>
    <comment ref="F177" authorId="1" shapeId="0" xr:uid="{BF533351-CD78-43DF-A667-98AF19F68DEB}">
      <text>
        <r>
          <rPr>
            <b/>
            <sz val="9"/>
            <color indexed="81"/>
            <rFont val="Segoe UI"/>
            <family val="2"/>
          </rPr>
          <t>Jawaid, Abdul:</t>
        </r>
        <r>
          <rPr>
            <sz val="9"/>
            <color indexed="81"/>
            <rFont val="Segoe UI"/>
            <family val="2"/>
          </rPr>
          <t xml:space="preserve">
300kg/h
5kg/min
0,0833kg/sec
83,33g/sec
Weight of Part 0,001kg=1gm
=&gt;83 part per sec</t>
        </r>
      </text>
    </comment>
    <comment ref="F183" authorId="1" shapeId="0" xr:uid="{30AC4329-414C-4A82-8C28-C7AAA31643BE}">
      <text>
        <r>
          <rPr>
            <b/>
            <sz val="9"/>
            <color indexed="81"/>
            <rFont val="Segoe UI"/>
            <family val="2"/>
          </rPr>
          <t>Jawaid, Abdul:</t>
        </r>
        <r>
          <rPr>
            <sz val="9"/>
            <color indexed="81"/>
            <rFont val="Segoe UI"/>
            <family val="2"/>
          </rPr>
          <t xml:space="preserve">
450m/min,7500mm/s
165mm part
1 sec 45 part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Jawaid, Abdul</author>
  </authors>
  <commentList>
    <comment ref="G7" authorId="0" shapeId="0" xr:uid="{96AC85DD-AB4E-48AF-9426-55B46590542D}">
      <text>
        <r>
          <rPr>
            <b/>
            <sz val="9"/>
            <color indexed="81"/>
            <rFont val="Segoe UI"/>
            <family val="2"/>
          </rPr>
          <t>Jawaid, Abdul:</t>
        </r>
        <r>
          <rPr>
            <sz val="9"/>
            <color indexed="81"/>
            <rFont val="Segoe UI"/>
            <family val="2"/>
          </rPr>
          <t xml:space="preserve">
38,6 + 1(bend) +1 + 2,5 extra +2,5</t>
        </r>
      </text>
    </comment>
    <comment ref="G8" authorId="0" shapeId="0" xr:uid="{DF82E1D2-DABD-4D01-9E96-6DB7366191D2}">
      <text>
        <r>
          <rPr>
            <b/>
            <sz val="9"/>
            <color indexed="81"/>
            <rFont val="Segoe UI"/>
            <family val="2"/>
          </rPr>
          <t>Jawaid, Abdul:</t>
        </r>
        <r>
          <rPr>
            <sz val="9"/>
            <color indexed="81"/>
            <rFont val="Segoe UI"/>
            <family val="2"/>
          </rPr>
          <t xml:space="preserve">
43+2+2 bend+2,5+2,5 extra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Knoll, Maximilian</author>
    <author>Jawaid, Abdul</author>
  </authors>
  <commentList>
    <comment ref="R5" authorId="0" shapeId="0" xr:uid="{C93A7126-1A68-4F7C-A1D4-526974F747D6}">
      <text>
        <r>
          <rPr>
            <sz val="9"/>
            <color indexed="81"/>
            <rFont val="Segoe UI"/>
            <family val="2"/>
          </rPr>
          <t>Jun 21 - Nov 21</t>
        </r>
      </text>
    </comment>
    <comment ref="B11" authorId="1" shapeId="0" xr:uid="{55B981EC-E05C-4DEF-93ED-7BE57A5BD2A3}">
      <text>
        <r>
          <rPr>
            <b/>
            <sz val="9"/>
            <color indexed="81"/>
            <rFont val="Segoe UI"/>
            <family val="2"/>
          </rPr>
          <t>Schraube M3x6</t>
        </r>
        <r>
          <rPr>
            <sz val="9"/>
            <color indexed="81"/>
            <rFont val="Segoe UI"/>
            <family val="2"/>
          </rPr>
          <t>_x000D_
Standard part: Schraube_x000D_
Nominal size: M3x6_x000D_
Packaging unit: 50000 pcs_x000D_
Version: Außensechskant_x000D_
Type: galvanisch verzinkt_x000D_
_x000D_
§§§MPR-0501:N3:Schraube:N4:M3x6:N5:50000:N6:Außensechskant:N7:galvanisch verzinkt:</t>
        </r>
      </text>
    </comment>
    <comment ref="B17" authorId="1" shapeId="0" xr:uid="{E39D7948-EE51-4B28-8EE1-81161A3B03C3}">
      <text>
        <r>
          <rPr>
            <b/>
            <sz val="9"/>
            <color indexed="81"/>
            <rFont val="Segoe UI"/>
            <family val="2"/>
          </rPr>
          <t>PA Natur Standard</t>
        </r>
        <r>
          <rPr>
            <sz val="9"/>
            <color indexed="81"/>
            <rFont val="Segoe UI"/>
            <family val="2"/>
          </rPr>
          <t>_x000D_
Base material: PA_x000D_
Quantity: 1to - 5to to_x000D_
Color: Natur_x000D_
Requirement: Standard_x000D_
_x000D_
§§§MPR-0301:B4:PA:C4:1to - 5to:E4:0:E5:0:E6:0:E7:nein:E8:nein:F4:Natur:G4:Standard:Zeitpunkt:45366:</t>
        </r>
      </text>
    </comment>
    <comment ref="B18" authorId="1" shapeId="0" xr:uid="{B4468D04-21A9-4069-A8B9-FD919DBB36DC}">
      <text>
        <r>
          <rPr>
            <b/>
            <sz val="9"/>
            <color indexed="81"/>
            <rFont val="Segoe UI"/>
            <family val="2"/>
          </rPr>
          <t>PC Natur Standard</t>
        </r>
        <r>
          <rPr>
            <sz val="9"/>
            <color indexed="81"/>
            <rFont val="Segoe UI"/>
            <family val="2"/>
          </rPr>
          <t>_x000D_
Base material: PC_x000D_
Quantity: 5to - 20to to_x000D_
Color: Natur_x000D_
Requirement: Standard_x000D_
_x000D_
§§§MPR-0301:B4:PC:C4:5to - 20to:E4:0:E5:0:E6:0:E7:nein:E8:nein:F4:Natur:G4:Standard:Zeitpunkt:45366:</t>
        </r>
      </text>
    </comment>
    <comment ref="E23" authorId="1" shapeId="0" xr:uid="{730E5F31-9A09-4ABD-AFFD-30391B157E69}">
      <text>
        <r>
          <rPr>
            <b/>
            <sz val="9"/>
            <color indexed="81"/>
            <rFont val="Segoe UI"/>
            <family val="2"/>
          </rPr>
          <t>Jawaid, Abdul:</t>
        </r>
        <r>
          <rPr>
            <sz val="9"/>
            <color indexed="81"/>
            <rFont val="Segoe UI"/>
            <family val="2"/>
          </rPr>
          <t xml:space="preserve">
https://schrottpreise-aktuell.org/en/aluminum-price/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Jaufmann, Martin</author>
  </authors>
  <commentList>
    <comment ref="G10" authorId="0" shapeId="0" xr:uid="{FE67E8A0-D1B0-4C87-8EC1-180251F57BE7}">
      <text>
        <r>
          <rPr>
            <b/>
            <sz val="9"/>
            <color indexed="81"/>
            <rFont val="Segoe UI"/>
            <family val="2"/>
          </rPr>
          <t>Jaufmann, Martin:</t>
        </r>
        <r>
          <rPr>
            <sz val="9"/>
            <color indexed="81"/>
            <rFont val="Segoe UI"/>
            <family val="2"/>
          </rPr>
          <t xml:space="preserve">
kann angepasst werden</t>
        </r>
      </text>
    </comment>
    <comment ref="C11" authorId="0" shapeId="0" xr:uid="{771ECF06-4558-4DA3-B5C6-0682DE322F56}">
      <text>
        <r>
          <rPr>
            <b/>
            <sz val="9"/>
            <color indexed="81"/>
            <rFont val="Segoe UI"/>
            <family val="2"/>
          </rPr>
          <t>Jaufmann, Martin:</t>
        </r>
        <r>
          <rPr>
            <sz val="9"/>
            <color indexed="81"/>
            <rFont val="Segoe UI"/>
            <family val="2"/>
          </rPr>
          <t xml:space="preserve">
&gt;= 70% ist eine gute Yield Rate</t>
        </r>
      </text>
    </comment>
    <comment ref="G18" authorId="0" shapeId="0" xr:uid="{CBC73F97-461F-4CBE-BB21-7049D4BFD8F4}">
      <text>
        <r>
          <rPr>
            <b/>
            <sz val="9"/>
            <color indexed="81"/>
            <rFont val="Segoe UI"/>
            <family val="2"/>
          </rPr>
          <t>Jaufmann, Martin:</t>
        </r>
        <r>
          <rPr>
            <sz val="9"/>
            <color indexed="81"/>
            <rFont val="Segoe UI"/>
            <family val="2"/>
          </rPr>
          <t xml:space="preserve">
usable length = 1 inch shorter than panel size
1 inch is needed for handling panel</t>
        </r>
      </text>
    </comment>
    <comment ref="H18" authorId="0" shapeId="0" xr:uid="{122B98FF-6352-4E74-903A-C9586FC9AEB3}">
      <text>
        <r>
          <rPr>
            <b/>
            <sz val="9"/>
            <color indexed="81"/>
            <rFont val="Segoe UI"/>
            <family val="2"/>
          </rPr>
          <t>Jaufmann, Martin:</t>
        </r>
        <r>
          <rPr>
            <sz val="9"/>
            <color indexed="81"/>
            <rFont val="Segoe UI"/>
            <family val="2"/>
          </rPr>
          <t xml:space="preserve">
usable length = 1 inch shorter than panel size
1 inch is needed for handling panel</t>
        </r>
      </text>
    </comment>
    <comment ref="I18" authorId="0" shapeId="0" xr:uid="{C1219965-DDDF-4C30-9821-55565D458BD5}">
      <text>
        <r>
          <rPr>
            <b/>
            <sz val="9"/>
            <color indexed="81"/>
            <rFont val="Segoe UI"/>
            <family val="2"/>
          </rPr>
          <t>Jaufmann, Martin:</t>
        </r>
        <r>
          <rPr>
            <sz val="9"/>
            <color indexed="81"/>
            <rFont val="Segoe UI"/>
            <family val="2"/>
          </rPr>
          <t xml:space="preserve">
usable length = 1 inch shorter than panel size
1 inch is needed for handling panel</t>
        </r>
      </text>
    </comment>
    <comment ref="J18" authorId="0" shapeId="0" xr:uid="{EE1C811A-FB4D-4974-843D-A280F9379A87}">
      <text>
        <r>
          <rPr>
            <b/>
            <sz val="9"/>
            <color indexed="81"/>
            <rFont val="Segoe UI"/>
            <family val="2"/>
          </rPr>
          <t>Jaufmann, Martin:</t>
        </r>
        <r>
          <rPr>
            <sz val="9"/>
            <color indexed="81"/>
            <rFont val="Segoe UI"/>
            <family val="2"/>
          </rPr>
          <t xml:space="preserve">
usable length = 1 inch shorter than panel size
1 inch is needed for handling panel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Jaufmann, Martin</author>
  </authors>
  <commentList>
    <comment ref="M2" authorId="0" shapeId="0" xr:uid="{B6C16D5F-4E3D-42B8-82CF-7362E6D98D6D}">
      <text>
        <r>
          <rPr>
            <b/>
            <sz val="9"/>
            <color indexed="81"/>
            <rFont val="Segoe UI"/>
            <family val="2"/>
          </rPr>
          <t>Jaufmann, Martin:</t>
        </r>
        <r>
          <rPr>
            <sz val="9"/>
            <color indexed="81"/>
            <rFont val="Segoe UI"/>
            <family val="2"/>
          </rPr>
          <t xml:space="preserve">
see Shortlist</t>
        </r>
      </text>
    </comment>
    <comment ref="H3" authorId="0" shapeId="0" xr:uid="{6999C896-516B-46CD-874D-18F33533D2D9}">
      <text>
        <r>
          <rPr>
            <b/>
            <sz val="9"/>
            <color indexed="81"/>
            <rFont val="Segoe UI"/>
            <family val="2"/>
          </rPr>
          <t>Jaufmann, Martin:</t>
        </r>
        <r>
          <rPr>
            <sz val="9"/>
            <color indexed="81"/>
            <rFont val="Segoe UI"/>
            <family val="2"/>
          </rPr>
          <t xml:space="preserve">
mit Prämissenblatt verknüpfen</t>
        </r>
      </text>
    </comment>
    <comment ref="O3" authorId="0" shapeId="0" xr:uid="{6D56867D-AA03-447C-B7C4-FC34115636F1}">
      <text>
        <r>
          <rPr>
            <sz val="9"/>
            <color indexed="81"/>
            <rFont val="Segoe UI"/>
            <family val="2"/>
          </rPr>
          <t>solder pad = approx. 1x1x0,2mm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Jaufmann, Martin</author>
  </authors>
  <commentList>
    <comment ref="G10" authorId="0" shapeId="0" xr:uid="{C66E7F8C-7076-4DA0-8E3E-9ACA9D5662BF}">
      <text>
        <r>
          <rPr>
            <b/>
            <sz val="9"/>
            <color indexed="81"/>
            <rFont val="Segoe UI"/>
            <family val="2"/>
          </rPr>
          <t>Jaufmann, Martin:</t>
        </r>
        <r>
          <rPr>
            <sz val="9"/>
            <color indexed="81"/>
            <rFont val="Segoe UI"/>
            <family val="2"/>
          </rPr>
          <t xml:space="preserve">
kann angepasst werden</t>
        </r>
      </text>
    </comment>
    <comment ref="C11" authorId="0" shapeId="0" xr:uid="{7F3FBD1F-4984-443D-8EC1-BA30D46EC60F}">
      <text>
        <r>
          <rPr>
            <b/>
            <sz val="9"/>
            <color indexed="81"/>
            <rFont val="Segoe UI"/>
            <family val="2"/>
          </rPr>
          <t>Jaufmann, Martin:</t>
        </r>
        <r>
          <rPr>
            <sz val="9"/>
            <color indexed="81"/>
            <rFont val="Segoe UI"/>
            <family val="2"/>
          </rPr>
          <t xml:space="preserve">
&gt;= 70% ist eine gute Yield Rate</t>
        </r>
      </text>
    </comment>
    <comment ref="G18" authorId="0" shapeId="0" xr:uid="{1182186E-3938-4CCF-B614-09D8C2182BD7}">
      <text>
        <r>
          <rPr>
            <b/>
            <sz val="9"/>
            <color indexed="81"/>
            <rFont val="Segoe UI"/>
            <family val="2"/>
          </rPr>
          <t>Jaufmann, Martin:</t>
        </r>
        <r>
          <rPr>
            <sz val="9"/>
            <color indexed="81"/>
            <rFont val="Segoe UI"/>
            <family val="2"/>
          </rPr>
          <t xml:space="preserve">
usable length = 1 inch shorter than panel size
1 inch is needed for handling panel</t>
        </r>
      </text>
    </comment>
    <comment ref="H18" authorId="0" shapeId="0" xr:uid="{C0A2EFC4-4C5E-4B38-A2D7-39379099D7BD}">
      <text>
        <r>
          <rPr>
            <b/>
            <sz val="9"/>
            <color indexed="81"/>
            <rFont val="Segoe UI"/>
            <family val="2"/>
          </rPr>
          <t>Jaufmann, Martin:</t>
        </r>
        <r>
          <rPr>
            <sz val="9"/>
            <color indexed="81"/>
            <rFont val="Segoe UI"/>
            <family val="2"/>
          </rPr>
          <t xml:space="preserve">
usable length = 1 inch shorter than panel size
1 inch is needed for handling panel</t>
        </r>
      </text>
    </comment>
    <comment ref="I18" authorId="0" shapeId="0" xr:uid="{21814A02-9813-4BD9-BF2D-9E91A8D38AE7}">
      <text>
        <r>
          <rPr>
            <b/>
            <sz val="9"/>
            <color indexed="81"/>
            <rFont val="Segoe UI"/>
            <family val="2"/>
          </rPr>
          <t>Jaufmann, Martin:</t>
        </r>
        <r>
          <rPr>
            <sz val="9"/>
            <color indexed="81"/>
            <rFont val="Segoe UI"/>
            <family val="2"/>
          </rPr>
          <t xml:space="preserve">
usable length = 1 inch shorter than panel size
1 inch is needed for handling panel</t>
        </r>
      </text>
    </comment>
    <comment ref="J18" authorId="0" shapeId="0" xr:uid="{3F4FAD70-FE2D-4AC3-BE5F-EDE3B7B8628F}">
      <text>
        <r>
          <rPr>
            <b/>
            <sz val="9"/>
            <color indexed="81"/>
            <rFont val="Segoe UI"/>
            <family val="2"/>
          </rPr>
          <t>Jaufmann, Martin:</t>
        </r>
        <r>
          <rPr>
            <sz val="9"/>
            <color indexed="81"/>
            <rFont val="Segoe UI"/>
            <family val="2"/>
          </rPr>
          <t xml:space="preserve">
usable length = 1 inch shorter than panel size
1 inch is needed for handling panel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Jaufmann, Martin</author>
  </authors>
  <commentList>
    <comment ref="M2" authorId="0" shapeId="0" xr:uid="{9211EAC3-CF1E-48E1-9B89-2C0FCA237304}">
      <text>
        <r>
          <rPr>
            <b/>
            <sz val="9"/>
            <color indexed="81"/>
            <rFont val="Segoe UI"/>
            <family val="2"/>
          </rPr>
          <t>Jaufmann, Martin:</t>
        </r>
        <r>
          <rPr>
            <sz val="9"/>
            <color indexed="81"/>
            <rFont val="Segoe UI"/>
            <family val="2"/>
          </rPr>
          <t xml:space="preserve">
see Shortlist</t>
        </r>
      </text>
    </comment>
    <comment ref="H3" authorId="0" shapeId="0" xr:uid="{F1492AC8-28CC-4C5C-A14B-45F96AB5A59A}">
      <text>
        <r>
          <rPr>
            <b/>
            <sz val="9"/>
            <color indexed="81"/>
            <rFont val="Segoe UI"/>
            <family val="2"/>
          </rPr>
          <t>Jaufmann, Martin:</t>
        </r>
        <r>
          <rPr>
            <sz val="9"/>
            <color indexed="81"/>
            <rFont val="Segoe UI"/>
            <family val="2"/>
          </rPr>
          <t xml:space="preserve">
mit Prämissenblatt verknüpfen</t>
        </r>
      </text>
    </comment>
    <comment ref="O3" authorId="0" shapeId="0" xr:uid="{4F78FDF2-AEF7-455E-A7B4-59DAB496EB41}">
      <text>
        <r>
          <rPr>
            <sz val="9"/>
            <color indexed="81"/>
            <rFont val="Segoe UI"/>
            <family val="2"/>
          </rPr>
          <t>solder pad = approx. 1x1x0,2mm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Jaufmann, Martin</author>
  </authors>
  <commentList>
    <comment ref="G10" authorId="0" shapeId="0" xr:uid="{C8E2BE35-2CCE-4BF2-97E7-6462AC7A744E}">
      <text>
        <r>
          <rPr>
            <b/>
            <sz val="9"/>
            <color indexed="81"/>
            <rFont val="Segoe UI"/>
            <family val="2"/>
          </rPr>
          <t>Jaufmann, Martin:</t>
        </r>
        <r>
          <rPr>
            <sz val="9"/>
            <color indexed="81"/>
            <rFont val="Segoe UI"/>
            <family val="2"/>
          </rPr>
          <t xml:space="preserve">
kann angepasst werden</t>
        </r>
      </text>
    </comment>
    <comment ref="C11" authorId="0" shapeId="0" xr:uid="{C7D0760F-0DE9-43C0-B29F-BC9B007DC492}">
      <text>
        <r>
          <rPr>
            <b/>
            <sz val="9"/>
            <color indexed="81"/>
            <rFont val="Segoe UI"/>
            <family val="2"/>
          </rPr>
          <t>Jaufmann, Martin:</t>
        </r>
        <r>
          <rPr>
            <sz val="9"/>
            <color indexed="81"/>
            <rFont val="Segoe UI"/>
            <family val="2"/>
          </rPr>
          <t xml:space="preserve">
&gt;= 70% ist eine gute Yield Rate</t>
        </r>
      </text>
    </comment>
    <comment ref="G18" authorId="0" shapeId="0" xr:uid="{9757E237-A672-4BC0-BA21-2F93ECBBB78D}">
      <text>
        <r>
          <rPr>
            <b/>
            <sz val="9"/>
            <color indexed="81"/>
            <rFont val="Segoe UI"/>
            <family val="2"/>
          </rPr>
          <t>Jaufmann, Martin:</t>
        </r>
        <r>
          <rPr>
            <sz val="9"/>
            <color indexed="81"/>
            <rFont val="Segoe UI"/>
            <family val="2"/>
          </rPr>
          <t xml:space="preserve">
usable length = 1 inch shorter than panel size
1 inch is needed for handling panel</t>
        </r>
      </text>
    </comment>
    <comment ref="H18" authorId="0" shapeId="0" xr:uid="{C40EDE0C-8A4E-48DD-A6AA-FFE370DF2380}">
      <text>
        <r>
          <rPr>
            <b/>
            <sz val="9"/>
            <color indexed="81"/>
            <rFont val="Segoe UI"/>
            <family val="2"/>
          </rPr>
          <t>Jaufmann, Martin:</t>
        </r>
        <r>
          <rPr>
            <sz val="9"/>
            <color indexed="81"/>
            <rFont val="Segoe UI"/>
            <family val="2"/>
          </rPr>
          <t xml:space="preserve">
usable length = 1 inch shorter than panel size
1 inch is needed for handling panel</t>
        </r>
      </text>
    </comment>
    <comment ref="I18" authorId="0" shapeId="0" xr:uid="{876D5B22-1D65-40E5-98C5-F469CDE7640B}">
      <text>
        <r>
          <rPr>
            <b/>
            <sz val="9"/>
            <color indexed="81"/>
            <rFont val="Segoe UI"/>
            <family val="2"/>
          </rPr>
          <t>Jaufmann, Martin:</t>
        </r>
        <r>
          <rPr>
            <sz val="9"/>
            <color indexed="81"/>
            <rFont val="Segoe UI"/>
            <family val="2"/>
          </rPr>
          <t xml:space="preserve">
usable length = 1 inch shorter than panel size
1 inch is needed for handling panel</t>
        </r>
      </text>
    </comment>
    <comment ref="J18" authorId="0" shapeId="0" xr:uid="{C7CAF7B9-9370-486A-A766-1D3F0285A2C0}">
      <text>
        <r>
          <rPr>
            <b/>
            <sz val="9"/>
            <color indexed="81"/>
            <rFont val="Segoe UI"/>
            <family val="2"/>
          </rPr>
          <t>Jaufmann, Martin:</t>
        </r>
        <r>
          <rPr>
            <sz val="9"/>
            <color indexed="81"/>
            <rFont val="Segoe UI"/>
            <family val="2"/>
          </rPr>
          <t xml:space="preserve">
usable length = 1 inch shorter than panel size
1 inch is needed for handling panel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Jaufmann, Martin</author>
  </authors>
  <commentList>
    <comment ref="M2" authorId="0" shapeId="0" xr:uid="{539CB79A-823D-438C-9068-D5485AC7F5F0}">
      <text>
        <r>
          <rPr>
            <b/>
            <sz val="9"/>
            <color indexed="81"/>
            <rFont val="Segoe UI"/>
            <family val="2"/>
          </rPr>
          <t>Jaufmann, Martin:</t>
        </r>
        <r>
          <rPr>
            <sz val="9"/>
            <color indexed="81"/>
            <rFont val="Segoe UI"/>
            <family val="2"/>
          </rPr>
          <t xml:space="preserve">
see Shortlist</t>
        </r>
      </text>
    </comment>
    <comment ref="H3" authorId="0" shapeId="0" xr:uid="{ACF68DE8-4271-4541-8D65-9B48E675A36F}">
      <text>
        <r>
          <rPr>
            <b/>
            <sz val="9"/>
            <color indexed="81"/>
            <rFont val="Segoe UI"/>
            <family val="2"/>
          </rPr>
          <t>Jaufmann, Martin:</t>
        </r>
        <r>
          <rPr>
            <sz val="9"/>
            <color indexed="81"/>
            <rFont val="Segoe UI"/>
            <family val="2"/>
          </rPr>
          <t xml:space="preserve">
mit Prämissenblatt verknüpfen</t>
        </r>
      </text>
    </comment>
    <comment ref="O3" authorId="0" shapeId="0" xr:uid="{B07FABEA-9EF2-4DB7-9125-2C49467E2689}">
      <text>
        <r>
          <rPr>
            <sz val="9"/>
            <color indexed="81"/>
            <rFont val="Segoe UI"/>
            <family val="2"/>
          </rPr>
          <t>solder pad = approx. 1x1x0,2mm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Knoll, Maximilian</author>
  </authors>
  <commentList>
    <comment ref="AG5" authorId="0" shapeId="0" xr:uid="{DBF5321F-0F5F-41E8-956E-768C45517260}">
      <text>
        <r>
          <rPr>
            <sz val="9"/>
            <color indexed="81"/>
            <rFont val="Segoe UI"/>
            <family val="2"/>
          </rPr>
          <t>Abschreibung
Verbrauchsmat.
Instandhaltung</t>
        </r>
      </text>
    </comment>
    <comment ref="AK5" authorId="0" shapeId="0" xr:uid="{972F9677-2204-4998-8675-C03101264FA5}">
      <text>
        <r>
          <rPr>
            <sz val="9"/>
            <color indexed="81"/>
            <rFont val="Segoe UI"/>
            <family val="2"/>
          </rPr>
          <t>Abschreibung
Verbrauchsmat.
Instandhaltung</t>
        </r>
      </text>
    </comment>
    <comment ref="AO5" authorId="0" shapeId="0" xr:uid="{8FE6D3C3-563A-4E99-9898-670BB5A32851}">
      <text>
        <r>
          <rPr>
            <sz val="9"/>
            <color indexed="81"/>
            <rFont val="Segoe UI"/>
            <family val="2"/>
          </rPr>
          <t>Abschreibung
Verbrauchsmat.
Instandhaltung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Christoph Regensburger</author>
  </authors>
  <commentList>
    <comment ref="AB5" authorId="0" shapeId="0" xr:uid="{F3B23DCC-B4B0-48E3-BE81-88FB780C47DB}">
      <text>
        <r>
          <rPr>
            <sz val="9"/>
            <color indexed="81"/>
            <rFont val="Segoe UI"/>
            <family val="2"/>
          </rPr>
          <t>bis zu 20x20cm</t>
        </r>
      </text>
    </comment>
    <comment ref="AF5" authorId="0" shapeId="0" xr:uid="{1C6D8CF2-F9BF-4755-BBB4-385D367496CD}">
      <text>
        <r>
          <rPr>
            <sz val="9"/>
            <color indexed="81"/>
            <rFont val="Segoe UI"/>
            <family val="2"/>
          </rPr>
          <t xml:space="preserve">Manueller Spannhebel
</t>
        </r>
      </text>
    </comment>
    <comment ref="AB6" authorId="0" shapeId="0" xr:uid="{C6170CE7-B1CB-4F6C-98C4-E63BBA6AFB30}">
      <text>
        <r>
          <rPr>
            <sz val="9"/>
            <color indexed="81"/>
            <rFont val="Segoe UI"/>
            <family val="2"/>
          </rPr>
          <t>bis zu 20x20cm</t>
        </r>
      </text>
    </comment>
    <comment ref="AF6" authorId="0" shapeId="0" xr:uid="{1FA8F77C-9FED-4F3B-A724-02B3E8C99CF3}">
      <text>
        <r>
          <rPr>
            <sz val="9"/>
            <color indexed="81"/>
            <rFont val="Segoe UI"/>
            <family val="2"/>
          </rPr>
          <t>Spannhebel Pneumatisch</t>
        </r>
      </text>
    </comment>
    <comment ref="AB7" authorId="0" shapeId="0" xr:uid="{38AB07F4-2B52-4993-8394-73AE63AF3FE1}">
      <text>
        <r>
          <rPr>
            <sz val="9"/>
            <color indexed="81"/>
            <rFont val="Segoe UI"/>
            <family val="2"/>
          </rPr>
          <t>bis zu 50x50cm</t>
        </r>
      </text>
    </comment>
    <comment ref="AF7" authorId="0" shapeId="0" xr:uid="{4E7E44B1-1209-474B-9494-1422076A8893}">
      <text>
        <r>
          <rPr>
            <sz val="9"/>
            <color indexed="81"/>
            <rFont val="Segoe UI"/>
            <family val="2"/>
          </rPr>
          <t>Spannhebel Pneumatisch</t>
        </r>
      </text>
    </comment>
    <comment ref="AF9" authorId="0" shapeId="0" xr:uid="{D64428EE-F04A-4D5E-A1AF-2B2357F96FDA}">
      <text>
        <r>
          <rPr>
            <sz val="9"/>
            <color indexed="81"/>
            <rFont val="Segoe UI"/>
            <family val="2"/>
          </rPr>
          <t>Spannpratze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Knoll, Maximilian</author>
  </authors>
  <commentList>
    <comment ref="B45" authorId="0" shapeId="0" xr:uid="{13FE6A8D-83D6-4614-B3E8-CECD4C340D86}">
      <text>
        <r>
          <rPr>
            <sz val="9"/>
            <color indexed="81"/>
            <rFont val="Segoe UI"/>
            <family val="2"/>
          </rPr>
          <t>Scrap 
before this production step</t>
        </r>
      </text>
    </comment>
    <comment ref="C45" authorId="0" shapeId="0" xr:uid="{E20A53CF-EBD0-411A-A9BB-64934B7140DE}">
      <text>
        <r>
          <rPr>
            <sz val="9"/>
            <color indexed="81"/>
            <rFont val="Segoe UI"/>
            <family val="2"/>
          </rPr>
          <t>Ausschuss
vor dieser Fertigungsstufe</t>
        </r>
      </text>
    </comment>
    <comment ref="B140" authorId="0" shapeId="0" xr:uid="{80A57E0B-5009-468C-A1FE-6CF92E687414}">
      <text>
        <r>
          <rPr>
            <sz val="9"/>
            <color indexed="81"/>
            <rFont val="Segoe UI"/>
            <family val="2"/>
          </rPr>
          <t>Purchasing
Incoming goods and quality inspection
Warehouse personnel costs</t>
        </r>
      </text>
    </comment>
    <comment ref="C140" authorId="0" shapeId="0" xr:uid="{6CEB5760-FC5B-407F-AD8D-7889944F091A}">
      <text>
        <r>
          <rPr>
            <sz val="9"/>
            <color indexed="81"/>
            <rFont val="Segoe UI"/>
            <family val="2"/>
          </rPr>
          <t>Einkauf
Wareneingangs- und Qualitätsprüfung
Lagerpersonalkosten</t>
        </r>
      </text>
    </comment>
    <comment ref="B141" authorId="0" shapeId="0" xr:uid="{3C47A97E-A152-410E-9D6A-B3FC728F438C}">
      <text>
        <r>
          <rPr>
            <sz val="9"/>
            <color indexed="81"/>
            <rFont val="Segoe UI"/>
            <family val="2"/>
          </rPr>
          <t>Wage costs purchaser
Workplace costs purchaser</t>
        </r>
      </text>
    </comment>
    <comment ref="C141" authorId="0" shapeId="0" xr:uid="{2445DE58-D316-48BF-9DC8-A18F306A3973}">
      <text>
        <r>
          <rPr>
            <sz val="9"/>
            <color indexed="81"/>
            <rFont val="Segoe UI"/>
            <family val="2"/>
          </rPr>
          <t>Lohnkosten Einkäufer
Arbeitsplatzkosten Einkäufer</t>
        </r>
      </text>
    </comment>
    <comment ref="B142" authorId="0" shapeId="0" xr:uid="{FE55643B-3B34-4281-9B50-6C1F665A1478}">
      <text>
        <r>
          <rPr>
            <sz val="9"/>
            <color indexed="81"/>
            <rFont val="Segoe UI"/>
            <family val="2"/>
          </rPr>
          <t>Wage costs test and quality engineer
Machine costs test stands</t>
        </r>
      </text>
    </comment>
    <comment ref="C142" authorId="0" shapeId="0" xr:uid="{0B8633CD-CDED-42FC-8FBF-70478AD46037}">
      <text>
        <r>
          <rPr>
            <sz val="9"/>
            <color indexed="81"/>
            <rFont val="Segoe UI"/>
            <family val="2"/>
          </rPr>
          <t>Lohnkosten Prüf- und Qualitätsingenieur
Maschinekosten Prüfstände</t>
        </r>
      </text>
    </comment>
    <comment ref="B143" authorId="0" shapeId="0" xr:uid="{459CDAE0-FD75-4E9F-93A4-D934D8916AFD}">
      <text>
        <r>
          <rPr>
            <sz val="9"/>
            <color indexed="81"/>
            <rFont val="Segoe UI"/>
            <family val="2"/>
          </rPr>
          <t>Wage costs warehouse workers
Machine costs warehouse operating equipment</t>
        </r>
      </text>
    </comment>
    <comment ref="C143" authorId="0" shapeId="0" xr:uid="{0BDC8921-4C13-4CC7-9A75-CEE89FA3568C}">
      <text>
        <r>
          <rPr>
            <sz val="9"/>
            <color indexed="81"/>
            <rFont val="Segoe UI"/>
            <family val="2"/>
          </rPr>
          <t>Lohnkosten Lagerarbeiter
Maschinenkosten Lagerbediengeräte</t>
        </r>
      </text>
    </comment>
    <comment ref="B144" authorId="0" shapeId="0" xr:uid="{FDDEE180-07B8-4E00-AD15-571AA5342036}">
      <text>
        <r>
          <rPr>
            <sz val="9"/>
            <color indexed="81"/>
            <rFont val="Segoe UI"/>
            <family val="2"/>
          </rPr>
          <t>Capital commitment
over the stock range</t>
        </r>
      </text>
    </comment>
    <comment ref="C144" authorId="0" shapeId="0" xr:uid="{23C553DA-1222-428F-8B31-C753A187C288}">
      <text>
        <r>
          <rPr>
            <sz val="9"/>
            <color indexed="81"/>
            <rFont val="Segoe UI"/>
            <family val="2"/>
          </rPr>
          <t xml:space="preserve">Kapitalbindung
über die Lagerreichweite
</t>
        </r>
      </text>
    </comment>
    <comment ref="B145" authorId="0" shapeId="0" xr:uid="{C38FAC6A-6BE9-4042-8D5B-FE289D7E6C25}">
      <text>
        <r>
          <rPr>
            <sz val="9"/>
            <color indexed="81"/>
            <rFont val="Segoe UI"/>
            <family val="2"/>
          </rPr>
          <t>Goods insurance
over the stock range</t>
        </r>
      </text>
    </comment>
    <comment ref="C145" authorId="0" shapeId="0" xr:uid="{198B9EDE-E15B-4E55-A782-01C038CCF754}">
      <text>
        <r>
          <rPr>
            <sz val="9"/>
            <color indexed="81"/>
            <rFont val="Segoe UI"/>
            <family val="2"/>
          </rPr>
          <t>Warenversicherung
über die Lagerreichweite</t>
        </r>
      </text>
    </comment>
    <comment ref="B146" authorId="0" shapeId="0" xr:uid="{2572B7DC-C053-4363-8867-83579D9EC422}">
      <text>
        <r>
          <rPr>
            <sz val="9"/>
            <color indexed="81"/>
            <rFont val="Segoe UI"/>
            <family val="2"/>
          </rPr>
          <t>Warehouse costs
Personnel costs warehouse management</t>
        </r>
      </text>
    </comment>
    <comment ref="C146" authorId="0" shapeId="0" xr:uid="{81BF68F6-36D3-42A3-8B2A-5A66A3E8CC6E}">
      <text>
        <r>
          <rPr>
            <sz val="9"/>
            <color indexed="81"/>
            <rFont val="Segoe UI"/>
            <family val="2"/>
          </rPr>
          <t>Lagerplatzkosten
Personalkosten Lagerleitung</t>
        </r>
      </text>
    </comment>
    <comment ref="B147" authorId="0" shapeId="0" xr:uid="{D0A92F2A-DF2B-4EC4-B4C6-127440F3E411}">
      <text>
        <r>
          <rPr>
            <sz val="9"/>
            <color indexed="81"/>
            <rFont val="Segoe UI"/>
            <family val="2"/>
          </rPr>
          <t>Capital commitment
Insurance
Storage space costs</t>
        </r>
      </text>
    </comment>
    <comment ref="C147" authorId="0" shapeId="0" xr:uid="{DC2DD4EE-CE81-4B36-8765-F6106656CD9A}">
      <text>
        <r>
          <rPr>
            <sz val="9"/>
            <color indexed="81"/>
            <rFont val="Segoe UI"/>
            <family val="2"/>
          </rPr>
          <t>Kapitalbindung
Versicherung
Lagerplatzkosten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4141490-2D2C-4AED-A7AD-681CB0F8036F}" keepAlive="1" name="Abfrage - MGK" description="Verbindung mit der Abfrage 'MGK' in der Arbeitsmappe." type="5" refreshedVersion="8" background="1" saveData="1">
    <dbPr connection="Provider=Microsoft.Mashup.OleDb.1;Data Source=$Workbook$;Location=MGK;Extended Properties=&quot;&quot;" command="SELECT * FROM [MGK]"/>
    <extLst>
      <ext xmlns:x15="http://schemas.microsoft.com/office/spreadsheetml/2010/11/main" uri="{DE250136-89BD-433C-8126-D09CA5730AF9}">
        <x15:connection id="" excludeFromRefreshAll="1"/>
      </ext>
    </extLst>
  </connection>
  <connection id="2" xr16:uid="{DCE98DA4-DFF2-4FFE-89FD-47412EC93042}" keepAlive="1" name="Abfrage - MGKMHR" description="Verbindung mit der Abfrage 'MGKMHR' in der Arbeitsmappe." type="5" refreshedVersion="8" background="1" saveData="1">
    <dbPr connection="Provider=Microsoft.Mashup.OleDb.1;Data Source=$Workbook$;Location=MGKMHR;Extended Properties=&quot;&quot;" command="SELECT * FROM [MGKMHR]"/>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<sst xmlns="http://schemas.openxmlformats.org/spreadsheetml/2006/main" count="10917" uniqueCount="4379">
  <si>
    <t>Gesamt</t>
  </si>
  <si>
    <t>MGK</t>
  </si>
  <si>
    <t>Bezeichnung</t>
  </si>
  <si>
    <t>%</t>
  </si>
  <si>
    <t>LGR</t>
  </si>
  <si>
    <t>Faktor
Strom</t>
  </si>
  <si>
    <t>Schichten</t>
  </si>
  <si>
    <t>Arbeitstage
pro Jahr</t>
  </si>
  <si>
    <t>Zeit</t>
  </si>
  <si>
    <t>MK</t>
  </si>
  <si>
    <t>FK</t>
  </si>
  <si>
    <t>Preis</t>
  </si>
  <si>
    <t>HK</t>
  </si>
  <si>
    <t>VVGK</t>
  </si>
  <si>
    <t>Gewinn</t>
  </si>
  <si>
    <t>Fertigungsort</t>
  </si>
  <si>
    <t>Arbeitstage pro Jahr</t>
  </si>
  <si>
    <t>Miete</t>
  </si>
  <si>
    <t>konstant</t>
  </si>
  <si>
    <t>Kalkulierte Jahresstückzahl</t>
  </si>
  <si>
    <t>Stunden
pro Jahr</t>
  </si>
  <si>
    <t>Strom</t>
  </si>
  <si>
    <t>Kategorie</t>
  </si>
  <si>
    <t>Standort</t>
  </si>
  <si>
    <t>Währung</t>
  </si>
  <si>
    <t>Wechselkurs</t>
  </si>
  <si>
    <t>MEK</t>
  </si>
  <si>
    <t>FGK</t>
  </si>
  <si>
    <t>VVGK M</t>
  </si>
  <si>
    <t>VVGK W</t>
  </si>
  <si>
    <t>Gewinn M</t>
  </si>
  <si>
    <t>Gewinn W</t>
  </si>
  <si>
    <t>Nr.</t>
  </si>
  <si>
    <t>Benennung</t>
  </si>
  <si>
    <t>Material</t>
  </si>
  <si>
    <t>Anzahl</t>
  </si>
  <si>
    <t xml:space="preserve"> </t>
  </si>
  <si>
    <t xml:space="preserve">  </t>
  </si>
  <si>
    <t>x</t>
  </si>
  <si>
    <t>MSS</t>
  </si>
  <si>
    <t>R</t>
  </si>
  <si>
    <t>VVGK Wertschöpfung</t>
  </si>
  <si>
    <t>VVGK Material</t>
  </si>
  <si>
    <t>Gewinn Wertschöpfung</t>
  </si>
  <si>
    <t>Gewinn Material</t>
  </si>
  <si>
    <t>Kalk. Zins</t>
  </si>
  <si>
    <t>Verfügbarkeit Werker</t>
  </si>
  <si>
    <t>Auslastung Maschinen</t>
  </si>
  <si>
    <t>Laufzeit</t>
  </si>
  <si>
    <t>M</t>
  </si>
  <si>
    <t>DE</t>
  </si>
  <si>
    <t>W</t>
  </si>
  <si>
    <t>Dropdown</t>
  </si>
  <si>
    <t>Losgröße</t>
  </si>
  <si>
    <t>EN</t>
  </si>
  <si>
    <t>Time unit</t>
  </si>
  <si>
    <t>Prämissen</t>
  </si>
  <si>
    <t>Gemeinkosten</t>
  </si>
  <si>
    <t>MHR</t>
  </si>
  <si>
    <t>Einheit</t>
  </si>
  <si>
    <t>Los</t>
  </si>
  <si>
    <t>EUR</t>
  </si>
  <si>
    <t>MA</t>
  </si>
  <si>
    <t>RSS</t>
  </si>
  <si>
    <t>RFGK-Satz</t>
  </si>
  <si>
    <t>F K</t>
  </si>
  <si>
    <t>V V G K</t>
  </si>
  <si>
    <t>S K</t>
  </si>
  <si>
    <t xml:space="preserve">G e w i n n </t>
  </si>
  <si>
    <t>Description</t>
  </si>
  <si>
    <t>Total</t>
  </si>
  <si>
    <t>Unit</t>
  </si>
  <si>
    <t>Rework</t>
  </si>
  <si>
    <t>Lot Size</t>
  </si>
  <si>
    <t>Time</t>
  </si>
  <si>
    <t>Worker</t>
  </si>
  <si>
    <t>No.</t>
  </si>
  <si>
    <t>Ausschussrate</t>
  </si>
  <si>
    <t>Qty</t>
  </si>
  <si>
    <t>X/O</t>
  </si>
  <si>
    <t>Teile/ Zyklus</t>
  </si>
  <si>
    <t>Parts/ Cycle</t>
  </si>
  <si>
    <t>high innovative product</t>
  </si>
  <si>
    <t>K</t>
  </si>
  <si>
    <t>A</t>
  </si>
  <si>
    <t>Werkzeuge</t>
  </si>
  <si>
    <t>Verschleißwerkzeuge</t>
  </si>
  <si>
    <t>system supplier</t>
  </si>
  <si>
    <t>build to print</t>
  </si>
  <si>
    <t>Dummy</t>
  </si>
  <si>
    <t>Wirschaftsbereich</t>
  </si>
  <si>
    <t>Arbeitskosten Maschinenbediener</t>
  </si>
  <si>
    <t>Arbeitskosten Facharbeiter/Einsteller</t>
  </si>
  <si>
    <t>s</t>
  </si>
  <si>
    <t>RFGK Übertrag</t>
  </si>
  <si>
    <t>Gewinn [%]</t>
  </si>
  <si>
    <t>Ѻ</t>
  </si>
  <si>
    <t>Kundentakt</t>
  </si>
  <si>
    <t>RFGK</t>
  </si>
  <si>
    <t>MGK-Satz</t>
  </si>
  <si>
    <t>Lohn</t>
  </si>
  <si>
    <t>Verbrauchsmaterial 
[% Invest]</t>
  </si>
  <si>
    <t>Zuschlag 
2-Schicht [%]</t>
  </si>
  <si>
    <t>Zuschlag 
3-Schicht [%]</t>
  </si>
  <si>
    <t>Strom 
[EUR/kWh]</t>
  </si>
  <si>
    <t>Kalk. Zins 
[%]</t>
  </si>
  <si>
    <t>Materialdaten</t>
  </si>
  <si>
    <t>Maschinendaten</t>
  </si>
  <si>
    <t>kalk. AfA 
[Jahre]</t>
  </si>
  <si>
    <t>Strom 
[kW]</t>
  </si>
  <si>
    <t>Fläche 
[m²]</t>
  </si>
  <si>
    <t>Allgemeine Fläche 
[m²]</t>
  </si>
  <si>
    <t>Auslastung 
[%]</t>
  </si>
  <si>
    <t>Spez
BeMi</t>
  </si>
  <si>
    <t>ACT 
ID</t>
  </si>
  <si>
    <t>ACT 
MK/SR</t>
  </si>
  <si>
    <t>Kundenlos</t>
  </si>
  <si>
    <t>Zeit Rüsten</t>
  </si>
  <si>
    <t>MA Rüsten</t>
  </si>
  <si>
    <t>EUR/h</t>
  </si>
  <si>
    <t>Einzel</t>
  </si>
  <si>
    <t>y</t>
  </si>
  <si>
    <t>z</t>
  </si>
  <si>
    <t>Zyklus-zeit</t>
  </si>
  <si>
    <t>Qual.</t>
  </si>
  <si>
    <t>Stk/Los</t>
  </si>
  <si>
    <t>Min</t>
  </si>
  <si>
    <t>Stand-
zeit</t>
  </si>
  <si>
    <t>Nacharbeit</t>
  </si>
  <si>
    <t>NA</t>
  </si>
  <si>
    <t>∑</t>
  </si>
  <si>
    <t>+</t>
  </si>
  <si>
    <t>Wgt</t>
  </si>
  <si>
    <t>Subs</t>
  </si>
  <si>
    <t>Dimensions</t>
  </si>
  <si>
    <t>Dichte</t>
  </si>
  <si>
    <t>T-%</t>
  </si>
  <si>
    <t>∑ inkl. T-%</t>
  </si>
  <si>
    <t>»»»</t>
  </si>
  <si>
    <t>U/S</t>
  </si>
  <si>
    <t>Gewicht</t>
  </si>
  <si>
    <t>www</t>
  </si>
  <si>
    <t>-</t>
  </si>
  <si>
    <t>Value</t>
  </si>
  <si>
    <t>externes Rüsten</t>
  </si>
  <si>
    <t>Caluculation</t>
  </si>
  <si>
    <t>Nacharbeitung Ausschuss</t>
  </si>
  <si>
    <t>vorgelagerter Materialausschuss</t>
  </si>
  <si>
    <t>ID</t>
  </si>
  <si>
    <t>∑ incl. T-%</t>
  </si>
  <si>
    <t>Zeit-einheit</t>
  </si>
  <si>
    <t>Cycle time</t>
  </si>
  <si>
    <t>Mat.</t>
  </si>
  <si>
    <t>M/F</t>
  </si>
  <si>
    <t>Wertschöpfung</t>
  </si>
  <si>
    <t>Mfg.</t>
  </si>
  <si>
    <t>Lot</t>
  </si>
  <si>
    <t>Price</t>
  </si>
  <si>
    <t>4ñ</t>
  </si>
  <si>
    <t>Rw.</t>
  </si>
  <si>
    <t>Single</t>
  </si>
  <si>
    <t>Rüsten</t>
  </si>
  <si>
    <t>Maschinen</t>
  </si>
  <si>
    <t>Added value</t>
  </si>
  <si>
    <t>Machines</t>
  </si>
  <si>
    <t>Set up</t>
  </si>
  <si>
    <t>Tools</t>
  </si>
  <si>
    <t>Indirect Mfg.</t>
  </si>
  <si>
    <t>Direct Mat.</t>
  </si>
  <si>
    <t>Prod.</t>
  </si>
  <si>
    <t>Anmerkungen</t>
  </si>
  <si>
    <t>Notes</t>
  </si>
  <si>
    <t>Prt/Lot</t>
  </si>
  <si>
    <t>Scrap Mat.</t>
  </si>
  <si>
    <t>SG&amp;A Mfg.</t>
  </si>
  <si>
    <t>SG&amp;A Mat.</t>
  </si>
  <si>
    <t>Profit Mat.</t>
  </si>
  <si>
    <t>Profit Mfg.</t>
  </si>
  <si>
    <t>Version</t>
  </si>
  <si>
    <t>Revision</t>
  </si>
  <si>
    <t>Anzahl MA</t>
  </si>
  <si>
    <t>Qualifikation MA</t>
  </si>
  <si>
    <t>Language</t>
  </si>
  <si>
    <t>t</t>
  </si>
  <si>
    <t>10000 - 100000</t>
  </si>
  <si>
    <t>5000 - 10000</t>
  </si>
  <si>
    <t>1000 - 5000</t>
  </si>
  <si>
    <t>500 - 1000</t>
  </si>
  <si>
    <t>100 - 500</t>
  </si>
  <si>
    <t>50 - 100</t>
  </si>
  <si>
    <t>10 - 50</t>
  </si>
  <si>
    <t>5 - 10</t>
  </si>
  <si>
    <t>1 - 5</t>
  </si>
  <si>
    <t>0,5 - 1</t>
  </si>
  <si>
    <t>0,1 - 0,5</t>
  </si>
  <si>
    <t>0 - 0,1</t>
  </si>
  <si>
    <t>time [sec]</t>
  </si>
  <si>
    <t>Weight [kg]</t>
  </si>
  <si>
    <t>Max. Weight [kg]</t>
  </si>
  <si>
    <t>unprecise positioning</t>
  </si>
  <si>
    <t>precise positioning</t>
  </si>
  <si>
    <t>Caption</t>
  </si>
  <si>
    <t>Logistik</t>
  </si>
  <si>
    <t>Assy</t>
  </si>
  <si>
    <t>Cluster</t>
  </si>
  <si>
    <t>Preis ZSB</t>
  </si>
  <si>
    <t>ZSB</t>
  </si>
  <si>
    <t>Assembly</t>
  </si>
  <si>
    <t>Wear Tools</t>
  </si>
  <si>
    <t>Profit</t>
  </si>
  <si>
    <t>SG&amp;A</t>
  </si>
  <si>
    <t>1</t>
  </si>
  <si>
    <t>2</t>
  </si>
  <si>
    <t>3</t>
  </si>
  <si>
    <t>4</t>
  </si>
  <si>
    <t>5</t>
  </si>
  <si>
    <t>6</t>
  </si>
  <si>
    <t>7</t>
  </si>
  <si>
    <t>8</t>
  </si>
  <si>
    <t>9</t>
  </si>
  <si>
    <t>10</t>
  </si>
  <si>
    <t>13</t>
  </si>
  <si>
    <t>14</t>
  </si>
  <si>
    <t>15</t>
  </si>
  <si>
    <t>16</t>
  </si>
  <si>
    <t>17</t>
  </si>
  <si>
    <t>18</t>
  </si>
  <si>
    <t>19</t>
  </si>
  <si>
    <t>20</t>
  </si>
  <si>
    <t>21</t>
  </si>
  <si>
    <t>#</t>
  </si>
  <si>
    <t>Injection Moulding</t>
  </si>
  <si>
    <t>Purchased Parts</t>
  </si>
  <si>
    <t>Cluster 3</t>
  </si>
  <si>
    <t>Group 1</t>
  </si>
  <si>
    <t>Group 3</t>
  </si>
  <si>
    <t>Group 2</t>
  </si>
  <si>
    <t>Production</t>
  </si>
  <si>
    <t>22</t>
  </si>
  <si>
    <t>23</t>
  </si>
  <si>
    <t>P</t>
  </si>
  <si>
    <t>Depreciation</t>
  </si>
  <si>
    <t>24</t>
  </si>
  <si>
    <t>11</t>
  </si>
  <si>
    <t>\\wts\02 DATA\02 WD\04 Prämissen\</t>
  </si>
  <si>
    <t>DUM</t>
  </si>
  <si>
    <t>\\wts\02 DATA\02 WD\02 Technologien\98 AWS Maschinendatenbank\</t>
  </si>
  <si>
    <t>Project</t>
  </si>
  <si>
    <t>Default</t>
  </si>
  <si>
    <t>Online</t>
  </si>
  <si>
    <t>\\wts\02 DATA\</t>
  </si>
  <si>
    <t>Addins</t>
  </si>
  <si>
    <t>\\wts\02 DATA\02 WD\01 Kalkulationstools\99 Addins\</t>
  </si>
  <si>
    <t>%USERPROFILE%\AppData\Local\</t>
  </si>
  <si>
    <t>Projektspezifisch</t>
  </si>
  <si>
    <t>&gt;</t>
  </si>
  <si>
    <t>B</t>
  </si>
  <si>
    <t>1st</t>
  </si>
  <si>
    <t>lst</t>
  </si>
  <si>
    <t>Pic</t>
  </si>
  <si>
    <t>lvl</t>
  </si>
  <si>
    <t>C</t>
  </si>
  <si>
    <t>D</t>
  </si>
  <si>
    <t>E</t>
  </si>
  <si>
    <t>F</t>
  </si>
  <si>
    <t>G</t>
  </si>
  <si>
    <t>H</t>
  </si>
  <si>
    <t>I</t>
  </si>
  <si>
    <t>J</t>
  </si>
  <si>
    <t>L</t>
  </si>
  <si>
    <t>N</t>
  </si>
  <si>
    <t>O</t>
  </si>
  <si>
    <t>Q</t>
  </si>
  <si>
    <t>S</t>
  </si>
  <si>
    <t>T</t>
  </si>
  <si>
    <t>U</t>
  </si>
  <si>
    <t>V</t>
  </si>
  <si>
    <t>X</t>
  </si>
  <si>
    <t>Y</t>
  </si>
  <si>
    <t>Z</t>
  </si>
  <si>
    <t>Mt</t>
  </si>
  <si>
    <t>Ms</t>
  </si>
  <si>
    <t>D. Mat.</t>
  </si>
  <si>
    <t>Ind. Mat.</t>
  </si>
  <si>
    <t>Analysis</t>
  </si>
  <si>
    <t>Pfad MHR</t>
  </si>
  <si>
    <t>Pfad MAT</t>
  </si>
  <si>
    <t>Pfad LOC</t>
  </si>
  <si>
    <t>Pfad TEC</t>
  </si>
  <si>
    <t>Standardnummerierung zulassen</t>
  </si>
  <si>
    <t>ACT-X zulassen</t>
  </si>
  <si>
    <t>ACT-Q zulassen</t>
  </si>
  <si>
    <t>ACT-Q Mindestrating</t>
  </si>
  <si>
    <t>BZ</t>
  </si>
  <si>
    <t>BX</t>
  </si>
  <si>
    <t>BW</t>
  </si>
  <si>
    <t>BV</t>
  </si>
  <si>
    <t>BU</t>
  </si>
  <si>
    <t>BT</t>
  </si>
  <si>
    <t>BS</t>
  </si>
  <si>
    <t>EUR/Stk</t>
  </si>
  <si>
    <t>BR</t>
  </si>
  <si>
    <t>BQ</t>
  </si>
  <si>
    <t>BP</t>
  </si>
  <si>
    <t>BO</t>
  </si>
  <si>
    <t>BN</t>
  </si>
  <si>
    <t>BM</t>
  </si>
  <si>
    <t>BL</t>
  </si>
  <si>
    <t>BK</t>
  </si>
  <si>
    <t>BJ</t>
  </si>
  <si>
    <t>BI</t>
  </si>
  <si>
    <t>BH</t>
  </si>
  <si>
    <t>BG</t>
  </si>
  <si>
    <t>BF</t>
  </si>
  <si>
    <t>BE</t>
  </si>
  <si>
    <t>BD</t>
  </si>
  <si>
    <t>BC</t>
  </si>
  <si>
    <t>BB</t>
  </si>
  <si>
    <t>BA</t>
  </si>
  <si>
    <t>AZ</t>
  </si>
  <si>
    <t>AY</t>
  </si>
  <si>
    <t>AX</t>
  </si>
  <si>
    <t>AW</t>
  </si>
  <si>
    <t>AV</t>
  </si>
  <si>
    <t>AU</t>
  </si>
  <si>
    <t>AT</t>
  </si>
  <si>
    <t>AS</t>
  </si>
  <si>
    <t>AR</t>
  </si>
  <si>
    <t>AQ</t>
  </si>
  <si>
    <t>AP</t>
  </si>
  <si>
    <t>AO</t>
  </si>
  <si>
    <t>AN</t>
  </si>
  <si>
    <t>AM</t>
  </si>
  <si>
    <t>Fertigungsausschuss</t>
  </si>
  <si>
    <t>AL</t>
  </si>
  <si>
    <t>AK</t>
  </si>
  <si>
    <t>Ausschuss vor dieser Fertigungsstufe</t>
  </si>
  <si>
    <t>AJ</t>
  </si>
  <si>
    <t>Hier werden die absoluten Nacharbeitskosten pro Stück eingetragen.</t>
  </si>
  <si>
    <t>Nacharbeitskosten</t>
  </si>
  <si>
    <t>AI</t>
  </si>
  <si>
    <t>Wenn ein Nacharbeitsanteil eingetragen wird, reduziert sich der komplette Ausschuss um diesen Prozentsatz. Dafür fallen Nacharbeitskosten für diese Teile an. Dieser Nacharbeitsanteil wird hier eingetragen.</t>
  </si>
  <si>
    <t>Nacharbeitanteil</t>
  </si>
  <si>
    <t>AH</t>
  </si>
  <si>
    <t>Die Ausschussrate für die Fertigung wird lieferantenabhängig aus dem Prämissenblatt übernommen. Dort wird der Ausschuss prozentual eingetragen.</t>
  </si>
  <si>
    <t>AG</t>
  </si>
  <si>
    <t>AF</t>
  </si>
  <si>
    <t>AE</t>
  </si>
  <si>
    <t>Standzeit</t>
  </si>
  <si>
    <t>AD</t>
  </si>
  <si>
    <t>AC</t>
  </si>
  <si>
    <t>Hier wird der Name des Verschleißwerkzeuges eingetragen.</t>
  </si>
  <si>
    <t>AB</t>
  </si>
  <si>
    <t>AA</t>
  </si>
  <si>
    <t>Mitarbeiter</t>
  </si>
  <si>
    <t>Hier wird die Anzahl der Werker für den erforderlichen Fertigungsschritt eingetragen.</t>
  </si>
  <si>
    <t>Zeiteinheit</t>
  </si>
  <si>
    <t>Zykluszeit</t>
  </si>
  <si>
    <t>Access</t>
  </si>
  <si>
    <t>Column</t>
  </si>
  <si>
    <t>Header EN</t>
  </si>
  <si>
    <t>Body EN</t>
  </si>
  <si>
    <t>Header DE</t>
  </si>
  <si>
    <t>Body DE</t>
  </si>
  <si>
    <t>Machine</t>
  </si>
  <si>
    <t>Ext. Rüsten</t>
  </si>
  <si>
    <t>Category DE</t>
  </si>
  <si>
    <t>Category EN</t>
  </si>
  <si>
    <t>Subcategory EN</t>
  </si>
  <si>
    <t>Subcategory DE</t>
  </si>
  <si>
    <t>Material &amp; Verbrauchsstoffe</t>
  </si>
  <si>
    <t>Hier trägt man die benötigte Rüstzeit in Minuten ein, d.h. die Zeit in der die Maschine still steht und von Mitarbeitern gerüstet wird.</t>
  </si>
  <si>
    <t>Hier wird die Zeit für externes Rüstens in Minuten eingetragen, also Zeit für Rüstvorgänge, während derer die Maschine NICHT still steht.</t>
  </si>
  <si>
    <t>Hier wird die berechnete Losgröße angezeigt.</t>
  </si>
  <si>
    <t>Arbeitskosten</t>
  </si>
  <si>
    <t>Hier werden die gesamten Rüstkosten pro Stück angezeigt.</t>
  </si>
  <si>
    <t>Qualifikation</t>
  </si>
  <si>
    <t>Werkzeuge/ Vorrichtungen</t>
  </si>
  <si>
    <t>Hier wird die Anzahl der pro Stück benötigten Werkzeuge bzw. Vorrichtungen eingetragen.</t>
  </si>
  <si>
    <t>Der Preis für die Werkzeuge und die Instandhaltung pro Stück wird hier eingetragen.</t>
  </si>
  <si>
    <t>Preis pro Stück</t>
  </si>
  <si>
    <t>Der Preis für die Verschleißwerkzeuge pro Stück wird hier eingetragen.</t>
  </si>
  <si>
    <t>Unabhängig von der Nacharbeit kann hier die Wertschöpfung pro Stück vor dem aktuellen Fertigungsschritt eingetragen werden. Diese wird dann in den Ausschusskosten pro Stück berücksichtigt.</t>
  </si>
  <si>
    <t>durchschnittliche Nacharbeitskosten</t>
  </si>
  <si>
    <t>Fertigungskosten</t>
  </si>
  <si>
    <t>Hier wird (übernommen aus dem MAT-Reiter) die Einheit des ausgewählten Materials angezeigt.</t>
  </si>
  <si>
    <t>Hier wird (übernommen aus dem MAT-Reiter) der Preis pro Einheit des ausgewählten Materials angezeigt.</t>
  </si>
  <si>
    <t>Materialausschuss</t>
  </si>
  <si>
    <t>Sollte außer dem in diesem Fertigungsschritt bereits berücksichtigtem Material (Spalte AQ) noch zusätzliches (Roh-) Material aus einer vorangegangenen Wertschöpfungsstufe in dem Bauteil enthalten sein, so ist dieser Wert für die Ausschussberechnung in diese Spalte einzutragen.</t>
  </si>
  <si>
    <t>Materialkosten</t>
  </si>
  <si>
    <t>Herstellkosten</t>
  </si>
  <si>
    <t>Selbstkosten</t>
  </si>
  <si>
    <t>Gewinn-Satz</t>
  </si>
  <si>
    <t>VVGK-Satz</t>
  </si>
  <si>
    <t>Hier wird der Preis für den jeweiligen Kalkulationsblock inklusiver der Tier-Zuschläge (Spalte BU) angezeigt.</t>
  </si>
  <si>
    <t>Wenn es sich um eine Zusammenbaugruppe (ZSB) handelt, wird hier die Summe der Kosten aller gemäß der BOM-Struktur enthaltenen Teile angezeigt.</t>
  </si>
  <si>
    <t>Tier-Zuschlag</t>
  </si>
  <si>
    <t>Kosten</t>
  </si>
  <si>
    <t>Einzeln</t>
  </si>
  <si>
    <t xml:space="preserve">Hier wird der Preis pro Stück für den jeweiligen Kalkulationsblock inklusiver der Tier-Zuschläge (Spalte BU) angezeigt.
</t>
  </si>
  <si>
    <t>Strukturstufe</t>
  </si>
  <si>
    <t>Nummerierung</t>
  </si>
  <si>
    <t>Länge</t>
  </si>
  <si>
    <t>Breite</t>
  </si>
  <si>
    <t>Höhe</t>
  </si>
  <si>
    <t>Materialstärke</t>
  </si>
  <si>
    <t>Hier wird bei Bedarf die durchschnittliche Materialstärke des Bauteils eingetragen.</t>
  </si>
  <si>
    <t>Fertigungsprozess</t>
  </si>
  <si>
    <t>Lieferantenstruktur</t>
  </si>
  <si>
    <t>Gesamtanzahl</t>
  </si>
  <si>
    <t>Gesamtgewicht</t>
  </si>
  <si>
    <t>Anzahl Unterbaugruppen</t>
  </si>
  <si>
    <t>Bilder</t>
  </si>
  <si>
    <t>Hier wird automatisch die Gesamtanzahl, also wie oft das Bauteil insgesamt vorkommt, berechnet.</t>
  </si>
  <si>
    <t>Hier wird automatsich das Gesamtgewicht, also das Einzelgewicht multipliziert mit der Anzahl, berechnet.</t>
  </si>
  <si>
    <t>Hier können Anmerkungen und Kommentare hinzugefügt werden</t>
  </si>
  <si>
    <t>Hier werden die Maschinengesamtkosten pro Stück angezeigt. 
Maschinengesamtkosten = Stückzeit x MSS</t>
  </si>
  <si>
    <t>Hier wird der Name des Werkzeugs eingetragen.</t>
  </si>
  <si>
    <t>Die Kosten für die Werkzeuge und die Instandhaltung werden auf die Teile umgelegt und miteinberechnet.
Preis pro Stück = (Anzahl Werkzeuge x Preis) / Standzeit</t>
  </si>
  <si>
    <t>Die Kosten für die Verschleißwerkzeuge werden auf die Teile umgelegt und miteinberechnet.
Preis pro Stück = (Anzahl Werkzeuge x Preis) / Standzeit</t>
  </si>
  <si>
    <t>Die Nacharbeitskosten werden hier berechnet.
Nacharbeitskosten = (NA Anteil x NA Kosten) / 100 x Ausschussrate /100</t>
  </si>
  <si>
    <t xml:space="preserve">Ist eine Wertschöpfung vor dem Fertigungsschritt (Spalte AJ) eingetragen, werden diese Kosten auf die Teile umgerechnet und zum Fertigungsausschuss (Spalte AG) addiert. 
Wenn ein Nacharbeitsanteil eingetragen wird, reduziert sich der komplette Fertigungsausschuss um diesen Anteil (Spalte AH). Dafür fallen Nacharbeitskosten für diese Teile an (Spalte AK).
Nacharbeitskosten = (NA Kosten + Wertschöpfung bisher x Ausschussrate) / 100 x ((1 - NA Anteil) / 100) + (Maschinenkosten + Mitarbeiterkosten + Verschleißwerkzeugkosten) x Ausschussrate / 100 x ((1 - NA Anteil) / 100) </t>
  </si>
  <si>
    <t>Die gesamten RFGK pro Stück werden hier berechnet.
RFGK = (RFGK RSS x Zykluszeit x Faktor Zeiteinheit) / Teile pro Zyklus</t>
  </si>
  <si>
    <t>Die Fertigungskosten (FK) sind die Summe aus Fertigungseinzelkosten (FEK) und Restfertigungsgemeinkosten (RFGK). Die FK werden einzeln für jeden Fertigungsschritt berechnet.
FK = Maschinenkosten + Rüstkosten + Mitarbeiterkosten + Werkzeugkosten + Verschleißwerkzeugkosten + Kosten Ausschuss Fertigung + RFGK</t>
  </si>
  <si>
    <t>Hier werden die Kosten des Materialauschusses pro Stück berechnet. In dieser Formel ist der vorgelagerte Materialausschuss berücksichtigt.
Materialauschuss = Menge x Materialpreis + Verpackung &amp; Transport) x Ausschussrate / 100 + (Ausschussrate x vorgelagerter Materialausschuss) / 100</t>
  </si>
  <si>
    <t>Die Herstellkosten (HK) setzen sich aus den Fertigungskosten (FK) und den Materialkosten (MK) zusammen.
HK = FK + MK</t>
  </si>
  <si>
    <t>Hier werden die VVGK auf die Wertschöpfung pro Stück berechnet.
VVGK Wertschöpfung = (FK - Werkzeugkosten - Ausschuss Fertigung) x VVGK-Satz Wertschöpfung / 100</t>
  </si>
  <si>
    <t>Hier werden die VVGK auf das Material pro Stück berechnet.
VVGK Material = MK x VVGK-Satz Material / 100</t>
  </si>
  <si>
    <t>Hier werden die VVGK pro Stück berechnet.
VVGK = (FK - Werkzeugkosten - Ausschuss Fertigung + MK) x VVGK-Satz / 100</t>
  </si>
  <si>
    <t>Die Selbstkosten (SK) umfassen alle Kosten des Unternehmens, die für die Herstellung und Vermarktung anfallen.
SK = HK + VVGK</t>
  </si>
  <si>
    <t>Hier wird der Gewinn auf Material pro Stück berechnet. 
Gewinn auf Material = Menge x Materialpreis + Sonderverpackung &amp; Transport) x Gewinn-Satz Material / 100</t>
  </si>
  <si>
    <t>Hier wird der Gewinn auf Wertschöpfung pro Stück berechnet.
Gewinn auf Wertschöpfung = (FK - Ausschuss Fertigung - Werkzeugkosten) x Gewinn-Satz Wertschöpfung / 100</t>
  </si>
  <si>
    <t>Hier wird der Gewinn pro Stück berechnet. 
Gewinn = (FK - Ausschuss Fertigung - Werkzeugkosten+ Menge x Materialpreis + Sonderverpackung &amp; Transport) x Gewinn-Satz / 100</t>
  </si>
  <si>
    <t>Hier werden die Gesamtkosten pro Stück pro Zeile angezeigt.
Gesamtkosten pro Stück = SK + Gewinn</t>
  </si>
  <si>
    <t>Hier werden die Gesamtkosten pro Zeile angezeigt.
Gesamtkosten = Anzahl x (SK + Gewinn)</t>
  </si>
  <si>
    <t xml:space="preserve">   </t>
  </si>
  <si>
    <t>Pfad Addins</t>
  </si>
  <si>
    <t>AK eff.</t>
  </si>
  <si>
    <t>Invest</t>
  </si>
  <si>
    <t>Faktor</t>
  </si>
  <si>
    <t>Labour Costs</t>
  </si>
  <si>
    <t>Input</t>
  </si>
  <si>
    <t>Eingabewährung</t>
  </si>
  <si>
    <t>VVGK: Vertrieb &amp; Versand [%]</t>
  </si>
  <si>
    <t>VVGK: Verwaltung [%]</t>
  </si>
  <si>
    <t>Instandhaltung 
[% Invest]</t>
  </si>
  <si>
    <t>kalk. AfA</t>
  </si>
  <si>
    <t>Fläche</t>
  </si>
  <si>
    <t>Verbrauchsmaterial</t>
  </si>
  <si>
    <t>Instandhaltung</t>
  </si>
  <si>
    <t>Allgemeine Fläche</t>
  </si>
  <si>
    <t>Hilfsgeräte</t>
  </si>
  <si>
    <t>Energie Hilfsgeräte</t>
  </si>
  <si>
    <t>mittl. Strom</t>
  </si>
  <si>
    <t>Monatesmiete</t>
  </si>
  <si>
    <t>LC eff.</t>
  </si>
  <si>
    <t>The number of parts per production step (e.g. the cavities for injection molding) is entered here.</t>
  </si>
  <si>
    <t>Here the total machine costs per piece are displayed.
Total machine costs = time per unit x MHR</t>
  </si>
  <si>
    <t>Setup</t>
  </si>
  <si>
    <t>time</t>
  </si>
  <si>
    <t>workers</t>
  </si>
  <si>
    <t>The calculated lot size is displayed here.</t>
  </si>
  <si>
    <t>The total setup costs per piece are displayed here.</t>
  </si>
  <si>
    <t>The number of workers for the required production step is entered here.</t>
  </si>
  <si>
    <t>Workers</t>
  </si>
  <si>
    <t>The name of the tool is entered here.</t>
  </si>
  <si>
    <t>Tools/Jigs</t>
  </si>
  <si>
    <t>The number of tools or devices required per piece is entered here.</t>
  </si>
  <si>
    <t>Service life means how long the tool can be used before it has to be replaced. The tool life refers to one cavity</t>
  </si>
  <si>
    <t>Service life</t>
  </si>
  <si>
    <t>The cost for tools und maintenance per piece is entered here.</t>
  </si>
  <si>
    <t>The costs for tools and maintenance are allocated to the parts and included in the calculation._x000D_
Price per piece = (number of tools x price) / service life.</t>
  </si>
  <si>
    <t>Tools / Jigs</t>
  </si>
  <si>
    <t>Price per piece</t>
  </si>
  <si>
    <t>The name of the wear tool is entered here.</t>
  </si>
  <si>
    <t>The number of wear tools required per piece is entered here.</t>
  </si>
  <si>
    <t>Quantity</t>
  </si>
  <si>
    <t>The price for the wear tools per piece is entered here.</t>
  </si>
  <si>
    <t>The costs for the wear tools are allocated to the parts and included in the calculation._x000D_
Price per piece = (number of tools x price) / service life.</t>
  </si>
  <si>
    <t>The scrap rate for production is taken from the premise sheet, depending on the supplier. There the scrap is entered as a percentage.</t>
  </si>
  <si>
    <t>Production scrap</t>
  </si>
  <si>
    <t>Scrap rate</t>
  </si>
  <si>
    <t>If a rework percentage is entered, the complete scrap is reduced by this percentage. This results in rework costs for these parts. This rework percentage is entered here.</t>
  </si>
  <si>
    <t>Rework share</t>
  </si>
  <si>
    <t>The absolute rework costs per piece are entered here.</t>
  </si>
  <si>
    <t>Rework costs</t>
  </si>
  <si>
    <t>Independent of the rework, the value added per piece before the current production step can be entered here. This is then taken into account in the scrap costs per unit.</t>
  </si>
  <si>
    <t xml:space="preserve"> The rework costs are calculated here.
Rework costs = (Rw. share x Rw. costs) / 100 x scrap rate /100.</t>
  </si>
  <si>
    <t>Indirect Mfg. Rate</t>
  </si>
  <si>
    <t>Production costs</t>
  </si>
  <si>
    <t>Production costs (Mfg.) are the sum of direct production costs (DPC) and remaining production overheads (RPO). The Mfg. is calculated separately for each production step.
Mfg. = machine costs + set-up costs + labor costs + tool costs + wear tool costs + costs of scrap production + indirect mfg.</t>
  </si>
  <si>
    <t>Material &amp; Consumables</t>
  </si>
  <si>
    <t>Designation</t>
  </si>
  <si>
    <t>The unit of the selected material is displayed here (taken from the MAT tab).</t>
  </si>
  <si>
    <t>The price per unit of the selected material is displayed here (taken from the MAT tab).</t>
  </si>
  <si>
    <t xml:space="preserve"> Here the costs of the material scrap per piece are calculated. The upstream material scrap is taken into account in this formula._x000D_
_x000D_
Material scrap = quantity x material price + packaging &amp; transport) x scrap rate / 100 + (scrap rate x upstream material scrap) / 100.</t>
  </si>
  <si>
    <t>Material costs</t>
  </si>
  <si>
    <t xml:space="preserve"> The production costs (Prod.) consist of the manufacturing costs (Mfg.) and the material costs (Mat.).
Prod. = Mfg. + Mat.</t>
  </si>
  <si>
    <t>SG&amp;A Added value</t>
  </si>
  <si>
    <t>SG&amp;A rate</t>
  </si>
  <si>
    <t>SG&amp;A Material</t>
  </si>
  <si>
    <t>Cost of goods sold</t>
  </si>
  <si>
    <t xml:space="preserve"> Cost of goods sold (SK) includes all costs incurred by the company for production and marketing.
Cost = Prod. + SG&amp;A</t>
  </si>
  <si>
    <t>Profit Added value</t>
  </si>
  <si>
    <t>Profit rate</t>
  </si>
  <si>
    <t>Here the profit is calculated on value added per unit.
Profit on added value = (Mfg. - scrap production - tool costs) x profit rate added value / 100</t>
  </si>
  <si>
    <t>Profit Material</t>
  </si>
  <si>
    <t>Here the profit per piece is calculated. 
Profit = (Mfg. - scrap production - tool costs+ quantity x material price + special packaging &amp; transport) x profit rate / 100.</t>
  </si>
  <si>
    <t xml:space="preserve"> Here the total costs per piece per line are displayed.
Total cost per piece = cost + profit</t>
  </si>
  <si>
    <t>Costs</t>
  </si>
  <si>
    <t xml:space="preserve"> Here the total costs per line are displayed.
Total costs = number x (cost + profit)</t>
  </si>
  <si>
    <t>If required, the average material thickness of the component is entered here.</t>
  </si>
  <si>
    <t>Here the total number, i.e. how often the part occurs in total, is calculated automatically.</t>
  </si>
  <si>
    <t>Here the total weight, i.e. the individual weight multiplied by the total number, is calculated automatically</t>
  </si>
  <si>
    <t>Notes and comments can be added here</t>
  </si>
  <si>
    <t>Numbering</t>
  </si>
  <si>
    <t>weight</t>
  </si>
  <si>
    <t>length</t>
  </si>
  <si>
    <t>width</t>
  </si>
  <si>
    <t>height</t>
  </si>
  <si>
    <t>material thickness</t>
  </si>
  <si>
    <t>production process</t>
  </si>
  <si>
    <t>Total quantity</t>
  </si>
  <si>
    <t>Total weight</t>
  </si>
  <si>
    <t>Number of subassemblies</t>
  </si>
  <si>
    <t>annotations</t>
  </si>
  <si>
    <t>Images</t>
  </si>
  <si>
    <t>Benutzerdef. Ansicht</t>
  </si>
  <si>
    <t>%temp%\</t>
  </si>
  <si>
    <t>ABCD</t>
  </si>
  <si>
    <t>BCD</t>
  </si>
  <si>
    <t>Ansicht (A =  Eingabe, B = Präsi, C = Kompakt, D = Eigene)</t>
  </si>
  <si>
    <t>Abschreibung</t>
  </si>
  <si>
    <t>Lohnkosten</t>
  </si>
  <si>
    <t>LC</t>
  </si>
  <si>
    <t>Jahre</t>
  </si>
  <si>
    <t>Category</t>
  </si>
  <si>
    <t>Calculated annual quantity</t>
  </si>
  <si>
    <t>Term</t>
  </si>
  <si>
    <t>Auslastung</t>
  </si>
  <si>
    <t>Utilisation</t>
  </si>
  <si>
    <t>Production site</t>
  </si>
  <si>
    <t>Rent</t>
  </si>
  <si>
    <t>Electricity</t>
  </si>
  <si>
    <t>Imputed interest</t>
  </si>
  <si>
    <t>SG&amp;A Materials</t>
  </si>
  <si>
    <t>Customer cycle</t>
  </si>
  <si>
    <t>Customer lot</t>
  </si>
  <si>
    <t>Electricity
[kW]</t>
  </si>
  <si>
    <t>Area
[m²]</t>
  </si>
  <si>
    <t>Maintenance 
[% Invest]</t>
  </si>
  <si>
    <t>General area 
[m²]</t>
  </si>
  <si>
    <t>Imputed interest 
[%]</t>
  </si>
  <si>
    <t>Currency</t>
  </si>
  <si>
    <t>SG&amp;A: Sales &amp; Distribution [%]</t>
  </si>
  <si>
    <t>SG&amp;A: Administration [%]</t>
  </si>
  <si>
    <t>Profit [%]</t>
  </si>
  <si>
    <t>Row</t>
  </si>
  <si>
    <t>Lieferant</t>
  </si>
  <si>
    <t>Range</t>
  </si>
  <si>
    <t>Beim VVGK-Satz für Vertrieb und Versand gilt der Basissatz von 3% bei Wertschöpfung bzw. 2% bei reinem Materialanteil.</t>
  </si>
  <si>
    <t>$B$4:$C$4</t>
  </si>
  <si>
    <t>Calc. Depr. f. w.
[Years]</t>
  </si>
  <si>
    <t>Density</t>
  </si>
  <si>
    <t>Wage</t>
  </si>
  <si>
    <t>Setup Time</t>
  </si>
  <si>
    <t>Setup Workers</t>
  </si>
  <si>
    <t>Number of Workers</t>
  </si>
  <si>
    <t>Worker Qualification</t>
  </si>
  <si>
    <t>Utilisation 
[%]</t>
  </si>
  <si>
    <t>Working Days
per year</t>
  </si>
  <si>
    <t>Hours
per year</t>
  </si>
  <si>
    <t>Addition 
2 shift [%]</t>
  </si>
  <si>
    <t>Addition 
3 shift [%]</t>
  </si>
  <si>
    <t>Industrial sector</t>
  </si>
  <si>
    <t>Indirektes Personal 
Werker [h/a]</t>
  </si>
  <si>
    <t>Indirektes Personal H</t>
  </si>
  <si>
    <t>Indirektes Personal U</t>
  </si>
  <si>
    <t>High-skilled</t>
  </si>
  <si>
    <t>Indirektes Personal 
High-skilled [h/a]</t>
  </si>
  <si>
    <t>Gas</t>
  </si>
  <si>
    <t>Faktor
Gas</t>
  </si>
  <si>
    <t>mittl. Gas</t>
  </si>
  <si>
    <t>Faktor Strom</t>
  </si>
  <si>
    <t>Pfad Vorlage EBOM</t>
  </si>
  <si>
    <t>Erdgas 
[kW]</t>
  </si>
  <si>
    <t>Faktor Erdgas</t>
  </si>
  <si>
    <t>Erdgas</t>
  </si>
  <si>
    <t>Machine Data</t>
  </si>
  <si>
    <t>Material Data</t>
  </si>
  <si>
    <t>Location Data</t>
  </si>
  <si>
    <t>Natural gas 
[kW]</t>
  </si>
  <si>
    <t>\\wts\02 DATA\02 WD\02 Technologien\</t>
  </si>
  <si>
    <t>Input currency</t>
  </si>
  <si>
    <t>$B$5:$C$5</t>
  </si>
  <si>
    <t>$B$6:$C$6</t>
  </si>
  <si>
    <t>Exchange rate</t>
  </si>
  <si>
    <t>Supplier</t>
  </si>
  <si>
    <t>Hier ist die für die Kalkulation relevante Gesamtstückzahl des Teils pro Jahr einzutragen.</t>
  </si>
  <si>
    <t>Capacity utilization of machines</t>
  </si>
  <si>
    <t>Availability worker</t>
  </si>
  <si>
    <t>Working days per year</t>
  </si>
  <si>
    <t>Layers</t>
  </si>
  <si>
    <t>Labor costs machine operator</t>
  </si>
  <si>
    <t>Labor costs skilled worker/employer</t>
  </si>
  <si>
    <t>EUR/m²</t>
  </si>
  <si>
    <t>EUR/kWh</t>
  </si>
  <si>
    <t>The value for the reject rate is an empirical value (1.5% on all production levels) and is entered here.</t>
  </si>
  <si>
    <t>$B$2:$B$2</t>
  </si>
  <si>
    <t>Machine Designation</t>
  </si>
  <si>
    <t>Maschinenbezeichnung</t>
  </si>
  <si>
    <t>Investment</t>
  </si>
  <si>
    <t>Contains the years until full depreciation of the machine according to the depreciation table.</t>
  </si>
  <si>
    <t>Enthält die Jahre zur vollständigen Abschreibung der Maschine nach AfA-Tabelle.</t>
  </si>
  <si>
    <t>Imputed depreciation</t>
  </si>
  <si>
    <t>Kalk. AfA</t>
  </si>
  <si>
    <t>Area</t>
  </si>
  <si>
    <t>Consumables</t>
  </si>
  <si>
    <t>Maintenance</t>
  </si>
  <si>
    <t>Unter indirektem Personal versteht man die Tätigkeiten von z. B. Staplerfahrer in der Fertigung, Meister, Fertigungsplaner, Qualitätsingenieure usw. Die Stundenanzahl entspricht den gesamten jährlichen Stunden vom indirekten Personal die anteilig auf diese Maschine fallen. Bei der Berechnung des RSS wird diese Stundenanzahl mit dem Lohnniveau des jeweiligen Lieferanten multipliziert.</t>
  </si>
  <si>
    <t>Indirect personnel</t>
  </si>
  <si>
    <t>Indirektes Personal</t>
  </si>
  <si>
    <t>Energy for aux. Equipment</t>
  </si>
  <si>
    <t>Setup workers</t>
  </si>
  <si>
    <t>Location</t>
  </si>
  <si>
    <t>A machine operator is a trained worker. Here are the labor costs of the machine operator in 1-shift operation per hour.</t>
  </si>
  <si>
    <t>Machine Operator_x000D_
1-shift [EUR].</t>
  </si>
  <si>
    <t>Maschinenbediener
1-Schicht [EUR]</t>
  </si>
  <si>
    <t>A skilled worker is a trained worker. The labor costs for this worker are displayed here per hour (1-shift operation).</t>
  </si>
  <si>
    <t>skilled worker_x000D_
1-shift [EUR].</t>
  </si>
  <si>
    <t>Facharbeiter
1-Schicht [EUR]</t>
  </si>
  <si>
    <t>Labor costs for one semi-skilled worker per hour in 2-shift operation.</t>
  </si>
  <si>
    <t>Arbeitskosten für einen angelernten Arbeiter pro Stunde im 2-Schichtbetrieb.</t>
  </si>
  <si>
    <t>Machine Operator_x000D_
2-shift [EUR].</t>
  </si>
  <si>
    <t>Maschinenbediener
2-Schicht [EUR]</t>
  </si>
  <si>
    <t>These are the labor costs per hour for a trained worker in 2-shift operation.</t>
  </si>
  <si>
    <t>Das sind die Arbeitskosten pro Stunde für einen geschulten Arbeiter im 2-Schichtbetrieb.</t>
  </si>
  <si>
    <t>skilled worker_x000D_
2-shift [EUR].</t>
  </si>
  <si>
    <t>Facharbeiter
2-Schicht [EUR]</t>
  </si>
  <si>
    <t>Here are the labor costs per hour for a semi-skilled worker in 3-shift operation.</t>
  </si>
  <si>
    <t>Hier sind die Arbeitskosten für einen angelernten Arbeiter pro Stunde im 3-Schichtbetrieb zu finden.</t>
  </si>
  <si>
    <t>Machine Operator_x000D_
3-shift [EUR].</t>
  </si>
  <si>
    <t>Maschinenbediener
3-Schicht [EUR]</t>
  </si>
  <si>
    <t>This includes the labor costs for a trained worker per hour in 3-shift operation.</t>
  </si>
  <si>
    <t>Dies beinhaltet die Arbeitskosten für einen geschulten Arbeiter pro Stunde im 3-Schichtbetrieb.</t>
  </si>
  <si>
    <t>skilled worker_x000D_
3-shift [EUR].</t>
  </si>
  <si>
    <t>Facharbeiter
3-Schicht [EUR]</t>
  </si>
  <si>
    <t>Surcharge _x000D_
2-layer [%].</t>
  </si>
  <si>
    <t>Surcharge _x000D_
3-layer [%].</t>
  </si>
  <si>
    <t>Economic area</t>
  </si>
  <si>
    <t>The monthly rent is indicated per square meter depending on the location.</t>
  </si>
  <si>
    <t>Die Monatsmiete ist abhängig vom Standort pro Quadratmeter angegeben.</t>
  </si>
  <si>
    <t>Monthly rent _x000D_
[EUR/m²]</t>
  </si>
  <si>
    <t>Monatesmiete 
[EUR/m²]</t>
  </si>
  <si>
    <t>This is the electricity price for one kilowatt hour depending on the country of production.</t>
  </si>
  <si>
    <t>The standard rate of the SG&amp;A rate for sales and distribution is 3% for value added or 2% for raw material content.</t>
  </si>
  <si>
    <t>The SG&amp;A rate for administration is dependant on the quantity (&lt;20000, &gt;20000, &gt;100000 or &gt;500000) and are listed here for value added and raw material content.</t>
  </si>
  <si>
    <t>Die VVGK-Sätze für Verwaltung sind abhängig von der Stückzahl (&lt;20000, &gt;20000, &gt;100000 oder &gt;500000) und werden hier für Wertschöpfung und für reine Materialanteile dargestellt.</t>
  </si>
  <si>
    <t>The SG&amp;A rate for R&amp;D is dependant on the category (build to print, system supplier or high innovative product).
Again, the values are listed for Mfg. and Mat.</t>
  </si>
  <si>
    <t>Die VVGK-Sätze für F&amp;E von der Kategorie abhängig (build to print, system supplier oder high innovative product). Auch hier gibt es wieder zwei unterschiedliche Werte für FK bzw. MK.</t>
  </si>
  <si>
    <t>The profit is dependant on the category (build to print, system supplier oder high innovative product) too and is calculated for value added and raw material content separately.</t>
  </si>
  <si>
    <t>Auch der Gewinn ist von der Kategorie (build to print, system supplier oder high innovative product) abhängig und wird für Wertschöpfung bzw. reine Materialanteile einzeln berechnet.</t>
  </si>
  <si>
    <t>Auto Sync</t>
  </si>
  <si>
    <t>Auto Backup</t>
  </si>
  <si>
    <t>[Header]</t>
  </si>
  <si>
    <t>Zuschlag Sonstige (Logistik etc.)</t>
  </si>
  <si>
    <t>Sonstige</t>
  </si>
  <si>
    <t>Other</t>
  </si>
  <si>
    <t>Addition Other (Logistics etc.)</t>
  </si>
  <si>
    <t>Pictures</t>
  </si>
  <si>
    <t>32</t>
  </si>
  <si>
    <t>33</t>
  </si>
  <si>
    <t>Rüsten Maschine</t>
  </si>
  <si>
    <t>Rüsten Personal</t>
  </si>
  <si>
    <t>Ausschuss Maschine</t>
  </si>
  <si>
    <t>Overhead</t>
  </si>
  <si>
    <t>12</t>
  </si>
  <si>
    <t>25</t>
  </si>
  <si>
    <t>26</t>
  </si>
  <si>
    <t>27</t>
  </si>
  <si>
    <t>28</t>
  </si>
  <si>
    <t>29</t>
  </si>
  <si>
    <t>Weitere</t>
  </si>
  <si>
    <t>30</t>
  </si>
  <si>
    <t>31</t>
  </si>
  <si>
    <t>34</t>
  </si>
  <si>
    <t>35</t>
  </si>
  <si>
    <t>36</t>
  </si>
  <si>
    <t>37</t>
  </si>
  <si>
    <t>38</t>
  </si>
  <si>
    <t>FGK Maschine</t>
  </si>
  <si>
    <t>FGK Personal</t>
  </si>
  <si>
    <t>Selling Price</t>
  </si>
  <si>
    <t>Production Costs</t>
  </si>
  <si>
    <t>Material Costs</t>
  </si>
  <si>
    <t>Machine Costs</t>
  </si>
  <si>
    <t>Spalte</t>
  </si>
  <si>
    <t>Auss. W</t>
  </si>
  <si>
    <t>Auss. M</t>
  </si>
  <si>
    <t>Spotlight</t>
  </si>
  <si>
    <t>Split 2</t>
  </si>
  <si>
    <t>Split 1</t>
  </si>
  <si>
    <t>Kostenarten</t>
  </si>
  <si>
    <t>Komponenten</t>
  </si>
  <si>
    <t>Pfad Maschinenkarten + Technologieschnellrechner</t>
  </si>
  <si>
    <t>Materialgruppe</t>
  </si>
  <si>
    <t>Log</t>
  </si>
  <si>
    <t>\\wts\02 DATA\02 WD\02 Technologien\97 AWS Technologiedatenbank\</t>
  </si>
  <si>
    <t>\\wts\02 DATA\01 Orga\97 Projektorganisation\Projektübersicht.accdb</t>
  </si>
  <si>
    <t>Zusammenbau</t>
  </si>
  <si>
    <t>Costumer lot size</t>
  </si>
  <si>
    <t>Label EN</t>
  </si>
  <si>
    <t>Label DE</t>
  </si>
  <si>
    <t>OnAction</t>
  </si>
  <si>
    <t>ScreenTip EN</t>
  </si>
  <si>
    <t>ScreenTip DE</t>
  </si>
  <si>
    <t>Supertip EN</t>
  </si>
  <si>
    <t>Supertip DE</t>
  </si>
  <si>
    <t>btn000</t>
  </si>
  <si>
    <t>grp00</t>
  </si>
  <si>
    <t>Visible</t>
  </si>
  <si>
    <t>Enabled</t>
  </si>
  <si>
    <t>Projektvorlage auswählen</t>
  </si>
  <si>
    <t>Erweiterte Einstellungen</t>
  </si>
  <si>
    <t>Pfad Projektübersicht</t>
  </si>
  <si>
    <t>Pfad Server</t>
  </si>
  <si>
    <t>Pfad AppData (lokal)</t>
  </si>
  <si>
    <t>Pfad Backup (lokal)</t>
  </si>
  <si>
    <t>grp02</t>
  </si>
  <si>
    <t>btn10</t>
  </si>
  <si>
    <t>btn11</t>
  </si>
  <si>
    <t>Kalkulation</t>
  </si>
  <si>
    <t>btnViewA</t>
  </si>
  <si>
    <t>btnViewB</t>
  </si>
  <si>
    <t>btnViewC</t>
  </si>
  <si>
    <t>btnViewD</t>
  </si>
  <si>
    <t>btnViewEdit</t>
  </si>
  <si>
    <t>Num</t>
  </si>
  <si>
    <t>btnMHR</t>
  </si>
  <si>
    <t>btnMAT</t>
  </si>
  <si>
    <t>btnLOC</t>
  </si>
  <si>
    <t>btnTEC</t>
  </si>
  <si>
    <t>mnu_sbtPCB</t>
  </si>
  <si>
    <t>btnPCB</t>
  </si>
  <si>
    <t>Check</t>
  </si>
  <si>
    <t>btnCheckMe</t>
  </si>
  <si>
    <t>btnCheckAll</t>
  </si>
  <si>
    <t>btnCheckReset</t>
  </si>
  <si>
    <t>Reset</t>
  </si>
  <si>
    <t>Calculation</t>
  </si>
  <si>
    <t>Eingabeansicht</t>
  </si>
  <si>
    <t>Präsentationsansicht</t>
  </si>
  <si>
    <t>Kompaktansicht</t>
  </si>
  <si>
    <t>Eigene Ansicht</t>
  </si>
  <si>
    <t>Spalten</t>
  </si>
  <si>
    <t>Externes Rüsten</t>
  </si>
  <si>
    <t>Nacharbeit Ausschuss</t>
  </si>
  <si>
    <t>Vorgelagerter Materialausschuss</t>
  </si>
  <si>
    <t>Sonstige (Logistik etc.)</t>
  </si>
  <si>
    <t>Analyse</t>
  </si>
  <si>
    <t>Other (Logistics etc.)</t>
  </si>
  <si>
    <t>Columns</t>
  </si>
  <si>
    <t>Bilder umbenennen</t>
  </si>
  <si>
    <t>Ordner öffnen</t>
  </si>
  <si>
    <t>Ordnerpfad ändern</t>
  </si>
  <si>
    <t>Anlagen</t>
  </si>
  <si>
    <t>Routinen</t>
  </si>
  <si>
    <t>E-BOM importieren ...</t>
  </si>
  <si>
    <t>Import E-BOM ...</t>
  </si>
  <si>
    <t>Aktives Arbeitsblatt</t>
  </si>
  <si>
    <t>Active worksheet</t>
  </si>
  <si>
    <t>Alle Arbeitsblätter</t>
  </si>
  <si>
    <t>ProjectInit</t>
  </si>
  <si>
    <t>SettingsInit</t>
  </si>
  <si>
    <t>AnalysisInit</t>
  </si>
  <si>
    <t>CalcSetColumnVisibility</t>
  </si>
  <si>
    <t>btn_sbt00</t>
  </si>
  <si>
    <t>GenerateBomNumbering</t>
  </si>
  <si>
    <t>PicturesRename</t>
  </si>
  <si>
    <t>PicturesOpenDirectory</t>
  </si>
  <si>
    <t>PicturesSetDirectory</t>
  </si>
  <si>
    <t>xMhrInit</t>
  </si>
  <si>
    <t>xMatInit</t>
  </si>
  <si>
    <t>xLocInit</t>
  </si>
  <si>
    <t>xTecInit</t>
  </si>
  <si>
    <t>xNewEbom</t>
  </si>
  <si>
    <t>xImportEbom</t>
  </si>
  <si>
    <t>CheckReset</t>
  </si>
  <si>
    <t>btn010</t>
  </si>
  <si>
    <t>Input view</t>
  </si>
  <si>
    <t>Presentation view</t>
  </si>
  <si>
    <t>Compact view</t>
  </si>
  <si>
    <t>Custom view</t>
  </si>
  <si>
    <t>External setup</t>
  </si>
  <si>
    <t>Wear tools</t>
  </si>
  <si>
    <t>Rework on scrap</t>
  </si>
  <si>
    <t>Prior material setup</t>
  </si>
  <si>
    <t>Rename pictures</t>
  </si>
  <si>
    <t>Open folder</t>
  </si>
  <si>
    <t>grp04</t>
  </si>
  <si>
    <t>Know-How</t>
  </si>
  <si>
    <t>Add new row</t>
  </si>
  <si>
    <t>Pfad Bilderordner</t>
  </si>
  <si>
    <t>gbt0</t>
  </si>
  <si>
    <t>spr0000</t>
  </si>
  <si>
    <t>Add</t>
  </si>
  <si>
    <t>Hinzufügen</t>
  </si>
  <si>
    <t>dym010</t>
  </si>
  <si>
    <t>dym011</t>
  </si>
  <si>
    <t>Delete</t>
  </si>
  <si>
    <t>Löschen</t>
  </si>
  <si>
    <t>Klonen</t>
  </si>
  <si>
    <t>Clone</t>
  </si>
  <si>
    <t>mnu010</t>
  </si>
  <si>
    <t>grp01</t>
  </si>
  <si>
    <t>grp03</t>
  </si>
  <si>
    <t>BOM</t>
  </si>
  <si>
    <t>btn_sbt15</t>
  </si>
  <si>
    <t>Sync</t>
  </si>
  <si>
    <t>Advanced</t>
  </si>
  <si>
    <t>Erweitert</t>
  </si>
  <si>
    <t>Lieferanten klonen</t>
  </si>
  <si>
    <t>Lieferanten löschen</t>
  </si>
  <si>
    <t>Neuen Lieferanten hinzufügen</t>
  </si>
  <si>
    <t>Ansicht zurücksetzen</t>
  </si>
  <si>
    <t>Bilderordner öffnen</t>
  </si>
  <si>
    <t>Schnellüberprüfung</t>
  </si>
  <si>
    <t>Überprüfung des aktiven Arbeitsblattes</t>
  </si>
  <si>
    <t>Überprüfung aller Arbeitsblätter</t>
  </si>
  <si>
    <t>btnNewPCB</t>
  </si>
  <si>
    <t>Add new E-BOM</t>
  </si>
  <si>
    <t>Leere E-BOM einfügen</t>
  </si>
  <si>
    <t>E-BOM importieren</t>
  </si>
  <si>
    <t>E-BOM hinzufügen</t>
  </si>
  <si>
    <t>ACT-Q</t>
  </si>
  <si>
    <t>btnPic1</t>
  </si>
  <si>
    <t>btnPic2</t>
  </si>
  <si>
    <t>btnPic3</t>
  </si>
  <si>
    <t>btnNum</t>
  </si>
  <si>
    <t>Entfernt sämtliche im Rahmen der Überprüfung gesetzen Markierungen aus der Arbeitsmappe und setzt die Fehlerliste zurück</t>
  </si>
  <si>
    <t>Zurücksetzen aller Überprüfungen</t>
  </si>
  <si>
    <t>ACT-Q (Schnellkalkulation)</t>
  </si>
  <si>
    <t>ACT-X (Know-How)</t>
  </si>
  <si>
    <t>Nummeriert die Zeilen der BOM gemäß der AWS-Logik neu.</t>
  </si>
  <si>
    <t>mnuCol</t>
  </si>
  <si>
    <t>Zusätzliche Spalten</t>
  </si>
  <si>
    <t>Ein-/Ausblenden der Clusterspalten. Jede Zeile kann bis zu drei Clustern zugeordnet und entsprechend ausgewertet werden.</t>
  </si>
  <si>
    <t>mnuHlp</t>
  </si>
  <si>
    <t>Hilfeleiste ein-/ausblenden</t>
  </si>
  <si>
    <t>Help</t>
  </si>
  <si>
    <t>Hilfe</t>
  </si>
  <si>
    <t>ACT Help</t>
  </si>
  <si>
    <t>ACT Hilfe</t>
  </si>
  <si>
    <t>Dokumentation öffnen</t>
  </si>
  <si>
    <t>Get in touch</t>
  </si>
  <si>
    <t>In Kontakt treten</t>
  </si>
  <si>
    <t>Info</t>
  </si>
  <si>
    <t>Open documentation</t>
  </si>
  <si>
    <t>SetUpNewEmail</t>
  </si>
  <si>
    <t>tgbPic</t>
  </si>
  <si>
    <t>Bilderrahmen ein-/ausblenden</t>
  </si>
  <si>
    <t>Pictureframe</t>
  </si>
  <si>
    <t>Helpbar</t>
  </si>
  <si>
    <t>Hilfeleiste</t>
  </si>
  <si>
    <t>Kalkulator Name</t>
  </si>
  <si>
    <t>Kalkulator E-Mail-Adresse</t>
  </si>
  <si>
    <t>tgbInf</t>
  </si>
  <si>
    <t>btnAna</t>
  </si>
  <si>
    <t>mnuAna</t>
  </si>
  <si>
    <t>Infobar</t>
  </si>
  <si>
    <t>Infoleiste</t>
  </si>
  <si>
    <t>Infoleiste ein-/ausblenden</t>
  </si>
  <si>
    <t>Bilderrahmen</t>
  </si>
  <si>
    <t>MAT</t>
  </si>
  <si>
    <t>Material group</t>
  </si>
  <si>
    <t>LOC</t>
  </si>
  <si>
    <t>Energy 
[EUR/kWh]</t>
  </si>
  <si>
    <t>UserForm</t>
  </si>
  <si>
    <t>AnalysisSettings</t>
  </si>
  <si>
    <t>Settings</t>
  </si>
  <si>
    <t>SupplyChain</t>
  </si>
  <si>
    <t>AWS</t>
  </si>
  <si>
    <t>Projektleiter Name</t>
  </si>
  <si>
    <t>Projektleiter E-Mail-Adresse</t>
  </si>
  <si>
    <t>E-BOM</t>
  </si>
  <si>
    <t>Die Lieferanten-ID ist eine eindeutige Kennung, unter der sich der Lieferant in der Lieferantenstruktur in BOM und Kalkulation wiederfindet.
Achtung: Die ID entspricht weder automatisch der Position des Lieferanten im Prämissen-Reiter noch gibt sie Auskunft über dessen Tier-Level innerhalb der Lieferantenstruktur!</t>
  </si>
  <si>
    <t>Supplier structure</t>
  </si>
  <si>
    <t>Userform Analysis Settings</t>
  </si>
  <si>
    <t>Userform Supply Chain</t>
  </si>
  <si>
    <t>Die obere Grafik stellt die für das Bauteil hinterlegte Lieferantenstruktur dar. Per Doppelklick auf die entsprechende Grafik wird ein Lieferant aus der Lieferkette entfernt.
Unterhalb der Grafik sind die in der Kalkulation verfügbaren Lieferanten aufgelistet. Per Doppeklick wird ein Lieferant der Lieferkette hinzugefügt.
Die Länge der darstellbaren Lieferkette ist auf drei Lieferanten begrenzt.
Achtung: Die Lieferanten-ID entspricht weder automatisch der Position des Lieferanten im Prämissen-Reiter noch gibt sie Auskunft über dessen Tier-Level innerhalb der Lieferantenstruktur!</t>
  </si>
  <si>
    <t>Neu laden</t>
  </si>
  <si>
    <t>Reload</t>
  </si>
  <si>
    <t>Reload user interface</t>
  </si>
  <si>
    <t>Benutzeroberfläche neu laden</t>
  </si>
  <si>
    <t>info@aws-systemtechnik.de</t>
  </si>
  <si>
    <t>Kundenansicht ein-/ausschalten</t>
  </si>
  <si>
    <t>CalcEditCustomColumnView</t>
  </si>
  <si>
    <t>Pfad Materialpreisrechner</t>
  </si>
  <si>
    <t>Pfad Technologieschnellrechner</t>
  </si>
  <si>
    <t>in kg</t>
  </si>
  <si>
    <t>Abmessungen in mm</t>
  </si>
  <si>
    <t>Dimensions in mm</t>
  </si>
  <si>
    <t>Weight</t>
  </si>
  <si>
    <t>Purchased part</t>
  </si>
  <si>
    <t>Kaufteil</t>
  </si>
  <si>
    <t>Components</t>
  </si>
  <si>
    <t>btnSyc</t>
  </si>
  <si>
    <t>tgbSycAutoSyc</t>
  </si>
  <si>
    <t>btnSycAlt</t>
  </si>
  <si>
    <t>tgbSycAutoBcp</t>
  </si>
  <si>
    <t>Daten updaten</t>
  </si>
  <si>
    <t>Update data</t>
  </si>
  <si>
    <t>grp09</t>
  </si>
  <si>
    <t>m²</t>
  </si>
  <si>
    <t>Quelle</t>
  </si>
  <si>
    <t>Source</t>
  </si>
  <si>
    <t>String</t>
  </si>
  <si>
    <t>Datenstand</t>
  </si>
  <si>
    <t>?</t>
  </si>
  <si>
    <t>mnuMHR</t>
  </si>
  <si>
    <t>btnMHRRfs</t>
  </si>
  <si>
    <t>btnMHRDB</t>
  </si>
  <si>
    <t>btnMHRCB</t>
  </si>
  <si>
    <t>Add from DB</t>
  </si>
  <si>
    <t>Aus DB hinzufügen</t>
  </si>
  <si>
    <t>Add from Clipboard</t>
  </si>
  <si>
    <t>Aus Zwischenablage hinzufügen</t>
  </si>
  <si>
    <t>mnuMAT</t>
  </si>
  <si>
    <t>btnMATDB</t>
  </si>
  <si>
    <t>btnMATCB</t>
  </si>
  <si>
    <t>btnMATRfs</t>
  </si>
  <si>
    <t>mnuLOC</t>
  </si>
  <si>
    <t>btnLOCDB</t>
  </si>
  <si>
    <t>btnLOCCB</t>
  </si>
  <si>
    <t>btnLOCRfs</t>
  </si>
  <si>
    <t>dymMAT</t>
  </si>
  <si>
    <t>Aus MP-Rechner importieren</t>
  </si>
  <si>
    <t>Auf Updates prüfen</t>
  </si>
  <si>
    <t>Check for updates</t>
  </si>
  <si>
    <t>Import from MP-Tool</t>
  </si>
  <si>
    <t>Bauteil</t>
  </si>
  <si>
    <t>Dichte 
in kg/dm³</t>
  </si>
  <si>
    <t>Korrektur-faktor</t>
  </si>
  <si>
    <t>Masse
in g</t>
  </si>
  <si>
    <t>Masse
in kg</t>
  </si>
  <si>
    <t>Form</t>
  </si>
  <si>
    <t>Volumen
in mm³</t>
  </si>
  <si>
    <t>Ø außen</t>
  </si>
  <si>
    <t>Ø innen</t>
  </si>
  <si>
    <t>Volumen</t>
  </si>
  <si>
    <t>Masse in g</t>
  </si>
  <si>
    <t>Masse</t>
  </si>
  <si>
    <t>Part</t>
  </si>
  <si>
    <t>Shape</t>
  </si>
  <si>
    <t>Density 
in kg/dm³</t>
  </si>
  <si>
    <t>Ø outer</t>
  </si>
  <si>
    <t>Ø inner</t>
  </si>
  <si>
    <t>Correction factor</t>
  </si>
  <si>
    <t>Mass
in g</t>
  </si>
  <si>
    <t>Mass
in kg</t>
  </si>
  <si>
    <t>Volume
in mm³</t>
  </si>
  <si>
    <t>C-Parts</t>
  </si>
  <si>
    <t>Electronics</t>
  </si>
  <si>
    <t>Select project template</t>
  </si>
  <si>
    <t>ACT-Q (Quick calculation)</t>
  </si>
  <si>
    <t>Advanced Settings</t>
  </si>
  <si>
    <t>Renumbers the rows of the BOM according to the AWS logic.</t>
  </si>
  <si>
    <t>Open picture folder</t>
  </si>
  <si>
    <t>Show/hide info bar</t>
  </si>
  <si>
    <t>Add a new block</t>
  </si>
  <si>
    <t>Reset view</t>
  </si>
  <si>
    <t>Additional columns</t>
  </si>
  <si>
    <t>Rework scrap</t>
  </si>
  <si>
    <t>Upstream material scrap</t>
  </si>
  <si>
    <t>Other (logistics etc.)</t>
  </si>
  <si>
    <t>Show/hide the clustered columns. Each row can be assigned up to three clusters and evaluated accordingly.</t>
  </si>
  <si>
    <t>Insert empty E-BOM</t>
  </si>
  <si>
    <t>Import E-BOM</t>
  </si>
  <si>
    <t>Quick Review</t>
  </si>
  <si>
    <t>Review of the active worksheet</t>
  </si>
  <si>
    <t>Review of all worksheets</t>
  </si>
  <si>
    <t>Reset all reviews</t>
  </si>
  <si>
    <t>Removes all marks set during the check from the workbook and resets the error list.</t>
  </si>
  <si>
    <t>Show/hide help bar</t>
  </si>
  <si>
    <t>Activate/deactivate customer view</t>
  </si>
  <si>
    <t>Add new supplier</t>
  </si>
  <si>
    <t>Clone suppliers</t>
  </si>
  <si>
    <t>Delete suppliers</t>
  </si>
  <si>
    <t>Bestellaufwand</t>
  </si>
  <si>
    <t>Lagerart</t>
  </si>
  <si>
    <t>Prüfaufwand</t>
  </si>
  <si>
    <t>gering</t>
  </si>
  <si>
    <t>Silo</t>
  </si>
  <si>
    <t>Schüttgut</t>
  </si>
  <si>
    <t>hoch</t>
  </si>
  <si>
    <t>mittel</t>
  </si>
  <si>
    <t>Kragarmregal</t>
  </si>
  <si>
    <t>Einzelteil</t>
  </si>
  <si>
    <t>Coillager</t>
  </si>
  <si>
    <t>Coil</t>
  </si>
  <si>
    <t>Palettenlagerung mit Frontgabelstapler</t>
  </si>
  <si>
    <t>Palettenlagerung mit Regalbediengerät</t>
  </si>
  <si>
    <t>SMD Lagersystem</t>
  </si>
  <si>
    <t>Elektronik</t>
  </si>
  <si>
    <t>Kunststoff</t>
  </si>
  <si>
    <t>Kunststoff (spezifisch)</t>
  </si>
  <si>
    <t>ZSB komplex</t>
  </si>
  <si>
    <t>Assy light</t>
  </si>
  <si>
    <t>Glas</t>
  </si>
  <si>
    <t>Verbund/Natur/Textilstoffe</t>
  </si>
  <si>
    <t>Verbrauchsmaterialien &amp; Hilfsstoffe flüssig</t>
  </si>
  <si>
    <t>Verbrauchsmaterialien &amp; Hilfsstoffe fest</t>
  </si>
  <si>
    <t>Folien &amp; Papier</t>
  </si>
  <si>
    <t>Spezifikation</t>
  </si>
  <si>
    <t>Bestell-aufwand</t>
  </si>
  <si>
    <t>Spezifiaktion</t>
  </si>
  <si>
    <t>Fläche je Lagereinheit
in m²</t>
  </si>
  <si>
    <t>Menge je Lagereinheit</t>
  </si>
  <si>
    <t>Lagerreichweite</t>
  </si>
  <si>
    <t>Fläche je Lagereinheit</t>
  </si>
  <si>
    <t>Lager-reichweite
in Wochen</t>
  </si>
  <si>
    <t>Fachbodenregal</t>
  </si>
  <si>
    <t>€</t>
  </si>
  <si>
    <t>kWh</t>
  </si>
  <si>
    <t>Arbeitsplatz Einkäufer</t>
  </si>
  <si>
    <t>Prüfstand (Maße)</t>
  </si>
  <si>
    <t>Prüfstand (Gewicht)</t>
  </si>
  <si>
    <t>Prüfstand (Werkstoff)</t>
  </si>
  <si>
    <t>Prüfstand (Funktion)</t>
  </si>
  <si>
    <t>Prüfstand (Röntgen)</t>
  </si>
  <si>
    <t>Prüfstand (Magnetpulverprüfung)</t>
  </si>
  <si>
    <t>Prüfstand (Dauertest)</t>
  </si>
  <si>
    <t>Prüfstand (Farbechtheitstest)</t>
  </si>
  <si>
    <t>Prüfstand (Elekronik)</t>
  </si>
  <si>
    <t>EK</t>
  </si>
  <si>
    <t>PI</t>
  </si>
  <si>
    <t>Zu verzinsender Invest</t>
  </si>
  <si>
    <t>LA</t>
  </si>
  <si>
    <t>AfA</t>
  </si>
  <si>
    <t>keiner</t>
  </si>
  <si>
    <t>Surface area 
in mm²</t>
  </si>
  <si>
    <t>MGK Übertrag</t>
  </si>
  <si>
    <t>Einkauf</t>
  </si>
  <si>
    <t>Qualität</t>
  </si>
  <si>
    <t>Aufwand in h/Jahr</t>
  </si>
  <si>
    <t>Handling</t>
  </si>
  <si>
    <t>Handlings-aufwand</t>
  </si>
  <si>
    <t>Maße</t>
  </si>
  <si>
    <t>Werkstoff</t>
  </si>
  <si>
    <t>Funktion</t>
  </si>
  <si>
    <t>Röntgen</t>
  </si>
  <si>
    <t>Magnetpulver</t>
  </si>
  <si>
    <t>Dauertest</t>
  </si>
  <si>
    <t>Farbechtheit</t>
  </si>
  <si>
    <t>Elekronik</t>
  </si>
  <si>
    <t>Einkäufer</t>
  </si>
  <si>
    <t>Prüfingenieur</t>
  </si>
  <si>
    <t>Lagerarbeiter</t>
  </si>
  <si>
    <t>Lager-bewegung</t>
  </si>
  <si>
    <t>Practices</t>
  </si>
  <si>
    <t>dymMHR</t>
  </si>
  <si>
    <t>Import from Tool</t>
  </si>
  <si>
    <t>Aus Schnellrechner importieren</t>
  </si>
  <si>
    <t>E-Stapler</t>
  </si>
  <si>
    <t>Niederhubkommisionierer</t>
  </si>
  <si>
    <t>Deckenkran</t>
  </si>
  <si>
    <t>Gerät</t>
  </si>
  <si>
    <t>Übertrag Prüfstand</t>
  </si>
  <si>
    <t>Handlingsaufwand</t>
  </si>
  <si>
    <t>16.12.2020</t>
  </si>
  <si>
    <t>Übertrag Lagerplatz</t>
  </si>
  <si>
    <t>Q-Invest</t>
  </si>
  <si>
    <t>Q-€</t>
  </si>
  <si>
    <t>Q-kWh</t>
  </si>
  <si>
    <t>Q-m²</t>
  </si>
  <si>
    <t>L-Invest</t>
  </si>
  <si>
    <t>L-€</t>
  </si>
  <si>
    <t>L-kWh</t>
  </si>
  <si>
    <t>L-m²</t>
  </si>
  <si>
    <t>B-Invest</t>
  </si>
  <si>
    <t>B-€</t>
  </si>
  <si>
    <t>B-kWh</t>
  </si>
  <si>
    <t>B-m²</t>
  </si>
  <si>
    <t>Übertrag Lagerbediengerät</t>
  </si>
  <si>
    <t>Lagerbediengerät</t>
  </si>
  <si>
    <t>Surface treatment</t>
  </si>
  <si>
    <t>Compound materials</t>
  </si>
  <si>
    <t>Consumable materials liquid</t>
  </si>
  <si>
    <t>Consumable materials solid</t>
  </si>
  <si>
    <t>Paper &amp; Foils</t>
  </si>
  <si>
    <t>Ballen</t>
  </si>
  <si>
    <t>Oberfläche
in mm²</t>
  </si>
  <si>
    <t>T2</t>
  </si>
  <si>
    <t>T1</t>
  </si>
  <si>
    <t>Personalaufwand in h/Jahr</t>
  </si>
  <si>
    <t>Prüfstandbelegung in h/Jahr</t>
  </si>
  <si>
    <t>Stapel</t>
  </si>
  <si>
    <t>Metall Stange</t>
  </si>
  <si>
    <t>Metall Blech</t>
  </si>
  <si>
    <t>Metall Block</t>
  </si>
  <si>
    <t>Metall Pulver</t>
  </si>
  <si>
    <t>Beschichtung</t>
  </si>
  <si>
    <t>Normteil</t>
  </si>
  <si>
    <t>C-Teil</t>
  </si>
  <si>
    <t>Assy complex</t>
  </si>
  <si>
    <t>mnuON</t>
  </si>
  <si>
    <t>mnuOF</t>
  </si>
  <si>
    <t>btnONOF</t>
  </si>
  <si>
    <t>btnONON</t>
  </si>
  <si>
    <t>btnOFON</t>
  </si>
  <si>
    <t>btnOFOF</t>
  </si>
  <si>
    <t>Offline arbeiten</t>
  </si>
  <si>
    <t>Online arbeiten</t>
  </si>
  <si>
    <t>Work online</t>
  </si>
  <si>
    <t>Advanced settings</t>
  </si>
  <si>
    <t>Work offline</t>
  </si>
  <si>
    <t>Offline</t>
  </si>
  <si>
    <t>Admin E-Mail-Adresse</t>
  </si>
  <si>
    <t>Arbeitstage</t>
  </si>
  <si>
    <t>SpezBeMi</t>
  </si>
  <si>
    <t>ACT MK/SR</t>
  </si>
  <si>
    <t>ACT ID</t>
  </si>
  <si>
    <t>Stunden</t>
  </si>
  <si>
    <t>Zinssatz</t>
  </si>
  <si>
    <t>Stromkosten</t>
  </si>
  <si>
    <t>Mietkosten</t>
  </si>
  <si>
    <t>Gaskosten</t>
  </si>
  <si>
    <t>Fixkosten</t>
  </si>
  <si>
    <t>variable Kosten</t>
  </si>
  <si>
    <t>Factor natural gas</t>
  </si>
  <si>
    <t>Factor electricity</t>
  </si>
  <si>
    <t>Natural gas</t>
  </si>
  <si>
    <t>Mittlerer Stromwert</t>
  </si>
  <si>
    <t>Currenct average value</t>
  </si>
  <si>
    <t>Natural gas average value</t>
  </si>
  <si>
    <t>Mittlerer Erdgaswert</t>
  </si>
  <si>
    <t>The actual energy consumption based on nominal load and the adjustment factor.
Currenct average value = Electricity x Factor electricity</t>
  </si>
  <si>
    <t>The investment is displayed in the currency selected on the premise sheet here.
Invest = Invest in input currency x Exchange rate</t>
  </si>
  <si>
    <t>The actual energy consumption based on nominal load and the adjustment factor.
Natural gas average value = Natural gas x Factor natural gas</t>
  </si>
  <si>
    <t>Zugehöriger Schnellrecher</t>
  </si>
  <si>
    <t>Optional: Die benötigte Rüstzeit in Minuten, d.h. die Zeit in der die Maschine steht und von Mitarbeitern gerüstet wird.</t>
  </si>
  <si>
    <t>Optional: Die Anzahl der Mitarbeiter, die für das Rüsten benötigt werden.</t>
  </si>
  <si>
    <t>Optional: Die ID der Maschine in der AWS Maschinendatenbank.</t>
  </si>
  <si>
    <t>General area</t>
  </si>
  <si>
    <t>Investment (in input currency)</t>
  </si>
  <si>
    <t>Invest (in Eingabewährung)</t>
  </si>
  <si>
    <t>Optional: Die Anzahl der Mitarbeter, die zur Bedienung der Maschine benötigt werden.</t>
  </si>
  <si>
    <t>Optional: Die Qualifikation der Mitarbeter, die zur Bedienung der Maschine benötigt werden.</t>
  </si>
  <si>
    <t>Verwendung</t>
  </si>
  <si>
    <t>Schichtmodell</t>
  </si>
  <si>
    <t>Stunden pro Jahr</t>
  </si>
  <si>
    <t>Lagerbewegung</t>
  </si>
  <si>
    <t>Kapitalbindung</t>
  </si>
  <si>
    <t>Versicherung</t>
  </si>
  <si>
    <t>Lagerplatzkosten</t>
  </si>
  <si>
    <t>FixProJahr</t>
  </si>
  <si>
    <t>FixProEH</t>
  </si>
  <si>
    <t>Dies ist der Strompreis für eine Kilowattstunde abhängig vom Produktionsland.</t>
  </si>
  <si>
    <t>Erdgas 
[EUR/kWh]</t>
  </si>
  <si>
    <t>Natural gas 
[EUR/kWh]</t>
  </si>
  <si>
    <t>Dies ist der Erdgaspreis für eine Kilowattstunde abhängig vom Produktionsland.</t>
  </si>
  <si>
    <t>This is the natural gas price for one kilowatt hour depending on the country of production.</t>
  </si>
  <si>
    <t>Default-Pfad MHR</t>
  </si>
  <si>
    <t>Default-Pfad MAT</t>
  </si>
  <si>
    <t>Default-Pfad LOC</t>
  </si>
  <si>
    <t>Default-Pfad TEC</t>
  </si>
  <si>
    <t>Invest (Input)</t>
  </si>
  <si>
    <t>ZSB Elektronik</t>
  </si>
  <si>
    <t>Assy electronics</t>
  </si>
  <si>
    <t>Order effort</t>
  </si>
  <si>
    <t>Handling effort</t>
  </si>
  <si>
    <t>Inspection effort</t>
  </si>
  <si>
    <t>Specification</t>
  </si>
  <si>
    <t>Stock range_x000D_
in weeks</t>
  </si>
  <si>
    <t>Quantity per storage unit</t>
  </si>
  <si>
    <t>Area per storage unit_x000D_
in m²</t>
  </si>
  <si>
    <t>Buyer</t>
  </si>
  <si>
    <t>Inspection engineer</t>
  </si>
  <si>
    <t>Warehouse worker</t>
  </si>
  <si>
    <t>Function</t>
  </si>
  <si>
    <t>X-ray</t>
  </si>
  <si>
    <t>Magnetic powder</t>
  </si>
  <si>
    <t>Endurance test</t>
  </si>
  <si>
    <t>Interest bearing investment</t>
  </si>
  <si>
    <t>Colour fastness</t>
  </si>
  <si>
    <t>Personnel expenditure in h/year</t>
  </si>
  <si>
    <t>Test stand occupancy in h/year</t>
  </si>
  <si>
    <t>Carry forward test stand</t>
  </si>
  <si>
    <t>Carry forward storage device</t>
  </si>
  <si>
    <t>Carry forward place of storage</t>
  </si>
  <si>
    <t>Storage handling equipment</t>
  </si>
  <si>
    <t>VVGK: F &amp; E [%]</t>
  </si>
  <si>
    <t>Storage type</t>
  </si>
  <si>
    <t>$AX$9:$BA$10</t>
  </si>
  <si>
    <t>$AX$12:$BA$16</t>
  </si>
  <si>
    <t>$AX$18:$BA$21</t>
  </si>
  <si>
    <t>$AX$23:$BA$26</t>
  </si>
  <si>
    <t>Bezeichung DE</t>
  </si>
  <si>
    <t>Bezeichnung EN</t>
  </si>
  <si>
    <t>MGK: Materialgruppen</t>
  </si>
  <si>
    <t>MGK: Anlagen</t>
  </si>
  <si>
    <t>Bezeichnung DE</t>
  </si>
  <si>
    <t>Personalaufwand</t>
  </si>
  <si>
    <t>Prüfstandbelegung</t>
  </si>
  <si>
    <t>Ind. Material: Material groups</t>
  </si>
  <si>
    <t>Ind. Material: Equipment</t>
  </si>
  <si>
    <t>Description DE</t>
  </si>
  <si>
    <t>Description EN</t>
  </si>
  <si>
    <t>Personnel expenditure</t>
  </si>
  <si>
    <t>Test stand occupancy</t>
  </si>
  <si>
    <t>Fläche je Lagereinheit in m²</t>
  </si>
  <si>
    <t>Lagerreichweite in Wochen</t>
  </si>
  <si>
    <t>Administration</t>
  </si>
  <si>
    <t>Verwaltung</t>
  </si>
  <si>
    <t>Forschung &amp; Entwicklung</t>
  </si>
  <si>
    <t>Research &amp; Development</t>
  </si>
  <si>
    <t>Zur Berechnung des lieferantenspezifischen Stundensatzes im MAT-Reiter benötigter Wert.</t>
  </si>
  <si>
    <t>Distribution &amp; Shipping</t>
  </si>
  <si>
    <t>Vertrieb &amp; Versand</t>
  </si>
  <si>
    <t>Materialien, die in der Kalkulation verwendet werden, sind mit einem X markiert.</t>
  </si>
  <si>
    <t>Purchasing</t>
  </si>
  <si>
    <t>Quality</t>
  </si>
  <si>
    <t>Stock movement</t>
  </si>
  <si>
    <t>Set of data</t>
  </si>
  <si>
    <t>IMHR</t>
  </si>
  <si>
    <t xml:space="preserve"> The total Indirect Mfg. per piece is calculated here.
Indirect Mfg. = (IMHR x cycle time x factor time unit) / parts per cycle.</t>
  </si>
  <si>
    <t>Here, the machine- and country-specific indirect manufacturing costs (IMC) is transferred as an indirect manufacturing hourly rate (IMHR) from the MHR tab.</t>
  </si>
  <si>
    <t xml:space="preserve"> Here the percentage surcharge is calculated, which results from the selected supplier structure/tier structure (column BZ).
If the Tier 1 supplier produces a component himself, the value is 100%. If the supplier structure is multi-tiered, the percentage surcharges of the suppliers in the chain are added to the 100% of the manufacturer.
Example: 
Supplier structure 3-2-1
Supplier 3 (Tier 3) is manufacturer and has the costs shown in column BT. He delivers to Supplier 2 (Tier 2) and Supplier 1 (Tier 1), who in turn add surcharges for ADR, profit, MDR, logistics and scrap (see Premises tab).
</t>
  </si>
  <si>
    <t xml:space="preserve"> Here the price per piece for the respective calculation block including the tier surcharges (column BU) is displayed._x000D_
</t>
  </si>
  <si>
    <t>This shows the price for the respective calculation block including the tier surcharges (column BU).</t>
  </si>
  <si>
    <t>btnTECMHR</t>
  </si>
  <si>
    <t>btnTECMAT</t>
  </si>
  <si>
    <t>Materialpreisrechner</t>
  </si>
  <si>
    <t>Material price tools</t>
  </si>
  <si>
    <t>Technologie tools</t>
  </si>
  <si>
    <t>btnAnaAlt</t>
  </si>
  <si>
    <t>tgbPicAlt</t>
  </si>
  <si>
    <t>\\wts\02 DATA\02 WD\02 Technologien\23 Elektronik - Elektrik\</t>
  </si>
  <si>
    <t>kg</t>
  </si>
  <si>
    <t>Im Onlinemodus werden die auf dem Server hinterlegten Addins, Datenbanken und Routinen verwendet.</t>
  </si>
  <si>
    <t>Scrap before this production stage</t>
  </si>
  <si>
    <t>Hier werden die gesamten direkten Materialkosten berechnet.
Direkte Materialkosten = Anzahl x Faktor</t>
  </si>
  <si>
    <t>Hier werden die gesamten direkten Mitarbeiterkosten berechnet.
Direkte Mitarbeiterkosten = Stückzahl x AK Mitarbeiter</t>
  </si>
  <si>
    <t>Here the total direct employee costs are calculated.
Direct employee costs = quantity x LC employees</t>
  </si>
  <si>
    <t>Anteil RFGK</t>
  </si>
  <si>
    <t>Anteil MGK</t>
  </si>
  <si>
    <t>Hier wird der prozentualle Aufschlag berechnet, der sich aus der gewählten Lieferantenstruktur/Tierstruktur (Spalte BZ) ergibt.
Wenn der Lieferant der Stufe Tier 1 ein Bauteil selber herstellt, liegt der Wert bei 100 %. Bei mehrstufiger Lieferantenstruktur kommen auf die 100 % des Herstellers die prozentuallen Zuschläge der in der Kette befindlichen Lieferanten hinzu.
Beispiel: 
Lieferantenstruktur 3-2-1
Lieferant 3 (Tier 3) ist Hersteller und hat die in Spalte BT angezeigten Kosten. Er liefert an Lieferant 2 (Tier 2) und der wiederrum an Lieferant 1 (Tier 1), die ihrerseits jeweils Zuschläge für Materialausschuss, MGK, VVGK, Gewinn und Logistik aufschlagen (siehe Prämissenreiter).</t>
  </si>
  <si>
    <t>Überprüft alle Arbeitsblätter auf Fehler und Unregelmäßigkeiten.
Achtung: Die Überprüfung ersetzt nicht die manuelle Durchsicht durch den Kalkulator!</t>
  </si>
  <si>
    <t>Überprüft das aktive Arbeitsblatt auf Fehler und Unregelmäßigkeiten.
Achtung: Die Überprüfung ersetzt nicht die manuelle Durchsicht durch den Kalkulator!</t>
  </si>
  <si>
    <t>Überprüft das aktive Arbeitsblatt auf gravierende Fehler und Unregelmäßigkeiten.
Achtung: Die Überprüfung ersetzt nicht die manuelle Durchsicht durch den Kalkulator!</t>
  </si>
  <si>
    <t>Ansicht bearbeiten</t>
  </si>
  <si>
    <t>Edit view</t>
  </si>
  <si>
    <t>Selecting columns to be displayed.
If 'Custom view' is selected, the result will be saved as 'Custom view'.</t>
  </si>
  <si>
    <t>Auswählen der anzuzeigenden Spalten.
Ist die 'Eigene Ansicht' ausgewählt, wird das Ergebnis als 'Eigene Ansicht' gespeichert.</t>
  </si>
  <si>
    <t>Plastics</t>
  </si>
  <si>
    <t>Plastics high spec</t>
  </si>
  <si>
    <t>Metal rod</t>
  </si>
  <si>
    <t>Metal coil</t>
  </si>
  <si>
    <t>Metal sheet</t>
  </si>
  <si>
    <t>Metal block</t>
  </si>
  <si>
    <t>Metal powder</t>
  </si>
  <si>
    <t>ZSB einfach</t>
  </si>
  <si>
    <t>Standard parts</t>
  </si>
  <si>
    <t>Preis (Input)</t>
  </si>
  <si>
    <t>Hier wird der Materialpreis in der auf dem Prämissenblatt gewählten Währung angezeigt.
Preis = Preis in Eingabewährung x Wechselkurs</t>
  </si>
  <si>
    <t>The material price is displayed in the currency selected on the premise sheet here.
Price = Price in input currency x Exchange rate</t>
  </si>
  <si>
    <t>l</t>
  </si>
  <si>
    <t>m</t>
  </si>
  <si>
    <t>m³</t>
  </si>
  <si>
    <t>Enery</t>
  </si>
  <si>
    <t>Imputed interest rate</t>
  </si>
  <si>
    <t>Kalkulatorischer Zinssatz</t>
  </si>
  <si>
    <t>Imp. Interest 
[%]</t>
  </si>
  <si>
    <t>IMC rate</t>
  </si>
  <si>
    <t>IMC share</t>
  </si>
  <si>
    <t>Proj. Fläche
in mm²</t>
  </si>
  <si>
    <t>Ø 
außen</t>
  </si>
  <si>
    <t>Ø
innen</t>
  </si>
  <si>
    <t>Proj. area
in mm²</t>
  </si>
  <si>
    <t>Ø
outer</t>
  </si>
  <si>
    <t>Ø
inner</t>
  </si>
  <si>
    <t>Oberfläche</t>
  </si>
  <si>
    <t>Proj. Fläche</t>
  </si>
  <si>
    <t>Hier wird entsprechend der Auswahl links die Nummer der Form eingetragen, die dem Bauteil am ehesten entspricht.</t>
  </si>
  <si>
    <t>Wenn das Material im MAT-Reiter hinterlegt und dort eine dazugehörige Dichte eingetragen ist, wird diese entsprechend übernommen. 
Ansonsten ist die Dichte hier manuell einzutragen.</t>
  </si>
  <si>
    <t>Optional: Hier kann das Material des Bauteils ausgewählt werden, um die im MAT-Reiter eingetragene dazugehörige Dichte zu verwenden.</t>
  </si>
  <si>
    <t>Korrekturfaktor</t>
  </si>
  <si>
    <t>Projected area</t>
  </si>
  <si>
    <t>Projizierte Fläche</t>
  </si>
  <si>
    <t>Surface area</t>
  </si>
  <si>
    <t>Volume</t>
  </si>
  <si>
    <t>Mass in g</t>
  </si>
  <si>
    <t>Mass in kg</t>
  </si>
  <si>
    <t>Masse in kg</t>
  </si>
  <si>
    <t>Wahlweise kann hier ein Bauteil aus der BOM ausgewählt werden, um die dazugehörigen Parameter zu übernehmen.
Jede Zeile kann aber auch individuell befüllt und die Formeln entsprechend überschrieben werden.</t>
  </si>
  <si>
    <t>Mit Hilfe des Korrekturfaktors kann das Ergebnis manipuliert werden, wenn bspw. die gewählte Form nicht genau der tatsächlichen Form des Bauteils entspricht.
Achtung: Der Faktor wirkt sich immer auf alle Ergebnisspalten (Oberfläche, projizierte Fläche, Volumen und Masse) aus! Wenn nur ein bestimmtes Ergebnis manipuliert werden soll, während weitere Ergebnisse in der Kalkulation Verwendung finden, muss ggf. eine neue Zeile angelegt werden.</t>
  </si>
  <si>
    <t>Dies ist das Volumen des Bauteils unter Berücksichtigung des Korrekturfaktors.</t>
  </si>
  <si>
    <t>Dies ist die Masse des Bauteils in Gramm unter Berücksichtigung des Korrekturfaktors.</t>
  </si>
  <si>
    <t>Dies ist die Masse des Bauteils in Kilogramm unter Berücksichtigung des Korrekturfaktors.</t>
  </si>
  <si>
    <t>Dies ist die gesamte Oberfläche des Bauteils unter Berücksichtigung des Korrekturfaktors.</t>
  </si>
  <si>
    <t>Dies ist die in Werkzeugöffnungsrichtung (z) projizierte Fläche des Bauteils unter Berücksichtigung des Korrekturfaktors.</t>
  </si>
  <si>
    <t>mnuIndirectCosts</t>
  </si>
  <si>
    <t>mnuIndirectCosts1</t>
  </si>
  <si>
    <t>Ind. Material</t>
  </si>
  <si>
    <t>cbxIndirectCosts1A</t>
  </si>
  <si>
    <t>cbxIndirectCosts1B</t>
  </si>
  <si>
    <t>cbxIndirectCosts1C</t>
  </si>
  <si>
    <t>Vorgabe</t>
  </si>
  <si>
    <t>Preset</t>
  </si>
  <si>
    <t>mnuIndirectCosts2</t>
  </si>
  <si>
    <t>cbxIndirectCosts2A</t>
  </si>
  <si>
    <t>cbxIndirectCosts2B</t>
  </si>
  <si>
    <t>cbxIndirectCosts2C</t>
  </si>
  <si>
    <t>IMC</t>
  </si>
  <si>
    <t>Einstellungen Overhead</t>
  </si>
  <si>
    <t>mnuIndirectCosts3</t>
  </si>
  <si>
    <t>cbxIndirectCosts3A</t>
  </si>
  <si>
    <t>cbxIndirectCosts3B</t>
  </si>
  <si>
    <t>mnuIndirectCosts4</t>
  </si>
  <si>
    <t>cbxIndirectCosts4A</t>
  </si>
  <si>
    <t>cbxIndirectCosts4B</t>
  </si>
  <si>
    <t>SGnA</t>
  </si>
  <si>
    <t>Aufgeteilt</t>
  </si>
  <si>
    <t>Select when a fixed indirect material costs rate is to be used instead of the material-specific one. 
This must be entered accordingly for each supplier.</t>
  </si>
  <si>
    <t>Select when a fixed IMC rate is to be used instead of the machine- and country-specific individually calculated one. 
This must be entered accordingly for each supplier.</t>
  </si>
  <si>
    <t>Overhead settings</t>
  </si>
  <si>
    <t>Statt des maschinen- und länderabhängigen individuell berechneten wird ein festgesetzter RFGK-Satz verwendet. 
Dieser muss je Lieferant entsprechend eingetragen werden.</t>
  </si>
  <si>
    <t>Statt des materialspezifischen wird ein festgesetzter MGK-Satz verwendet. 
Dieser muss je Lieferant entsprechend eingetragen werden.</t>
  </si>
  <si>
    <t>Materialgemeinkosten</t>
  </si>
  <si>
    <t>Restfertigungsgemeinkosten</t>
  </si>
  <si>
    <t>Indirect manufacturing costs</t>
  </si>
  <si>
    <t>Indirect material costs</t>
  </si>
  <si>
    <t>Verwaltungs- und Vertriebsgemeinkosten</t>
  </si>
  <si>
    <t>Selling, general and administrative expenses</t>
  </si>
  <si>
    <t>Der RFGK-Anteil wird für jede eingesetzte Maschine spezifisch berechnet und dieser für die entsprechende Maschine als individueller RFGK-Satz verwendet.
Dies ist die Standardeinstellung.</t>
  </si>
  <si>
    <t>Neuen Block einfügen</t>
  </si>
  <si>
    <t>Neue Zeile einfügen</t>
  </si>
  <si>
    <t>VVGK (A = Pauschal, B = Aufteilen)</t>
  </si>
  <si>
    <t>Gewinn (A = Pauschal, B = Aufteilen)</t>
  </si>
  <si>
    <t>Der MGK-Anteil wird für jedes eingesetzte Material spezifisch berechnet und dieser für das entsprechende Material als individueller MGK-Satz verwendet.
Dies ist die Standardeinstellung.</t>
  </si>
  <si>
    <t>MGK-Anteil in €/Jahr - C-Teil</t>
  </si>
  <si>
    <t>MGK-Anteil in % - C-Teil</t>
  </si>
  <si>
    <t>MGK-Anteil in €/Einheit - C-Teil</t>
  </si>
  <si>
    <t>MGK-Anteil in €/Jahr - ZSB einfach</t>
  </si>
  <si>
    <t>MGK-Anteil in % - ZSB einfach</t>
  </si>
  <si>
    <t>MGK-Anteil in €/Einheit - ZSB einfach</t>
  </si>
  <si>
    <t>MGK-Anteil in €/Jahr - ZSB komplex</t>
  </si>
  <si>
    <t>MGK-Anteil in % - ZSB komplex</t>
  </si>
  <si>
    <t>MGK-Anteil in €/Einheit - ZSB komplex</t>
  </si>
  <si>
    <t>RFGK (A =  Auf Maschinenebene, B = Pauschal , C = Vorgabe)</t>
  </si>
  <si>
    <t>MGK (A =  Auf Materialebene, B = Pauschal , C = Vorgabe)</t>
  </si>
  <si>
    <t>Combined</t>
  </si>
  <si>
    <t>Kombiniert</t>
  </si>
  <si>
    <t>The indirect material share is calculated specifically for each material and is used as an individual indirect material rate for the corresponding material.
This is the default setting.</t>
  </si>
  <si>
    <t>The IMC share is calculated specifically for each machine and is used as an individual IMC rate for the corresponding machine.
This is the default setting.</t>
  </si>
  <si>
    <t>Split</t>
  </si>
  <si>
    <t>Ausschuss Wertschöpfung</t>
  </si>
  <si>
    <t>Ausschuss Material</t>
  </si>
  <si>
    <t>Maschinenkosten</t>
  </si>
  <si>
    <t>Rüstkosten</t>
  </si>
  <si>
    <t>Maschinenkosten inkl. Ausschuss</t>
  </si>
  <si>
    <t>Materialkosten inkl. Ausschuss</t>
  </si>
  <si>
    <t>Wzg.</t>
  </si>
  <si>
    <t>Werkzeugkosten</t>
  </si>
  <si>
    <t>Fertigungsgemeinkosten</t>
  </si>
  <si>
    <t>Materialeinzelkosten</t>
  </si>
  <si>
    <t>T-% MGK</t>
  </si>
  <si>
    <t>Link</t>
  </si>
  <si>
    <t>S-Chain</t>
  </si>
  <si>
    <t>Zukauf</t>
  </si>
  <si>
    <t>Verschleißwerkzeugkosten</t>
  </si>
  <si>
    <t>V.-Wzg.</t>
  </si>
  <si>
    <t>Gew.W</t>
  </si>
  <si>
    <t>Gew. M</t>
  </si>
  <si>
    <t>Category 1</t>
  </si>
  <si>
    <t>Category 2</t>
  </si>
  <si>
    <t>Category 3</t>
  </si>
  <si>
    <t>Premises</t>
  </si>
  <si>
    <t>Sheet</t>
  </si>
  <si>
    <t>Ind. Mfg.</t>
  </si>
  <si>
    <t>Ind. Mfg. Carryover</t>
  </si>
  <si>
    <t>Ind. personnel 
High-skilled [h/a]</t>
  </si>
  <si>
    <t>Ind. personnel 
Unskilled [h/a]</t>
  </si>
  <si>
    <t>Cast Metal</t>
  </si>
  <si>
    <t>Sheet Metal</t>
  </si>
  <si>
    <t>PremisesAddNewSupplier</t>
  </si>
  <si>
    <t>Masch.</t>
  </si>
  <si>
    <t>Mach.</t>
  </si>
  <si>
    <t>Set-up costs</t>
  </si>
  <si>
    <t>Tool costs</t>
  </si>
  <si>
    <t>Wear tool costs</t>
  </si>
  <si>
    <t>Production overheads</t>
  </si>
  <si>
    <t>Direct material costs</t>
  </si>
  <si>
    <t>Scrap material</t>
  </si>
  <si>
    <t>Bought-in</t>
  </si>
  <si>
    <t>W-Tool</t>
  </si>
  <si>
    <t>Tool</t>
  </si>
  <si>
    <t>Scrap added value</t>
  </si>
  <si>
    <t>Manufacturing costs</t>
  </si>
  <si>
    <t>Indirect material</t>
  </si>
  <si>
    <t>W-tools</t>
  </si>
  <si>
    <t>Scrap machine</t>
  </si>
  <si>
    <t>Rejects personnel</t>
  </si>
  <si>
    <t>FGK Machine</t>
  </si>
  <si>
    <t>FGK personnel</t>
  </si>
  <si>
    <t>Set-up machine</t>
  </si>
  <si>
    <t>Set-up personnel</t>
  </si>
  <si>
    <t>SG&amp;A: R &amp; D [%]</t>
  </si>
  <si>
    <t>Customer cycle time</t>
  </si>
  <si>
    <t>btnPic4</t>
  </si>
  <si>
    <t>PicturesResetDirectory</t>
  </si>
  <si>
    <t>Change picture folder path</t>
  </si>
  <si>
    <t>Pfad zum Bilderordner ändern</t>
  </si>
  <si>
    <t>Automotive</t>
  </si>
  <si>
    <t>Energiemix</t>
  </si>
  <si>
    <t>gCO₂eq/kWh</t>
  </si>
  <si>
    <t>CO₂-Ausstoß</t>
  </si>
  <si>
    <t>Stromkosten Energiemix</t>
  </si>
  <si>
    <t>mnuCO2</t>
  </si>
  <si>
    <t>CO₂</t>
  </si>
  <si>
    <t>cbxCO21</t>
  </si>
  <si>
    <t>cbxCO22</t>
  </si>
  <si>
    <t>Szenario aktivieren</t>
  </si>
  <si>
    <t>Activate Scenario</t>
  </si>
  <si>
    <t>CO₂ neutral</t>
  </si>
  <si>
    <t>spr0301</t>
  </si>
  <si>
    <t>Ordnerpfad zurücksetzen</t>
  </si>
  <si>
    <t>Reset picture folder path</t>
  </si>
  <si>
    <t>Pfad zum Bilderordner zurücksetzen</t>
  </si>
  <si>
    <t>Beistellteil</t>
  </si>
  <si>
    <t>Part to be provided</t>
  </si>
  <si>
    <t>Der zur ausgewählen Währung gehörende Wechselkurs (Gegenwert zu 1 EUR) ist hier einzutragen.
Achtung: Bei nachträglicher Änderung der Währung und des Wechselkurses müssen allen von Hand eingetragenen Werte überprüft und ggf. angepasst werden!</t>
  </si>
  <si>
    <t>The exchange rate belonging to the selected currency (equivalent to 1 EUR) is to be entered here. 
Please note: If the currency and the exchange rate are changed later, all values entered manually must be checked and adjusted if necessary!</t>
  </si>
  <si>
    <t>The supplier ID is a unique identifier under which the supplier can be found in the supplier structure in BOM and calculation.
Please note: The ID does not automatically correspond to the position of the supplier in the Premises tab, nor does it provide information about the supplier's tier level within the supplier structure!</t>
  </si>
  <si>
    <t>This is the currency in which the monetary values are entered in the MHR, MAT and LOC tabs.
The values in the Premises tab (column E etc.) have already been converted into the target currency. If these are adjusted manually (column D etc.), these values must also be entered in the target currency.
Please note: The input currency should be left as EUR if possible. Monetary values that are taken over from the AWS databases are always in EUR!</t>
  </si>
  <si>
    <t>Hier wird der Innovations- und Entwicklungsgrad des Lieferanten festgelegt. Dieser hat Einfluss auf die Zuschlagssätze der VVGK und des Gewinns des Lieferanten. 
Es werden drei Kategorien unterschieden:
- Build to print: Der Lieferant fertigt nach Zeichnung und hat keinen Entwicklungsaufwand
- System supplier: Der Lieferant hat Anteil am Entwicklungsaufwand und integriert unterschiedliche Funktion in die Bauteile (Beispiel Kabelbaum)
- High innovative product: Der Lieferant hat ein Alleinstellungsmerkmal und den größten Anteil am Entwicklungs- und Innovationsaufwand (Beispiel Carbon-Bremse)</t>
  </si>
  <si>
    <t>This is where the supplier's level of innovation and development is determined. This has an influence on the surcharge rates of the SG&amp;A and the supplier's profit. 
Three categories are distinguished:
- Build to print: The supplier manufactures according to the drawing and has no development effort.
- System supplier: The supplier has a share in the development effort and integrates different functions into the components (example: cable harness).
- High innovative product: The supplier has a unique selling proposition and the largest share of the development and innovation effort (example: carbon brakes).</t>
  </si>
  <si>
    <t>The utilization of the machines is assumed to be 80% on average by default, since it is difficult to plan a machine at 100% due to setup and maintenance times. However, the capacity utilization can be adjusted at any time. 
The value entered here is included in the calculation of the machine hourly rate in the MHR tab.</t>
  </si>
  <si>
    <t>Die Auslastung der Maschinen wird standardmäßig mit durchschnittlich 80% angenommen, da es aufgrund von Rüst- und Instandhaltungszeiten schwierig ist eine Maschine zu 100% zu planen. Die Auslastung kann aber jederzeit angepasst werden. 
Der hier eingetragene Wert fließt in die Berechnung des Maschinenstundensatz im Reiter MHR ein.</t>
  </si>
  <si>
    <t>Die Verfügbarkeit der Werker wird standardmäßig mit 80 % angenommen sofern keine abweichenden Angaben vorliegen. 
Die Verteilzeit des Werkers liegt somit bei 20%. Unter der Verteilzeit versteht man Zeitanteile, die nicht wertschöpfend sind, aber dennoch zur Arbeitszeit mitgerechnet werden (z.B. Besprechungen, Betreuung von Auszubildenden, Toilettenbesuche usw.). 
Der hier eingetragene Wert fließt in die Berechnung der effektiven Arbeitskosten im Reiter Calculation ein.</t>
  </si>
  <si>
    <t>Hier werden, sofern nichts anderes angegeben, standardmäßig 250 Arbeitstage pro Jahr eingetragen. 
Dies entspricht 5 von 7 Tagen pro Woche für 52 Wochen im Jahr abzüglich der Feiertage (durchschnittlich 10 pro Jahr).
Achtung: Je nach Fertigungsort können die standardmäßig angenommenen Arbeitstage pro Jahr abweichen!</t>
  </si>
  <si>
    <t>The basic shift model (1-shift, 2-shift or 3-shift) is defined here.
For individual machines, the shift model can be overwritten in the MHR tab.
For example, laboratory times can be calculated in 1-shift operation while production runs in 3-shift operation.</t>
  </si>
  <si>
    <t>Die Arbeitskosten eines Maschinenbedieners werden hier eingetragen.
In der rechten Nachbarzelle (diese ist ggf. ausgeblendet) wird der Standardwert des ausgewählten Fertigungsorts angezeigt.
Dieser kann übernommen bzw. auf diesen verlinkt werden.</t>
  </si>
  <si>
    <t>Die Arbeitskosten eines Facharbeiters/Einstellers werden hier eingetragen.
In der rechten Nachbarzelle (diese ist ggf. ausgeblendet) wird der Standardwert des ausgewählten Fertigungsorts angezeigt.
Dieser kann übernommen bzw. auf diesen verlinkt werden.</t>
  </si>
  <si>
    <t>Die Mietkosten pro m² werden hier eingetragen.
In der rechten Nachbarzelle (diese ist ggf. ausgeblendet) wird der Standardwert des ausgewählten Fertigungsorts angezeigt.
Dieser kann übernommen bzw. auf diesen verlinkt werden.</t>
  </si>
  <si>
    <t>Der Erdgaspreis pro kWh wird hier eingetragen.
In der rechten Nachbarzelle (diese ist ggf. ausgeblendet) wird der Standardwert des ausgewählten Fertigungsorts angezeigt.
Dieser kann übernommen bzw. auf diesen verlinkt werden.</t>
  </si>
  <si>
    <t>Der Strompreis pro kWh wird hier eingetragen.
In der rechten Nachbarzelle (diese ist ggf. ausgeblendet) wird der Standardwert des ausgewählten Fertigungsorts angezeigt.
Dieser kann übernommen bzw. auf diesen verlinkt werden.</t>
  </si>
  <si>
    <t>Der kalkulatorische Zinssatz wird hier eingetragen.
In der rechten Nachbarzelle (diese ist ggf. ausgeblendet) wird der Standardwert des ausgewählten Fertigungsorts angezeigt.
Dieser kann übernommen bzw. auf diesen verlinkt werden.</t>
  </si>
  <si>
    <t>The labor costs of a skilled worker/setter are entered here.
In the neighboring cell on the right (which may be hidden), the default value of the selected production location is displayed.
This can be copied or linked to.</t>
  </si>
  <si>
    <t>The labor costs of a machine operator are entered here.
In the neighboring cell on the right (which may be hidden), the default value of the selected production location is displayed.
This can be copied or linked to.</t>
  </si>
  <si>
    <t>The rental costs per m² are entered here.
In the neighboring cell on the right (which may be hidden), the default value of the selected production location is displayed.
This can be copied or linked to.</t>
  </si>
  <si>
    <t>The electricity price per kWh is entered here.
In the neighboring cell on the right (which may be hidden), the default value of the selected production location is displayed.
This can be copied or linked to.</t>
  </si>
  <si>
    <t>The natural gas price per kWh is entered here.
In the neighboring cell on the right (which may be hidden), the default value of the selected production location is displayed.
This can be copied or linked to.</t>
  </si>
  <si>
    <t>The imputed interest rate is entered here.
In the neighboring cell on the right (which may be hidden), the default value of the selected production location is displayed.
This can be copied or linked to.</t>
  </si>
  <si>
    <t>Here, unless otherwise specified, 250 working days per year are entered by default. 
This corresponds to 5 out of 7 days per week for 52 weeks per year minus public holidays (on average 10 per year).
Please note: Depending on the manufacturing location, the working days per year assumed by default may differ!</t>
  </si>
  <si>
    <t>Soll ein fixer MGK-Satz verwendet werden (siehe Menü [ACT - Prämissen - Overhead - MGK - Vorgabe]), so ist dieser hier einzutragen.
Achtung: Bleibt diese Zelle leer (eine 0 zählt in Excel als leere Zelle) wird der materialspezifische Wert verwendet.
Um mit einem MGK-Satz von 0 % zu rechnen, muss hier '0 (Hochkomma und 0) eingetragen werden!</t>
  </si>
  <si>
    <t>Soll ein fixer RFGK-Satz verwendet werden (siehe Menü [ACT - Prämissen - Overhead - RFGK - Vorgabe]), so ist dieser hier einzutragen.
Achtung: Bleibt diese Zelle leer (eine 0 zählt in Excel als leere Zelle) wird der maschinenspezifische Wert verwendet.
Um mit einem RFGK-Satz von 0 % zu rechnen, muss hier '0 (Hochkomma und 0) eingetragen werden!</t>
  </si>
  <si>
    <t>If a preset IMC rate is to be used (see menu [ACT - Premises - Overhead - IMC - Preset]), it has to be entered here.
Please note: If this cell remains empty (a 0 counts as an empty cell in Excel) the machine specific value will be used.
In order to calculate with an IMC rate of 0 %, '0 (apostrophe and 0) has to be entered here!</t>
  </si>
  <si>
    <t>If a preset indirect material rate is to be used (see menu [ACT - Premises - Overhead - Ind. Material - Preset]), it has to be entered here.
Please note: If this cell remains empty (a 0 counts as an empty cell in Excel) the machine specific value will be used.
In order to calculate with an indirect material rate of 0 %, '0 (apostrophe and 0) has to be entered here!</t>
  </si>
  <si>
    <t>Der Verwaltungs- und Vertriebsgemeinkostensatz wird hier eingetragen.
In der rechten Nachbarzelle (diese ist ggf. ausgeblendet) wird der Standardwert der ausgewählen Lieferanten-Kategorie angezeigt.
Dieser kann übernommen bzw. auf diesen verlinkt werden.</t>
  </si>
  <si>
    <t>Der Verwaltungs- und Vertriebsgemeinkostensatz auf Wertschöpfung wird hier eingetragen.
In der rechten Nachbarzelle (diese ist ggf. ausgeblendet) wird der Standardwert der ausgewählen Lieferanten-Kategorie angezeigt.
Dieser kann übernommen bzw. auf diesen verlinkt werden.</t>
  </si>
  <si>
    <t>Der Verwaltungs- und Vertriebsgemeinkostensatz auf Material wird hier eingetragen.
In der rechten Nachbarzelle (diese ist ggf. ausgeblendet) wird der Standardwert der ausgewählen Lieferanten-Kategorie angezeigt.
Dieser kann übernommen bzw. auf diesen verlinkt werden.</t>
  </si>
  <si>
    <t>Der Gewinnsatz wird hier eingetragen.
In der rechten Nachbarzelle (diese ist ggf. ausgeblendet) wird der Standardwert der ausgewählen Lieferanten-Kategorie angezeigt.
Dieser kann übernommen bzw. auf diesen verlinkt werden.</t>
  </si>
  <si>
    <t>Der Gewinnsatz auf Wertschöpfung wird hier eingetragen.
In der rechten Nachbarzelle (diese ist ggf. ausgeblendet) wird der Standardwert der ausgewählen Lieferanten-Kategorie angezeigt.
Dieser kann übernommen bzw. auf diesen verlinkt werden.</t>
  </si>
  <si>
    <t>Der Gewinnsatz auf Material wird hier eingetragen.
In der rechten Nachbarzelle (diese ist ggf. ausgeblendet) wird der Standardwert der ausgewählen Lieferanten-Kategorie angezeigt.
Dieser kann übernommen bzw. auf diesen verlinkt werden.</t>
  </si>
  <si>
    <t>Die Ausschussrate über alle Fertigungsstufen ist hier einzutragen. 
Standardmäßig wird ein Wert von 1 bis 2 % angenommen.</t>
  </si>
  <si>
    <t>The selling, general and administrative expenses rate on added value is entered here.
In the neighboring cell on the right (which may be hidden), the default value of the selected supplier category is displayed.
This can be copied or linked to.</t>
  </si>
  <si>
    <t>The selling, general and administrative expenses rate on material is entered here.
In the neighboring cell on the right (which may be hidden), the default value of the selected supplier category is displayed.
This can be copied or linked to.</t>
  </si>
  <si>
    <t>The profit rate on added value is entered here.
In the neighboring cell on the right (which may be hidden), the default value of the selected supplier category is displayed.
This can be copied or linked to.</t>
  </si>
  <si>
    <t>The profit rate on material is entered here.
In the neighboring cell on the right (which may be hidden), the default value of the selected supplier category is displayed.
This can be copied or linked to.</t>
  </si>
  <si>
    <t>Here, the supplier structure is taken over from the BOM on the basis of the IDs assigned in the Premises tab. 
Double-clicking on the corresponding cell opens the supplier structure overview, with the help of which this can be mapped.
Please note: The ID does not automatically correspond to the position of the supplier in the premise tab nor does it provide information about its tier level within the supplier structure!
Example:
1: Supplier 01 (Tier 1) manufactures the component himself [default case].
3-1: Supplier 03 (Tier 2) manufactures the component and delivers it to supplier 01 (Tier 1)
2-3-1: Supplier 02 (Tier 3) manufactures the component and delivers it to supplier 03 (Tier 2), who assembles it and delivers the intermediate product to supplier 01 (Tier 1).</t>
  </si>
  <si>
    <t>Individual costs</t>
  </si>
  <si>
    <t>Other costs rate</t>
  </si>
  <si>
    <t>Sonstige Kosten-Satz</t>
  </si>
  <si>
    <t>Individuelle Kosten</t>
  </si>
  <si>
    <t>Hier werden die gesamten sonstigen Kosten berechnet.
Sonstige Kosten = (SK + Gewinn) x Sonstige Kosten-Satz + individuelle sonstige Kosten</t>
  </si>
  <si>
    <t>Here the total other costs are calculated.
Other costs = (cost + profit) x other cost rate + individual other costs.</t>
  </si>
  <si>
    <t>Here the total direct material costs are calculated.
Direct material costs = quantity x factor</t>
  </si>
  <si>
    <t>Ein allgemeiner Satz für sonstige Kosten (bspw. Logistikkosten) kann hier eingetragen.
Dieser wird im Reiter Calculation ohne weitere Beaufschlagung auf den Endpreis aufgeschlagen.
Weiterhin können im Reiter Calculation individuelle zusätzliche Kosten eingetragen werden (siehe Menü [ACT - Kalkulation - Spalten - Sonstige (Logistik etc.])</t>
  </si>
  <si>
    <t>A general rate for other costs (e.g. logistics costs) can be entered here.
This will be added to the final price in the Calculation tab without any further markup.
Furthermore, individual additional costs can be entered in the Calculation tab (see menu [ACT - Calculation - Columns - Other (Logistics etc.]).</t>
  </si>
  <si>
    <t>This is the indirect material share in the total material costs of the respective supplier.
Depending on how the indirect material rate is formed (see menu [Premises - Overhead - Ind. Material]), this value has different meanings:
- At material level: Purely informative
- Combined: Serves as the indirect material rate for the supplier
- Preset: Equivalent to the preset value</t>
  </si>
  <si>
    <t>This is the IMC share in the total machine costs of the respective supplier.
Depending on how the IMC rate is formed (see menu [Premises - Overhead - IMC]), this value has different meanings:
- At machine level: Purely informative
- Combined: Serves as the IMC rate for the supplier
- Preset: Equivalent to the preset value</t>
  </si>
  <si>
    <t>Ind. Material Rate</t>
  </si>
  <si>
    <t>Ind. Material share</t>
  </si>
  <si>
    <t>Der Kundentakt errechnet sich aus den Prämissen und ergibt die verfügbare Zeit pro Stück.
Er dient als Orientierung, wie viel Zeit für ein Bauteil zur Verfügung steht, um die gewünschte Produktionsmenge zu erreichen.</t>
  </si>
  <si>
    <t>The customer cycle is calculated from the premises and results in the available time per piece.
It serves as an orientation as to how much time is available for a component to reach the desired production quantity.</t>
  </si>
  <si>
    <t>Hier wird die Anzahl der pro Stück benötigten Verschleißwerkzeuge eingetragen.</t>
  </si>
  <si>
    <t>Dies ist die Währung, in der die Geldwerte in den Reitern MHR, MAT und LOC eingetragen werden.
Die Werte im Reiter Premises (Spalte E etc.) sind bereits in die Zielwährung umgerechnet. Werden diese manuell angepasst (Spalte D etc.) müssen auch diese Werte in der Zielwährung eingetragen werden.
Achtung: Die Eingabewährung sollte nach Möglichkeit auf EUR belassen werden. Geldwerte, die aus den AWS Datenbanken übernommen werden, sind immer in der Währung EUR!</t>
  </si>
  <si>
    <t>Hier wird das grundsätzliche Schichtmodell (1-Schicht, 2-Schicht oder 3-Schicht) festgelegt.
Für einzelne Maschinen kann das Schichtmodell im Reiter MHR überschrieben werden.
Beispielsweise können Laborzeiten im 1-Schicht-Betrieb kalkuliert werden, während die Fertigung im 3-Schicht-Betrieb läuft.</t>
  </si>
  <si>
    <t>The selling, general and administrative expenses rate is entered here.
In the neighboring cell on the right (which may be hidden), the default value of the selected supplier category is displayed.
This can be copied or linked to.</t>
  </si>
  <si>
    <t>The profit rate is entered here.
In the neighboring cell on the right (which may be hidden), the default value of the selected supplier category is displayed.
This can be copied or linked to.</t>
  </si>
  <si>
    <t xml:space="preserve">Zur Berechnung des lieferantenspezifischen Stundensatzes im MAT-Reiter benötigter Wert.
Lieferantenspezifische Zinsaufwand pro Stunde = Zu verzinsender Invest x lieferantenspezifischer Zinssatz / (Arbeitstage pro Jahr x Verfügbarkeit)
Der zu verzinsende Prüfstandinvest ist das Summenprodukt aus der Prüfstandsbelegung und dem Prüfstandsinvest je Prüfstand geteilt durch die gesamte Prüfstandsbelegung:
Zu verzinsende Prüfstandinvest = (Belegung Prüfstand 1 x Invest Prüfstand 1 + Belegung Prüfstand 2 x Invest Prüfstand 2 + ...) / (Belegung Prüfstand 1 + Belegung Prüfstand 2 + ...)
</t>
  </si>
  <si>
    <t>Zur Berechnung des lieferantenspezifischen Stundensatzes im MAT-Reiter benötigter Wert.
Lieferantenspezifische Zinsaufwand pro Stunde = Zu verzinsender Invest x lieferantenspezifischer Zinssatz / (Arbeitstage pro Jahr x Verfügbarkeit)</t>
  </si>
  <si>
    <t>Die Laufzeit des Projektes bestimmt die gesamte Stückzahl der zu produzierenden Teile.
Bei Werkzeugumlagen ist dieses Gesamtvolumen eine Hilfestellung. 
Typische Laufzeiten für die Automobilindustrie sind fünf bis sieben Jahre.
Standardmäßig wird diese Zelle in der Kalkulation nicht verwendet und kann entsprechend leer gelassen werden.</t>
  </si>
  <si>
    <t>The duration of the project determines the total volume of parts to be produced.
For tool reallocations, this total volume is an aid. 
Typical durations for the automotive industry are five to seven years.
By default, this cell is not used in the calculation and can be left blank.</t>
  </si>
  <si>
    <t>The total number of pieces of the part per year relevant for the calculation has to be entered here.</t>
  </si>
  <si>
    <t>Hier wird die Bennenung des Lieferanten bzw. der Lieferantengruppe eingetragen.
Dies kann sowohl der Name eines spezifischen Herstellers ('XYZ GmbH') als auch eine allgemeine Bezeichnung ('Kunststoffteile Tier 2') sein.</t>
  </si>
  <si>
    <t>Here the name of the supplier or the supplier group is entered.
This can be either the name of a specific manufacturer ('XYZ Inc.') or a general designation ('Plastic parts Tier 2').</t>
  </si>
  <si>
    <t xml:space="preserve"> If a value added is entered before the production step (column AJ), these costs are converted to the parts and added to the production scrap (column AG). 
If a rework share is entered, the total production scrap is reduced by this share (AH column). This results in rework costs for these parts (column AK).
Rework costs = (NA costs + added value so far x scrap rate) / 100 x ((1 - NA share) / 100) + (machine costs + employee costs + wear tool costs) x scrap rate / 100 x ((1 - NA share) / 100)</t>
  </si>
  <si>
    <t>Here the SG&amp;A are calculated on the added value per unit.
SG&amp;A value added = (Mfg. - tool costs - production scrap) x SG&amp;A rate value added / 100</t>
  </si>
  <si>
    <t>Here the profit is calculated on material per piece. 
Profit on material = quantity x material price + special packaging &amp; transport) x profit rate material / 100</t>
  </si>
  <si>
    <t xml:space="preserve"> Here the SG&amp;A are calculated on the material per piece.
SG&amp;A material = Mat. X SG&amp;A rate material / 100</t>
  </si>
  <si>
    <t>The lot size to be used in general.
By default, this lot size is only used when a process is entered using the ACT-Q Quick Calculation Addin.</t>
  </si>
  <si>
    <t>Die grundsätzlich zu verwendende Losgröße.
Diese Losgröße findet standardmäßig nur Verwendung, wenn ein Prozess per ACT-Q Schnellkalkulation eingefügt wird.</t>
  </si>
  <si>
    <t>Optionally, a component can be selected here from the BOM in order to apply the associated parameters.
Each line can also be filled individually and the formulas overwritten accordingly.</t>
  </si>
  <si>
    <t>Here, according to the selection on the left, the number of the shape that most closely corresponds to the component is entered.</t>
  </si>
  <si>
    <t>Optional: Here the material of the component can be selected to use the associated density entered in the MAT tab.</t>
  </si>
  <si>
    <t>If the material is stored in the MAT tab and a corresponding density is entered there, this will be adopted accordingly. 
Otherwise, the density must be entered here manually.</t>
  </si>
  <si>
    <t>This is the total surface area of the component taking into account the correction factor.</t>
  </si>
  <si>
    <t>This is the area of the part projected in the mold opening direction (z), taking into account the correction factor.</t>
  </si>
  <si>
    <t>This is the volume of the component taking into account the correction factor.</t>
  </si>
  <si>
    <t>This is the mass of the component in grams, taking into account the correction factor.</t>
  </si>
  <si>
    <t>This is the mass of the component in kilograms, taking into account the correction factor.</t>
  </si>
  <si>
    <t>The correction factor can be used to manipulate the result if, for example, the selected shape does not correspond exactly to the actual shape of the component.
Please note: The factor always affects all result columns (surface, projected area, volume and mass)! If only one specific result is to be manipulated while other results are used in the calculation, a new row may have to be created.</t>
  </si>
  <si>
    <t>Blöcke und Zeilen</t>
  </si>
  <si>
    <t>Blocks and rows</t>
  </si>
  <si>
    <t>Jeder Komponente in der BOM ist genau ein Block der Kalkulation zugeordnet.
In der ersten Zeile ist blau hinterlegt die Bezeichung des Bauteils verlinkt.
Die weiteren Zeilen beschreiben entweder ein eingesetztes Material oder einen Fertigungsschritt.
Zusammenbaugruppen enthalten weiterhin eine Auflistung der beinhalteten Unterbaugruppen und Komponenten der nächsten Ebene. Deren Kosten werden allerdings hier nicht aufgeführt, der Block beschreibt ausschließlich die Aufwände der eigenen Fertigungsstufe (Montage, Testing etc.).</t>
  </si>
  <si>
    <t>Blöcke und Zeilen hinzufügen</t>
  </si>
  <si>
    <t>Adding blocks and rows</t>
  </si>
  <si>
    <t>By double-clicking on a cell in column A, individual rows can be added.
The extended right-click menu can also be used to add multiple rows and (multiple) blocks in rows with block titles. 
The number corresponds to the number of selected cells within column A.
New elements are always inserted below the first selected element.
Please note: rows should always be inserted by macro to avoid accidental insertion of rows without formulas.
Example:
By selecting the range A12:A16 and clicking on [Right Click Mene - Add 5 Rows], five additional rows will be inserted below row 12.</t>
  </si>
  <si>
    <t>CO₂ Szenario aktiv</t>
  </si>
  <si>
    <t>Standardmäßig ist hier EUR als Währungseinheit hinterlegt. 
Soll in einer anderen Währung kalkuliert werden, so muss am Anfang der Kalkulation das Währungskürzel (z.B. USD, CHF usw.) hier eingetragen werden.
Achtung: Bei nachträglicher Änderung der Währung und des Wechselkurses müssen alle von Hand eingetragenen monetären Werte überprüft und ggf. angepasst werden!</t>
  </si>
  <si>
    <t>The default currency unit is EUR. 
If you want to calculate in another currency, the currency abbreviation (e.g. USD, CHF etc.) must be entered here at the start of the calculation.
Please note: If the currency and the exchange rate are changed later, all monetary values entered manually have to be checked and adjusted if necessary!</t>
  </si>
  <si>
    <t>Indirect Costs</t>
  </si>
  <si>
    <t>CO₂
[kg/Einheit]</t>
  </si>
  <si>
    <t>CO2</t>
  </si>
  <si>
    <t>Energy mix</t>
  </si>
  <si>
    <t>Electricity costs energy mix</t>
  </si>
  <si>
    <t>Stk.</t>
  </si>
  <si>
    <t>Menge je Lagereinheit
[Stk.]</t>
  </si>
  <si>
    <t>Menge je Lagereinheit
[kg]</t>
  </si>
  <si>
    <t>Menge je Lagereinheit
[l]</t>
  </si>
  <si>
    <t>Menge je Lagereinheit
[m]</t>
  </si>
  <si>
    <t>Menge je Lagereinheit
[m²]</t>
  </si>
  <si>
    <t>Menge je Lagereinheit
[m³]</t>
  </si>
  <si>
    <t>25.03.2021</t>
  </si>
  <si>
    <t>Material costs incl. scrap</t>
  </si>
  <si>
    <t>Layout</t>
  </si>
  <si>
    <t>grp08</t>
  </si>
  <si>
    <t>Output</t>
  </si>
  <si>
    <t xml:space="preserve">Hier wird die Länge des Bauteils (Länge in x-Richtung) eingetragen.
Achtung: Die Werkzeugauslegung rechnet mit einer Werkzeugöffnung in z-Richtung, entsprechend sind die Koordinaten zu wählen.
Beispiel:
Ein blasgeformter Kanister mit den Maßen 150 x 300 x 300 mm hat entsprechend der Werzeugauslegung eine Länge von 300 mm, eine Breite von 300 mm und eine Höhe von 150 mm.
</t>
  </si>
  <si>
    <t>Hier wird die Breite des Bauteils (Länge in y-Richtung) eingetragen.
Achtung: Die Werkzeugauslegung rechnet mit einer Werkzeugöffnung in z-Richtung, entsprechend sind die Koordinaten zu wählen.
Beispiel:
Ein blasgeformter Kanister mit den Maßen 150 x 300 x 300 mm hat entsprechend der Werzeugauslegung eine Länge von 300 mm, eine Breite von 300 mm und eine Höhe von 150 mm.</t>
  </si>
  <si>
    <t>Hier wird die Höhe des Bauteils (Länge in z-Richtung) eingetragen.
Achtung: Die Werkzeugauslegung rechnet mit einer Werkzeugöffnung in z-Richtung, entsprechend sind die Koordinaten zu wählen.
Beispiel:
Ein blasgeformter Kanister mit den Maßen 150 x 300 x 300 mm hat entsprechend der Werzeugauslegung eine Länge von 300 mm, eine Breite von 300 mm und eine Höhe von 150 mm.</t>
  </si>
  <si>
    <t>Enter the height of the component (length along the z-Axis) here.
Please note: The tool design calculates with a tool opening in z-direction, the coordinates must be selected accordingly. 
Example:
A blow-molded canister with the dimensions 150 x 300 x 300 mm has a length of 300 mm, a width of 300 mm and a height of 150 mm according to the tool design.</t>
  </si>
  <si>
    <t>Enter the width of the component (length along the y-Axis) here.
Please note: The tool design calculates with a tool opening in z-direction, the coordinates must be selected accordingly. 
Example:
A blow-molded canister with the dimensions 150 x 300 x 300 mm has a length of 300 mm, a width of 300 mm and a height of 150 mm according to the tool design.</t>
  </si>
  <si>
    <t>The length of the component (length along the x-Axis) is entered here.
Please note: The tool design calculates with a tool opening in z-direction, the coordinates must be selected accordingly.
Example:
A blow-molded canister with the dimensions 150 x 300 x 300 mm has a length of 300 mm, a width of 300 mm and a height of 150 mm according to the tool design.</t>
  </si>
  <si>
    <t>Benennt alle Bilder im zugewiesenen Bilderordner, die in Spalte R einem Bauteil zugeordnet wurden, in den in Spalte A gebildeten Namen um.</t>
  </si>
  <si>
    <t>Spezialbetriebsmittel</t>
  </si>
  <si>
    <t>Speical equipment</t>
  </si>
  <si>
    <t>Optional: Die ID des Schnellrechners, mit Hilfe dessen die Zykluszeit berechnet wird.</t>
  </si>
  <si>
    <t>Das Datum, an dem die eingetragenen Daten zuletzt mit der dazugehörigen Datenbank abgeglichen wurden.
Achtung: Dies ist nur von Bewandtnis, wenn die Daten nicht manuell verändert wurden und entsprechend in der nächsten Spalte ein 'X' zu sehen ist.</t>
  </si>
  <si>
    <t>Maschienen, die in der Kalkulation verwendet werden, sind mit einem 'X' markiert.</t>
  </si>
  <si>
    <t>Datenherkunft</t>
  </si>
  <si>
    <t>Aus der Datenbank übernommene bzw. mit der Datenbank synchronisierte Maschinen sind mit einem 'X' markiert, manuell eingetragene oder nachträglich manipulierte Maschinen mit einem 'C'.</t>
  </si>
  <si>
    <t>Maschinenstundensatz (MSS)</t>
  </si>
  <si>
    <t>Wird lieferantenspezifisch aus den Prämissen übernommen.
Siehe Reiter 'Premises' für eine detaillierte Beschreibung.</t>
  </si>
  <si>
    <t>Fall 1: Maschine wird nicht als Spezialbetriebsmittel behandelt (Standard)
Fixkosten = ((Invest / Kalk. AfA) 
+ (Invest x 0,5 x Kalk. Zins) 
+ (Fläche x Miete x 12)) 
/ Stunden pro Jahr
Fall 2: Maschine wird als Spezialbetriebsmittel behandelt
Fixkosten = (Fläche x Miete x 12) 
/ Stunden pro Jahr</t>
  </si>
  <si>
    <t>Die Summe aus Fixkosten und variablen Kosten pro Stunde.
MSS = Fixkosten + Variable Kosten</t>
  </si>
  <si>
    <t>Kalk. AfA 
[Jahre]</t>
  </si>
  <si>
    <t>Mittl. Strom 
[kWh]</t>
  </si>
  <si>
    <t>Mittl. Erdgas 
[kWh]</t>
  </si>
  <si>
    <t>Avg. Natural gas
[kWh]</t>
  </si>
  <si>
    <t>Consumables
[% Invest]</t>
  </si>
  <si>
    <t>Variable Kosten = (Mittl. Strom x Stromkosten)
+ (Mittl. Erdgas x Erdgaskosten)
+ ((Verbrauchsmaterial x Invest)
+ (Instandhaltung x Invest))
/ Stunden pro Jahr</t>
  </si>
  <si>
    <t>Restfertigungsgemeinkosten-
stundensatz (RSS RFGK)</t>
  </si>
  <si>
    <t>Hier werden die maschinen- und länderabhängigen Restfertigungsgemeinkosten (RFGK) als Restfertigungsgemeinkostenstundensatz (RSS) aus dem MHR-Reiter übernommen.</t>
  </si>
  <si>
    <t>Optional: The required setup time in minutes, namely the time in which the machine stands still and is set up by employees.</t>
  </si>
  <si>
    <t>Optional: The number of employees required for setup.</t>
  </si>
  <si>
    <t>Optional: The number of employees required to operate the machine.</t>
  </si>
  <si>
    <t>Optional: The qualification of the employees required to operate the machine.</t>
  </si>
  <si>
    <t>Optional: The ID of the machine in the AWS machine database.</t>
  </si>
  <si>
    <t>Associated tool</t>
  </si>
  <si>
    <t>Optional: The ID of the tool used to calculate the cycle time.</t>
  </si>
  <si>
    <t>Machines used in the calculation are marked with an 'X'.</t>
  </si>
  <si>
    <t>The date when the entered data was last synchronized with the corresponding database.
Please note: This is only relevant if the data has not been modified manually and accordingly an 'X' is shown in the next column.</t>
  </si>
  <si>
    <t>Machines taken from the database or synchronized with the database are marked with an 'X', manually entered or subsequently manipulated machines with a 'C'.</t>
  </si>
  <si>
    <t>The sum of fixed costs and variable costs per hour.
MHR = Fixed costs + Variable costs</t>
  </si>
  <si>
    <t>Taken from the premises on a supplier-specific basis.
See tab 'Premises' for a detailed description.</t>
  </si>
  <si>
    <t>Machine hourly rate (MHR)</t>
  </si>
  <si>
    <t>Usage</t>
  </si>
  <si>
    <t>Data status</t>
  </si>
  <si>
    <t>Data origin</t>
  </si>
  <si>
    <t>Rental costs</t>
  </si>
  <si>
    <t>Shift model</t>
  </si>
  <si>
    <t>Hours per year</t>
  </si>
  <si>
    <t>Electricity costs</t>
  </si>
  <si>
    <t>Gas costs</t>
  </si>
  <si>
    <t>MSS: Variable Kosten</t>
  </si>
  <si>
    <t>MSS: Fixkosten</t>
  </si>
  <si>
    <t>MHR: fixed costs</t>
  </si>
  <si>
    <t>MHR: variable costs</t>
  </si>
  <si>
    <t>Indirect manufacturing hourly rate (IMHR)</t>
  </si>
  <si>
    <t>Case 1: Machine is not treated as special operating equipment (standard)
Fixed costs = ((Invest / Calcul. Depreciation) 
+ (Invest x 0.5 x Calcul. interest) 
+ (Area x Rent x 12)) 
/ hours per year
Case 2: Machine is treated as special equipment
Fixed costs = (area x rent x 12) 
/ hours per year</t>
  </si>
  <si>
    <t>Variable costs = (Average electricity x electricity costs)
+ (Average natural gas x Natural gas cost)
+ ((Consumables x Invest)
+ (Maintenance x Invest))
/ hours per year</t>
  </si>
  <si>
    <t>Locations taken from the database or synchronized with the database are marked with an 'X', manually entered or subsequently manipulated locations with a 'C'.</t>
  </si>
  <si>
    <t>Aus der Datenbank übernommene bzw. mit der Datenbank synchronisierte Standorte sind mit einem 'X' markiert, manuell eingetragene oder nachträglich manipulierte Standorte mit einem 'C'.</t>
  </si>
  <si>
    <t>Standortdaten</t>
  </si>
  <si>
    <t>Der Fertigungsstandort muss hier per Dropdown ausgewählt werden. Zum Fertigungsort müssen länderspezifische Daten in den Blättern LOC und MHR vorhanden sein bzw. eingegeben werden.</t>
  </si>
  <si>
    <t>The manufacturing country must be selected here by dropdown. For the manufacturing location, country-specific data must be available or entered in the LOC and MHR tabs.</t>
  </si>
  <si>
    <t>CO₂-Emission</t>
  </si>
  <si>
    <t>Optional: Die lokale Währung des Standorts kann hier eingetragen werden. Dies ist rein informativ.
Die Währung, in der die Kalkulationsergebnisse angezeigt werden, kann im Reiter 'Premises' geändert werden.</t>
  </si>
  <si>
    <t>Optional: The local currency of the location can be entered here. This is purely informative.
The currency in which the calculation results are displayed can be changed in the 'Premises' tab.</t>
  </si>
  <si>
    <t>Hier ist die Einheit des Materials auszuwählen.
Der eingetragene Preis bezieht sich immer auf eine Einheit des Materials, also auf ein Stück (Stk.), ein Kilogram (kg), einen Liter (l) etc.</t>
  </si>
  <si>
    <t>Preis je Einheit 
(in Eingabewährung)</t>
  </si>
  <si>
    <t>Price per unit 
(in input currency)</t>
  </si>
  <si>
    <t>Price per unit</t>
  </si>
  <si>
    <t>Preis je Einheit</t>
  </si>
  <si>
    <t>Effort in h/year</t>
  </si>
  <si>
    <t>A meaningful designation of the material is entered here. 
Please note: The designation has to be unique!</t>
  </si>
  <si>
    <t>Eine aussagekräftige Bezeichnung des Materials wird hier eingetragen. 
Achtung: Die Bezeichung muss eindeutig sein!</t>
  </si>
  <si>
    <t>Hier ist der Preis je Einheit in der Eingabewährung einzutragen.
Wenn ein Preis nur für eine individuelle bzw. eine nicht aufgelistete Einheit zur Verfügung steht (bspw. Preis je Rolle), muss dieser in die passende Einheit (bspw. Preis je m²) umgerechnet werden.</t>
  </si>
  <si>
    <t>Here the price per unit is to be entered in the input currency.
If a price is only available for an individual or unlisted unit (e.g. price per roll), it must be converted to the appropriate unit (e.g. price per m²).</t>
  </si>
  <si>
    <t>Optional: Hier kann die Dichte des Materials eingeben werden.
Eine hier eingetragene Dichte steht im Reiter 'Info' bei Auswahl des entsprechenden Materials zur Berechnung von Volumen und Gewicht direkt zur Verfügung.</t>
  </si>
  <si>
    <t>Aus der Datenbank übernommene bzw. mit der Datenbank synchronisierte Materialien sind mit einem 'X' markiert, manuell eingetragene oder nachträglich manipulierte Materialien mit einem 'C'.</t>
  </si>
  <si>
    <t>Optional: The density of the material can be entered here.
A density entered here is directly available in the 'Info' tab when selecting the corresponding material for the calculation of volume and weight.</t>
  </si>
  <si>
    <t>Die Summe der jährlich anfallenden Kosten für Einkauf, Qualität und Lagerbewegung.
Gesamt = 
Einkauf + Qualität + Lagerbewegung
Hintergrund: Aus den jährlichen Kosten und den Kosten je Einheit wird in der Kalkulation anhand des Materialpreises, der Anzahl verbauter Teile bzw. der Anteil verbrauchter Menge und der in den Prämissen festgelegten Jahresstückzahl der jeweile MGK-Satz berechnet.</t>
  </si>
  <si>
    <t>Die Summe der Kosten je Einheit für Kapitalbindung, Versicherung und Lagerplatzkosten.
Gesamt = 
Kapitalbindung + Versicherung + Lagerplatzkosten
Hintergrund: Aus den jährlichen Kosten und den Kosten je Einheit wird in der Kalkulation anhand des Materialpreises, der Anzahl verbauter Teile bzw. der Anteil verbrauchter Menge und der in den Prämissen festgelegten Jahresstückzahl der jeweile MGK-Satz berechnet.</t>
  </si>
  <si>
    <t>Die jährlich anfallenden Kosten für die Beschaffung des Materials.
Darin enthalten sind die Lohn- sowie Arbeitsplatzkosten der Beschaffung (siehe Aufwand in h/Jahr - Einkauf).</t>
  </si>
  <si>
    <t>Die jährlich anfallenden Kosten für die Wareneingangs- und Qualitätsprüfung des Materials.
Darin enthalten sind sowohl die Lohn- sowie Arbeitsplatzkosten der Prüf- und Qualitätsingenieure als auch die Betriebskosten der verwendeten Prüfstände (siehe Aufwand in h/Jahr - Qualität).</t>
  </si>
  <si>
    <t>Die je Einheit des Materials für die Kapitalbindung anfallenden Kosten.
Kapitalbindung = Kalk. Zinssatz x Lagerreichweite in Wochen / 52 x Preis je Einheit</t>
  </si>
  <si>
    <t>Die je Einheit des Materials für die Versicherung anfallenden Kosten.
Versicherung = Lagerreichweite in Wochen / 52 x 12 x 0,00026 x Preis je Einheit</t>
  </si>
  <si>
    <t>Jährliche Kosten: Gesamt</t>
  </si>
  <si>
    <t>Lieferantenspezifisch</t>
  </si>
  <si>
    <t>Jährliche Kosten: Einkauf</t>
  </si>
  <si>
    <t>Jährliche Kosten: Qualität</t>
  </si>
  <si>
    <t>Jährliche Kosten: Lagerbewegung</t>
  </si>
  <si>
    <t>Kosten je Einheit: Kapitalbindung</t>
  </si>
  <si>
    <t>Kosten je Einheit: Versicherung</t>
  </si>
  <si>
    <t>Kosten je Einheit: Lagerplatzkosten</t>
  </si>
  <si>
    <t>Kosten je Einheit: Gesamt</t>
  </si>
  <si>
    <t>Die jährlich anfallenden Kosten für das Ein-, Aus- und Umlagern des Materials.
Darin enthalten sind die Lohn- sowie Arbeitsplatzkosten der Lagerarbeiter als auch die Betriebskosten der entsprechend der Lagerart verwendeten Lagerbediengeräte (siehe Aufwand in h/Jahr - Lagerbewegung).</t>
  </si>
  <si>
    <t>Die je Einheit des Materials anfallenden Lagerplatzkosten.
Darin enthalten sind die Kosten des entsprechend der Lagerart gewählten Lagerplatzes und die Lohn- sowie Arbeitsplatzkosten der Lagerleitung über die gewählte Lagerreichweite (siehe Reiter 'IndirectCosts').</t>
  </si>
  <si>
    <t>The sum of the annual costs incurred for purchasing, quality and stock movement.
Total = 
Purchasing + Quality + Stock movement
Background: From the annual costs and the costs per unit, the respective indirect material rate is calculated in the cost estimate on the basis of the material price, the number of parts used or the proportion of used quantity and the annual number of units defined in the premises.</t>
  </si>
  <si>
    <t>The annual costs incurred for the procurement of the material.
This includes the wage costs as well as the workplace costs of procurement (see Expenditure in h/year - Purchasing).</t>
  </si>
  <si>
    <t>The annual costs incurred for the incoming goods and quality inspection of the material.
This includes both the wage and workplace costs of the testing and quality engineers as well as the operating costs of the test stands used (see Expenditure in h/year - Quality).</t>
  </si>
  <si>
    <t>The annual costs incurred for the storage, retrieval and transfer of material.
This includes the wage and workplace costs of the warehouse workers as well as the operating costs of the warehouse operating equipment used according to the type of warehouse (see Expenditure in h/year - Warehouse movement).</t>
  </si>
  <si>
    <t>The cost incurred per unit of material for capital commitment.
Capital commitment = Cost. Interest rate x stock range in weeks / 52 x price per unit</t>
  </si>
  <si>
    <t>The cost per unit of the material for insurance.
Insurance = stock range in weeks / 52 x 12 x 0.00026 x price per unit</t>
  </si>
  <si>
    <t>The storage bin costs incurred per unit of the material.
This includes the costs of the storage bin selected according to the storage type and the wage and workplace costs of the warehouse management over the selected storage range (see tab 'IndirectCosts').</t>
  </si>
  <si>
    <t>The sum of unit costs for capital commitment, insurance, and storage space costs.
Total = 
Capital commitment + Insurance + Storage space costs
Background: From the annual costs and the costs per unit, the respective indirect material rate is calculated in the cost estimate on the basis of the material price, the number of parts used or the proportion of used quantity and the annual number of units defined in the premises.</t>
  </si>
  <si>
    <t>Supplier-specific</t>
  </si>
  <si>
    <t>Annual costs: Total</t>
  </si>
  <si>
    <t>Annual costs: Purchasing</t>
  </si>
  <si>
    <t>Annual costs: Quality</t>
  </si>
  <si>
    <t>Annual cost: Stock movement</t>
  </si>
  <si>
    <t>Cost per unit: Capital commitment</t>
  </si>
  <si>
    <t>Costs per unit: Insurance</t>
  </si>
  <si>
    <t>Costs per unit: Storage space costs</t>
  </si>
  <si>
    <t>Costs per unit: Total</t>
  </si>
  <si>
    <t>Ist der praktische Erdgasverbrauch abgeleitet aus Anschlussleistung und Korrekturfaktor.
Mittlerer Erdgaswert = Erdgas x Faktor Erdgas</t>
  </si>
  <si>
    <t>Ist der praktische Stromverbrauch abgeleitet aus Anschlussleistung und Korrekturfaktor.
Mittlerer Stromwert = Strom x Faktor Strom</t>
  </si>
  <si>
    <t>Hier wird der Invest in der auf dem Prämissenblatt gewählten Währung angezeigt.
Invest = Invest in Eingabewährung x Wechselkurs</t>
  </si>
  <si>
    <t>Value needed to calculate the supplier-specific hourly rate in the MAT tab.</t>
  </si>
  <si>
    <t>Value required to calculate the supplier-specific hourly rate in the MAT tab.</t>
  </si>
  <si>
    <t>Value needed to calculate the supplier-specific hourly rate in the MAT tab.
Supplier-specific interest expense per hour = Invest to be charged interest x supplier-specific interest rate / (working days per year x availability).</t>
  </si>
  <si>
    <t>Value needed to calculate the supplier-specific hourly rate in the MAT tab.
Supplier-specific interest expense per hour = Invest to earn interest x supplier-specific interest rate / (working days per year x availability).</t>
  </si>
  <si>
    <t>Value needed to calculate the supplier-specific hourly rate in the MAT tab.
Vendor specific interest expense per hour = Interest to be paid on investment x Vendor specific interest rate / (working days per year x availability).
The test stand investment to earn interest is the sum product of the test stand occupancy and the test stand investment per test stand divided by the total test stand occupancy:
Test stand investment to be paid interest = (test stand occupancy 1 x test stand investment 1 + test stand occupancy 2 x test stand investment 2 + ...) / (test stand occupancy 1 + test stand occupancy 2 + ...)</t>
  </si>
  <si>
    <t>Die Fläche der gewählten Lagerart, die zum Lagern einer Lagereinheit benötigt wird, in m².</t>
  </si>
  <si>
    <t>Das zum Ein-, Um- und Auslagern verwendete Lagerbediengerät.
Abhängig von der gewählten Lagerart.</t>
  </si>
  <si>
    <t>Beschreibt, in welcher Form das Material vorliegt.
Die Spezifikation hat Einfluss auf die Prüfungen, die im Rahmen der Wareneingangs- und Qualitätskontrolle durchgeführt werden.</t>
  </si>
  <si>
    <t>Beschreibt, wie umfangreich das Testen des Materials im Rahmen der Wareneingangs- und Qualitätskontrolle ausfällt.
Dieser Wert beinflusst die Art und die Dauer der in Abhängigkeit der Spezifikation durchgeführten Prüfungen.</t>
  </si>
  <si>
    <t>Beschreibt, wie umfangreich der Bestellaufwand des Materials ausfällt.
Standardmaterialien, die nach Katalog bestellt werden, haben einen geringen Bestellaufwand. 
Spezielle oder individuelle Materialien, die zunächste aufwendig recherchiert und angefragt werden müssen, haben einen mittleren oder hohen Bestellaufwand.
Dieser Wert beeinflusst die Zeit, die der Einkäufer zum Bestellen des Material benötigt.</t>
  </si>
  <si>
    <t>Die Art des Lagers, das beim dauerhaften Lagern des zu Lagereinheiten zusammengefassten Materials Verwendung findet.
Die Lagerart beeinflusst die Dauer der Ein- Um- und Auslagerungsvorgänge sowie die Lagerplatzkosten.</t>
  </si>
  <si>
    <t>Anzahl an Teilen, die sich zu einer Lagereinheit zusammenfassen lassen.
Dieser Wert beschreibt einen Mittelwert, der abhängig von Größe und Gewicht der Einzelteile abweichen kann.
Ist diese Zelle leer, ist die entsprechende Einheit für Materialien dieser Gruppe standardmäßig nicht vorgesehen, kann aber bei Bedarf ergänzt werden.</t>
  </si>
  <si>
    <t>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t>
  </si>
  <si>
    <t>Describes how extensive the ordering effort of the material is.
Standard materials that are ordered from a catalog require little effort to order. 
Special or individual materials, which first have to be researched and requested at great expense, have a medium or high ordering effort.
This value influences the time required by the purchaser to order the material.</t>
  </si>
  <si>
    <t>The type of storage used in the permanent storage of material grouped into storage units.
The type of storage influences the duration of storage and retrieval operations as well as the storage space costs.</t>
  </si>
  <si>
    <t>Describes how extensive the handling of the material is.
This value influences the duration of the storage and retrieval processes.</t>
  </si>
  <si>
    <t>Describes how extensive the testing of the material is within the scope of the goods receipt and quality control.
This value influences the type and duration of the tests performed depending on the specification.</t>
  </si>
  <si>
    <t>Describes the form in which the material is present.
The specification has an influence on the tests that are carried out as part of the incoming goods and quality control.</t>
  </si>
  <si>
    <t>The time in weeks that the supplier must keep the material in stock.
This value determines the period for which costs for capital commitment and insurance as well as storage space costs are incurred.
By default, a stock range of 4 weeks is assumed.</t>
  </si>
  <si>
    <t>Number of parts that can be combined to form a storage unit.
This value describes an average value, which may differ depending on the size and weight of the individual parts.
If this cell is empty, the corresponding unit is not provided for materials of this group by default, but can be added if required.</t>
  </si>
  <si>
    <t>The area of the selected storage type needed to store a storage unit, in m².</t>
  </si>
  <si>
    <t>The storage and retrieval device used for storage, transfer and retrieval.
Depending on the selected storage type.</t>
  </si>
  <si>
    <t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t>
  </si>
  <si>
    <t>Zeigt anhand eines Wasserfalls, wie sich die Kosten in der aktiven Zelle zusammensetzen.
Oben links lassen sich die Tier-Stufe (soweit vorhanden), die Anzahl und die Einheit anpassen.
Oben mittig lässt sich die grundlegende Darstellung auswählen. Zur Verfügung stehen Cost Split 1 (AWS Standard), Cost Split 2 und ein Komponenten-Split.
Letzterer beschreibt standardmäßig die Top 10 Komponenten. Die anzuzeigenden Bauteile können aber über den Baum (standardmäßig ausgeblendet) angepasst werden.
Oben rechts kann die aktuelle Darstellung in die Zwischenablage kopiert (links), die Zusammensetzung des Wasserfalls angepasst (mittig) oder der Baum ein- bzw. ausgeblendet werden (rechts).
Der Baum ist entsprechend der BOM aufgebaut und bietet die Möglichkeit durch An- bzw. Abwählen einzelne Unterbaugruppen oder Komponenten auszuschließen sowie per Klick auf ein Element die Zusammensetzung eines anderen Preises anzuzeigen. Weiterhin lässt sich die Preiszusammensetzung auf bestimmte Cluster beschränken, soweit diese entsprechend zugeordnet wurden (siehe Reiter 'Cluster').</t>
  </si>
  <si>
    <t>Mit einem Haken markierte Elemente werden im Wasserfall angezeigt, nicht angehakte Elemente ausgeblendet.
Einige Elemente lassen sich nicht abhaken. Ist mindestens eine, aber nicht alle Unterkategorien einer Oberkategorie angehakt, werden die restlichen Werte als 'Weitere' zusammengefasst.
Durch Doppelklick lässt sich ein Elemente hervorheben. Ein hervorgehobenes (mit einem Stern markiertes) Element wird im Wasserfall innerhalb des Summenbalkens als Teilmenge angezeigt.
Durch Klick auf den Button unten rechts wird die Auswahl zurückgesetzt.</t>
  </si>
  <si>
    <t>Elements marked with a check mark are displayed in the waterfall, unchecked elements are hidden.
Some elements cannot be checked off. If at least one, but not all subcategories of a supercategory are checked, the remaining values are summarized as 'More'.
An element can be highlighted by double-clicking on it. A highlighted element (marked with an asterisk) is displayed in the waterfall within the summary bar as a subset.
Clicking the button at the bottom right resets the selection.</t>
  </si>
  <si>
    <t>Shows by means of a waterfall how the costs in the active cell are composed.
At the top left, you can adjust the animal level (if available), the number and the unit.
At the top center, you can select the basic display. Cost split 1 (AWS default), cost split 2 and a component split are available.
The latter describes the top 10 components by default. However, the components to be displayed can be customized via the tree (hidden by default).
On the top right, the current display can be copied to the clipboard (left), the composition of the waterfall can be adjusted (center), or the tree can be shown or hidden (right).
The tree is structured according to the BOM and offers the possibility to exclude single subassemblies or components by selecting or deselecting them as well as to display the composition of another price by clicking on an element. Furthermore, the price composition can be limited to certain clusters, as far as these have been assigned accordingly (see tab 'Cluster').</t>
  </si>
  <si>
    <t>Names and e-mail addresses of project manager and calculator are stored to allow the customer a direct contact (Help - Get in touch).
Adjustments to the paths stored here are only necessary if the ACT is used in a different network environment.
Paths to project-specific databases are defined by the PL and automatically included by selecting the correct project template.
By clicking on a value in the first column it can be adjusted. By confirming the changes with OK, they are applied.</t>
  </si>
  <si>
    <t>Namen und E-Mail-Adressen von Projektleiter und Kalkulator werden hinterlegt, um dem Kunden einen direkten Kontakt (Hilfe - In Kontakt treten) zu ermöglichen.
Anpassungen an den hier hinterlegten Pfaden sind nur notwendig, wenn das ACT in einer anderen Netzwerkumgebung verwendet wird.
Pfade zu projektspezifischen Datenbanken werden vom PL festgelegt und durch Auswahl der korrekten Projektvorlage automatisch eingebunden.
Durch Klicken auf einen Wert in der erste Spalte lässt sich dieser anpassen. Durch Bestätigen der Änderungen mit OK werden diese übernommen.</t>
  </si>
  <si>
    <t>Allg. Energie, Leistung Hilfs- und Prüfgeräte
[kWh]</t>
  </si>
  <si>
    <t>General energy, power auxiliary and test equip.
[kWh]</t>
  </si>
  <si>
    <t>General operation costs</t>
  </si>
  <si>
    <t>Allgemeine Betriebskosten</t>
  </si>
  <si>
    <t>Allgemein</t>
  </si>
  <si>
    <t>Die allgemeinen Betriebskosten beinhaltet alle sonstigen anfallenden Kosten, wie beispielsweise die jährlichen Entsorgungskosten von an dieser Maschine anfallenden Abfällen und Verpackungen.</t>
  </si>
  <si>
    <t>General operating costs include all other costs incurred, such as the annual disposal costs of waste and packaging generated at this machine.</t>
  </si>
  <si>
    <t>Auxilliary and test equipment</t>
  </si>
  <si>
    <t>Hilfs- und Prüfgeräte</t>
  </si>
  <si>
    <t>Die Kosten für Hilfs- und Prüfgeräte enthalten für diese Maschine anteiligen jährlichen Kosten für Hilfsgeräte (Ameisen, Stapler, Deckenkran etc.) sowie für verwendete Prüfgeräte.</t>
  </si>
  <si>
    <t>Zu den allgemeinen Flächen zählen z.B. Transportwege zwischen den Maschinen, anteilige Sozialräume (Teeküche, Kantine etc.) sowie anteilige Büroräume von Meister, Fertigungsplaner, Qualitätsingenieur etc.</t>
  </si>
  <si>
    <t>The general areas include, for example, transport routes between the machines, proportionate social rooms (tea kitchen, canteen etc.) as well as proportionate offices of the master craftsman, production planner, quality engineer etc.</t>
  </si>
  <si>
    <t>The cost of auxiliary and test equipment includes prorated annual costs for auxiliary equipment (ants, forklift, overhead crane etc.) as well as the test equipment used for this machine.</t>
  </si>
  <si>
    <t>Allg. Energie, Leistung Hilfs- und Prüfgeräte</t>
  </si>
  <si>
    <t>Der anteilige Energieverbrauch der Hilfs- und Prüfgeräte sowie der Anteil an der durch die allgemeine Fläche verbrauchten Energie.</t>
  </si>
  <si>
    <t>The proportionate energy consumption of auxiliary and test equipment as well as the proportion of energy consumed by the general area.</t>
  </si>
  <si>
    <t>Unter indirektem Personal versteht man die Tätigkeiten von z. B. Staplerfahrer in der Fertigung, Meister, Fertigungsplaner, Qualitätsingenieure usw. 
Die Stundenanzahl entspricht den gesamten jährlichen Stunden vom indirekten Personal die anteilig auf diese Maschine fallen. 
Bei der Berechnung des RSS wird diese Stundenanzahl mit dem Lohnniveau des jeweiligen Lieferanten multipliziert.</t>
  </si>
  <si>
    <t>Eine aussagekräftige Bezeichnung der Maschine wird hier eingetragen.
Neben der Korrekten Benennung sollten auch weitere Informationen wie der Name des Herstellers oder zentrale Spezifikationen (Pressenkraft, Abmaße der Tischfläche etc.) integriert werden.
Achtung: Die Bezeichung muss eindeutig sein!</t>
  </si>
  <si>
    <t>A meaningful designation of the machine is entered here.
In addition to the correct designation, further information such as the name of the manufacturer or central specifications (press force, dimensions of the table area etc.) should also be integrated.
Please note: The designation has to be unique!</t>
  </si>
  <si>
    <t>Each component in the BOM is assigned exactly one block of the calculation.
In the first row, highlighted in blue, the description of the component is linked.
The other rows describe either a material used or a production step.
Assemblies also contain a list of the sub-assemblies and components one level below. However, their costs are not listed here, the block describes only the expenses of the given stage of production (assembly, testing etc.).</t>
  </si>
  <si>
    <t>The availability of the workers is assumed to be 80% by default unless otherwise specified. 
The distribution time of the worker is therefore 20%. 
The distribution time is understood to be time portions that are not value-adding but are nevertheless included in the working time (e.g. meetings, supervision of trainees, visits to the toilet etc.). 
The value entered here flows into the calculation of the effective labor costs in the Calculation tab.</t>
  </si>
  <si>
    <t>Indirect personnel refers to the activities of, for example, forklift drivers in production, foremen, production planners, quality engineers etc. 
The number of hours corresponds to the total annual hours of indirect personnel proportionally allocated to this machine. 
When calculating the IMHR, this number of hours is multiplied by the wage level of the respective supplier.</t>
  </si>
  <si>
    <t>Indirect personnel refers to the activities of, for example, forklift drivers in production, foremen, production planners, quality engineers etc. The number of hours corresponds to the total annual hours of indirect personnel proportionally allocated to this machine. When calculating the RSS, this number of hours is multiplied by the wage level of the respective supplier.</t>
  </si>
  <si>
    <t>Select the unit of the material here.
The entered price always refers to a unit of the material, i.e. to one piece (pcs.), one kilogram (kg), one liter (l) etc.</t>
  </si>
  <si>
    <t>Der Korrekturfaktor für den tatsächlichen Stromverbrauch, da in der Realität die Maschine nicht andauernd auf Maximalleistung läuft. 
Standardmäßig werden hier 0,5 (entspricht 50 %) eingetragen, dies kann aber stark variieren. Für einen Schmelzofen wird beispielsweise ein weit höherer Faktor angesetzt.</t>
  </si>
  <si>
    <t>The correction factor for the actual power consumption, since in reality the machine does not run at maximum power all the time. 
By default, 0.5 (corresponds to 50 %) is entered here, but this can vary greatly. For a melting furnace, for example, a much higher factor is applied.</t>
  </si>
  <si>
    <t>Der Korrekturfaktor für den tatsächlichen Erdgasverbrauch, da in der Realität die Maschine nicht andauernd auf Maximalleistung läuft. 
Standardmäßig werden hier 0,5 (entspricht 50 %) eingetragen, dies kann aber stark variieren. Für einen Schmelzofen wird beispielsweise ein weit höherer Faktor angesetzt.</t>
  </si>
  <si>
    <t>The correction factor for the actual natural gas consumption, since in reality the machine does not run at maximum power all the time. 
By default, 0.5 (corresponds to 50 %) is entered here, but this can vary greatly. For a melting furnace, for example, a much higher factor is applied.</t>
  </si>
  <si>
    <t>The area contains the space taken up by the machine plus the additional space required (rough rule of thumb plus approx. 1 m each) around the machine for installation and shunting areas.</t>
  </si>
  <si>
    <t>Die Fläche enthält den von der Maschine eingenommen Platz plus zusätzlichen benötigten Platz (grobe Faustformel jeweils plus ca. 1 m) um die Maschine herum für Aufstell- und Rangierflächen.</t>
  </si>
  <si>
    <t>Die jährliche Instandhaltung der Maschine liegt standardmäßig bei 3,8%. 
Der Prozentsatz bezieht sich auf den Invest und beschreibt die jährlich umgelegten Kosten.</t>
  </si>
  <si>
    <t>Verbrauchsmaterialien sind z. B. Verschleißwerkzeuge, Öl, Wasser, Druckluft etc. 
Der Prozentsatz bezieht sich auf den Invest und beschreibt die jährlich umgelegten Kosten.</t>
  </si>
  <si>
    <t>The standard annual maintenance of the machine is 3.8%. 
This percentage relates to the investment and describes the costs allocated annually.</t>
  </si>
  <si>
    <t>Consumables are wear tools, oil, water, compressed air etc. 
This percentage relates to the investment and describes the costs allocated annually.</t>
  </si>
  <si>
    <t>In den Investitionskosten sind alle Kosten enthalten, die zum Aufstellen einer Maschine benötigt werden. 
Enthalten sind ensprechend auch Kosten für Transport, Inbetriebnahme, Montage, nötigen Schulungen des Personals etc.</t>
  </si>
  <si>
    <t>The investment costs include all costs required for the installation of a machine. 
Accordingly, costs for transport, commissioning, assembly, necessary training of personnel, etc. are also included.</t>
  </si>
  <si>
    <t>A meaningful designation of the location is entered here. 
Please note: The designation has to be unique!</t>
  </si>
  <si>
    <t>Eine aussagekräftige Bezeichnung des Standorts wird hier eingetragen. 
Achtung: Die Bezeichung muss eindeutig sein!</t>
  </si>
  <si>
    <t>Unter Maschinenbediener versteht man einen angelernten Arbeiter. 
Hier stehen die Arbeitskosten des Maschinenbedieners im 1-Schichtbetrieb pro Stunde.</t>
  </si>
  <si>
    <t>Ein Facharbeiter ist ein geschulter Arbeiter. 
Die Arbeitskosten für diesen Arbeiter werden hier pro Stunde angezeigt (1-Schichtbetrieb).</t>
  </si>
  <si>
    <t>Dieser Wert dient dazu, den Lohnzuschlag für die zweite Schicht zu erfassen. 
Es ist darauf zu achten, dass dieser Zuschlag auf die erste und zweite Schicht aufgeschlagen wird. D.h. hier steht nicht der Wert, der nur auf die zweite Schicht aufgeschlagen wird sondern ein niedriger Wert (die Hälfte), der auf beide Schichten aufgeschlagen wird, um in Summe auf die richtigen Lohnkosten zu kommen.</t>
  </si>
  <si>
    <t>This value is used to record the wage supplement for the second shift. 
However, it is important to note that this supplement is added to the first and second shift. This means that here is not the value, which is only added to the second layer, but a lower value (half), which is added to both layers, in order to arrive at the correct wage costs.</t>
  </si>
  <si>
    <t>Durch diesen Wert wird die Lohnbezuschlagung für die dritte Schicht erfasst. 
Auch hier ist wieder darauf zu achten, dass dieser Wert nicht der absolute Zuschlag für die dritte Schicht ist, sondern auf alle drei Schichten beaufschlagt wird. Deswegen muss der hier eingetragene Wert niedriger sein (ein Drittel) als die eigentliche Schichtbezuschlagung für die dritte Schicht, damit in Summe die Lohnkosten den richtigen Wert haben.</t>
  </si>
  <si>
    <t>This value is used to record the wage allocation for the third shift. 
Again, make sure that this value is not the absolute value for the third layer, but is applied to all three layers. Therefore, the value entered here must be lower (one third) than the actual layer allowance for the third layer, so that the total wage costs have the correct value.</t>
  </si>
  <si>
    <t>Hier ist der Wirschaftsbereich einzutragen. 
Meistens handelt es sich um allgemeine industrielle Fertigung ('Industrie') oder den Automobilsektor ('Automotive').</t>
  </si>
  <si>
    <t>The Economic area is entered here.
In most cases it is general industrial manufacturing ('Industry') or the automotive sector ('Automotive').</t>
  </si>
  <si>
    <t>Auch der kalkulatorische Zins ist länderabhängig. 
Dieser wird berechnet aus dem aktuellen Zinssatz für 10-jährige Staatsanleihen plus 1 % Risikoaufschlag.</t>
  </si>
  <si>
    <t>The calculatory interest rate also depends on the country. 
This is calculated from the current interest rate for 10-year government bonds plus a 1% risk markup.</t>
  </si>
  <si>
    <t>Hier wird automatisch die Anzahl der in dem jeweiligen Bauteil vorhanden Unterbaugruppen (nur Unterbaugruppen der nächsten Strukturstufe) berechnet.
Dies ist insbesondere für die Berechnung der Montagezeiten nützlich.</t>
  </si>
  <si>
    <t>The number of subassemblies (only subassemblies of the next structural level) present in the respective part is automatically calculated here. 
This is especially useful for the calculation of assembly times</t>
  </si>
  <si>
    <t>The weight of the component in kg must be entered here. 
The weight refers to one component, regardless of the number of components used. The total weight is automatically calculated in column O.</t>
  </si>
  <si>
    <t>Das Gewicht des Bauteils in kg ist hier einzutragen. 
Das Gewicht bezieht sich auf ein Bauteil, unabhängig von der Anzahl verbauter Teile. Das Gesamtgewicht wird in Spalte O automatisch berechnet.</t>
  </si>
  <si>
    <t>The number of the component must be entered here. 
The number refers to the occurrence of the part in a unit of the next higher assembly. The total number is automatically calculated in column N. 
Example: 
A sheet is included 15 times in the ZSB sheet package. The ZSB sheet metal package is contained four times in the ZSB rotor. The ZSB rotor is included once in the ZSB motor. This means that although a total of (15 x 4 x 1) = 60 laminations is required, only the 15 sheets that are installed in a ZSB rotor are entered here.</t>
  </si>
  <si>
    <t>Structural level</t>
  </si>
  <si>
    <t>Hier wird die Nummer des Teils eingetragen.
Die Nummer kann entweder im Format (01-01-01 …) über das Num-Makro automatisch generiert oder manuell (beispielsweise entsprechend einer vorhanden Lieferantennummerierung) eingetragen werden.
Achtung: Die Nummerierung muss eindeutig sein!</t>
  </si>
  <si>
    <t>The number of the part is entered here.
The number can either be generated automatically in the format (01-01-01 ...) using the Num-Macro or entered manually (e.g. according to an existing supplier numbering).
Please note: The numbering has to be unique!</t>
  </si>
  <si>
    <t>Here - composed of numbering and designation - the name of the component (which is unique thanks to the numbering) is displayed. 
This column has to be used for all links (VLOOKUP etc.) to avoid wrong assignments.</t>
  </si>
  <si>
    <t>Hier wird die Anzahl des Rohstoffs bzw. Kaufteils bezogen auf die Einheit eingetragen.
Im Reiter 'Info' kann bei Bedarf die benötigte Menge abgeschätzt werden.
Achtung: Beim Einsatzgewicht ist zu beachten, dass hier das ursprüngliche Gewicht, also das Gewicht vor dem Ur- bzw. Umformen einzutragen ist!</t>
  </si>
  <si>
    <t>If, in addition to the material already considered in this manufacturing step (column AQ), the component contains additional (raw) material from a previous value creation step, this value has to be entered here to calculate the scrap rate correctly.</t>
  </si>
  <si>
    <t>Die Materialkosten (MK) ergeben sich aus den Materialeinzelkosten (MEK) und den Materialgemeinkosten (MGK).
MK = Menge x Materialpreis + Ausschuss Material + MGK</t>
  </si>
  <si>
    <t>Die Materialgemeinkosten (MGK) pro Stück werden hier berechnet. 
MGK = (Menge x Preis + Ausschuss Material) x MGK-Satz</t>
  </si>
  <si>
    <t>Der Verwaltungs- und Vertriebsgemeinkostensatz (VVGK) auf Material wird aus den Prämissen übernommen.
Siehe Reiter 'Premises' für eine detaillierte Beschreibung.</t>
  </si>
  <si>
    <t>Der Verwaltungs- und Vertriebsgemeinkostensatz (VVGK) auf Wertschöpfung wird aus den Prämissen übernommen.
Siehe Reiter 'Premises' für eine detaillierte Beschreibung.</t>
  </si>
  <si>
    <t>Der Verwaltungs- und Vertriebsgemeinkostensatz (VVGK) wird aus den Prämissen übernommen.
Siehe Reiter 'Premises' für eine detaillierte Beschreibung.</t>
  </si>
  <si>
    <t>Der Gewinn-Satz auf Material wird aus den Prämissen übernommen.
Siehe Reiter 'Premises' für eine detaillierte Beschreibung.</t>
  </si>
  <si>
    <t>Der Gewinn-Satz auf Wertschöpfung wird aus den Prämissen übernommen.
Siehe Reiter 'Premises' für eine detaillierte Beschreibung.</t>
  </si>
  <si>
    <t>Der Gewinn-Satz wird aus den Prämissen übernommen.
Siehe Reiter 'Premises' für eine detaillierte Beschreibung.</t>
  </si>
  <si>
    <t>Other costs incurred individually can be entered here.
These costs are not charged and are directly included in the part price.
Please note: If the component is not manufactured by the tier 1 supplier and is further allocated within the supplier structure, the costs entered here will also be allocated.
Costs that are to be included in the final price without being allocated must be entered in a block of the Tier 1 supplier (preferably in the first block)!</t>
  </si>
  <si>
    <t>Hier können individuell anfallende sonstige Kosten eingetragen werden.
Diese Kosten werden nicht beaufschlagt und gehen direkt in den Teilepreis ein.
Achtung: Wird das Bauteil nicht vom Tier 1 Lieferanten hergestellt und wird entsprechend innerhalb der Lieferantenstruktur weiter beaufschlagt, werden auch die hier eingetragenen Kosten beaufschlagt.
Kosten, die unbeaufschlagt in den Endpreis eingehen sollen, müssen entsprechend in einen Block des Tier 1 Lieferanten (am besten in den ersten Block) eingetragen werden!</t>
  </si>
  <si>
    <t>Hier wird der allgemeine Satz für sonstige Kosten aus den Premissen übernommen, falls dieser festgelegt wurde.
Siehe Reiter 'Premises' für eine detaillierte Beschreibung.</t>
  </si>
  <si>
    <t>Die Ausschussrate wird aus den Prämissen übernommen.
Siehe Reiter 'Premises' für eine detaillierte Beschreibung.</t>
  </si>
  <si>
    <t>The scrap rate is taken from the premises.
See tab 'Premises' for a detailed description.</t>
  </si>
  <si>
    <t>Wird der allgemeine MGK-Satz auf Materialebene oder kombiniert gebildet (siehe Reiter 'Premises' - Menü [Prämissen - Overhead - MGK]), berechnet sich der MGK-Satz anhand der im MAT-Reiter aufgeführten jährlichen Kosten und den aufgeführten Kosten je Einheit sowie des Materialpreises, der Anzahl verbauter Teile bzw. der Anteil verbrauchter Menge und der in den Prämissen festgelegten Jahresstückzahl.
Wird der allgemeine MGK-Satz fix vorgegeben, erscheint hier der im Reiter 'Premises' eingetragene Wert.</t>
  </si>
  <si>
    <t>Indirect material rate</t>
  </si>
  <si>
    <t>If the general indirect material rate is formed at material level or combined (see tab 'Premises' - menu [Premises - Overhead - indirect material rate]), the indirect material rate is calculated on the basis of the annual costs listed in the MAT tab and the listed costs per unit as well as the material price, the number of parts used or the proportion of used quantity and the annual number of units specified in the premises.
If the general indirect material rate is preset, the value entered in the 'Premises' tab will appear here.</t>
  </si>
  <si>
    <t>The indirect material costs per piece are calculated here. 
Indirect material costs = (quantity x price + scrap material) x indirect material rate</t>
  </si>
  <si>
    <t>The material costs result from the material direct costs and the indirect material costs.
Material costs = quantity x material price + scrap material + indirect material costs</t>
  </si>
  <si>
    <t>The selling, general and administrative expenses (SG&amp;A) rate on added value is taken from the premises.
See tab 'Premises' for a detailed description.</t>
  </si>
  <si>
    <t>The selling, general and administrative expenses (SG&amp;A) rate on material is taken from the premises.
See tab 'Premises' for a detailed description.</t>
  </si>
  <si>
    <t>The selling, general and administrative expenses (SG&amp;A) rate is taken from the premises.
See tab 'Premises' for a detailed description.</t>
  </si>
  <si>
    <t>Here the SG&amp;A are calculated per piece.
SG&amp;A = (Mfg. - tool costs - scrap production + Mat.) x SG&amp;A rate / 100</t>
  </si>
  <si>
    <t>The profit rate on added value is taken from the premises.
See tab 'Premises' for a detailed description.</t>
  </si>
  <si>
    <t>The profit rate on material is taken from the premises.
See tab 'Premises' for a detailed description.</t>
  </si>
  <si>
    <t>The profit rate is taken from the premises.
See tab 'Premises' for a detailed description.</t>
  </si>
  <si>
    <t>Here the general rate for other costs is taken from the premises, if it has been set.
See tab 'Premises' for a detailed description.</t>
  </si>
  <si>
    <t>Unter 'Standzeit' versteht sich wie lange das Werkzeug genutzt werden kann, bevor es ausgetauscht werden muss.
 Die Standzeit bezieht sich auf eine Kavität.</t>
  </si>
  <si>
    <t>Service life means how long the tool can be used before it has to be replaced.
The tool life refers to one cavity.</t>
  </si>
  <si>
    <t>Hier wird per Dropdown ein Maschinenbediener (M) bzw. Facharbeiter (F) ausgewählt. 
Dies hat Auswirkungen auf die Lohngruppe.</t>
  </si>
  <si>
    <t>The required qualification for the workers is entered via dropdown. The options are (U) unskilled or (S) skilled worker. 
This has an effect on the wage group.</t>
  </si>
  <si>
    <t>Die Anzahl der benötigten Mitarbeiter für das externe Rüsten wird hier eingetragen. 
Das Rüstpersonal ist immer vom Typ Facharbeiter (F).</t>
  </si>
  <si>
    <t>The number of employees required for the external setup is entered here. 
The setup personnel is always of type skilled worker (S).</t>
  </si>
  <si>
    <t>Hier wird die Anzahl der Mitarbeiter eingetragen, die für das Rüsten benötigt werden. 
Das Rüstpersonal ist immer vom Typ Facharbeiter (F).</t>
  </si>
  <si>
    <t>The number of employees required for the setup is entered here. 
The setup personnel is always of the type skilled worker (S).</t>
  </si>
  <si>
    <t>Here, the required makeready time is entered in minutes, namely the time during which the machine stands still and is being set up by employees.</t>
  </si>
  <si>
    <t>The machine hourly rate (MHR) is automatically taken from the MHR tab depending on country and supplier and represents the machine costs per hour.</t>
  </si>
  <si>
    <t>The corresponding time unit is selected by dropdown.
You can choose between seconds, minutes and hours.</t>
  </si>
  <si>
    <t>Wird der allgemeine RFGK-Satz auf Maschinenebe e oder kombiniert gebildet (siehe Reiter 'Premises' - Menü [Prämissen - Overhead - RFGK]), berechnet sich der RFGK-Satz anhand des im MHR-Reiter aufgeführten RSS.
Wird der allgemeine RFGK-Satz fix vorgegeben, erscheint hier der im Reiter 'Premises' eingetragene Wert.</t>
  </si>
  <si>
    <t>If the general indirect manufacturing rate is formed at machine level or combined (see tab 'Premises' - menu [Premises - Overhead - indirect manufacturing rate]), the indirect manufacturing rate is calculated on the basis of IMHR listed in the MHR tab.
If the general indirect manufacturing rate is preset, the value entered in the 'Premises' tab will appear here.</t>
  </si>
  <si>
    <t>The IMHR maps the following manufacturing overhead costs as an hourly rate:
Indirect Peronal
General area
Auxiliary and test equipment
General energy, power auxiliary and test equipment
General operating costs</t>
  </si>
  <si>
    <t>Hier wird die Gesamtanzahl des Bauteils aus der BOM übernommen.
Änderungen sind entsprechend in der BOM vorzunehmen.</t>
  </si>
  <si>
    <t>Here the total quantity of the component is taken from the BOM.
Changes are to be made in the BOM.</t>
  </si>
  <si>
    <t>$B$7</t>
  </si>
  <si>
    <t>$BZ$7</t>
  </si>
  <si>
    <t>Tier 1 Lieferant</t>
  </si>
  <si>
    <t>Tier 1 Supplier</t>
  </si>
  <si>
    <t>$C$7</t>
  </si>
  <si>
    <t>Gesamtpreis</t>
  </si>
  <si>
    <t>Total price</t>
  </si>
  <si>
    <t>$C$8</t>
  </si>
  <si>
    <t>Der Summe aller in der Kalkulation aufgeführten Kosten.
Sind mehrere Lieferanten mit entsprechenden Lieferketten in der Kalkulation berücksichtigt, sind alle Tier-Zuschläge bis hin zum hier festgelegten Tier 1 Lieferanten in diesem Wert enthalten.</t>
  </si>
  <si>
    <t>The sum of all costs listed in the calculation.
If several suppliers with corresponding supply chains are included in the calculation, all tier surcharges up to the tier 1 supplier defined here are included in this value.</t>
  </si>
  <si>
    <t>Die Benennung des Tier 1 Lieferanten entsprechend der Auswahl in Zelle $BZ$7.
Standardmäßig ist dies der erste im Reiter 'Premises' angelegte Lieferant.
Achtung: Wird der Tier 1 Lieferant in Zelle $BZ$7 nachträglich geändert (1 wird zu 4), müssen sämtliche Lieferantenstrukturen ebenfalls entsprechend angepasst werden ('2-3-1' wird zu '2-3-4')!</t>
  </si>
  <si>
    <t>Die Lieferanten-ID des Tier 1 Lieferanten.
Standardmäßig ist dies der erste im Reiter 'Premises' angelegte Lieferant.
Achtung: Wird der Tier 1 Lieferant nachträglich geändert (1 wird zu 4), müssen sämtliche Lieferantenstrukturen ebenfalls entsprechend angepasst werden ('2-3-1' wird zu '2-3-4')!</t>
  </si>
  <si>
    <t>The naming of the Tier 1 supplier according to the selection in cell $BZ$7.
By default, this is the first supplier created in the 'Premises' tab.
Please note: If the Tier 1 supplier in cell $BZ$7 is subsequently changed (1 becomes 4), all supplier structures must also be adjusted accordingly ('2-3-1' becomes '2-3-4')!</t>
  </si>
  <si>
    <t>The supplier ID of the Tier 1 supplier.
By default, this is the first supplier created in the 'Premises' tab.
Please note: If the Tier 1 supplier is subsequently changed (1 becomes 4), all supplier structures must also be adjusted accordingly ('2-3-1' becomes '2-3-4')!</t>
  </si>
  <si>
    <t>Per Doppelklick auf eine Zelle in Spalte A lassen sich einzelne Zeilen hinzufügen.
Über das erweiterte Rechtsklick-Menü können auch mehrere Zeilen sowie in Zeilen mit Blocktitel (mehrere) Blöcke hinzufügt werden. 
Die Anzahl entspricht dabei der Anzahl an markierten Zellen innerhalb der Spalte A.
Neue Elemente werden immer unterhalb der ersten ausgewählten Elements eingefügt.
Achtung: Zeilen sollten immer per Makro eingefügt werden, um nicht versehentliche Zeilen ohne Formeln einzufügen.
Beispiel:
Durch das Markieren des Bereichs A12:A16 und einem Klick auf [Rechtsklick-Menü - Add 5 Rows] werden unterhalb der Zeile 12 fünf weitere Zeilen eingefügt.</t>
  </si>
  <si>
    <t>Hier wird die Lieferantenstruktur anhand der im Prämissen-Reiter vergebenen IDs aus der BOM übernommen. 
Per Doppelklick auf die entsprechende Zelle öffnet sich die Lieferantenstrukturübersicht, mit deren Hilfe diese abgebildet werden kann.
Achtung: Die ID entspricht weder automatisch der Position des Lieferanten im Prämissen-Reiter noch gibt sie Auskunft über dessen Tier-Level innerhalb der Lieferantenstruktur!
Beispiel:
1: Lieferant 01 (Tier 1) stellt das Bauteil selber her [Standardfall]
3-1: Lieferant 03 (Tier 2) stellt das Bauteil her und liefert es an Lieferant 01 (Tier 1)
2-3-1: Lieferant 02 (Tier 3) stellt das Bauteil her und liefert es an Lieferant 03 (Tier 2), der es verbaut und das Zwischenprodukt an Lieferant 01 (Tier 1) liefert</t>
  </si>
  <si>
    <t>Dies ist der Anteil der Restfertigungsgemeinkosten an den gesamten Maschinenkosten des jeweiligen Lieferanten.
Je nachdem, wie der RFGK-Satz gebildet wird (siehe Menü [Prämissen - Overhead - RFGK]) hat dieser Wert eine unterschiedliche Bedeutungen:
- Auf Maschinenebene: Rein informativ
- Kombiniert: Dient als RFGK-Satz für den Lieferanten
- Vorgabe: Entspricht der Vorgabe</t>
  </si>
  <si>
    <t>Dies ist der Anteil der Materialgemeinkosten an den gesamten Materialkosten des jeweiligen Lieferanten.
Je nachdem, wie der MGK-Satz gebildet wird (siehe Menü [Prämissen - Overhead - MGK]) hat dieser Wert unterschiedliche Bedeutungen:
- Auf Materialebene: Rein informativ
- Kombiniert: Dient als MGK-Satz für den Lieferanten
- Vorgabe: Entspricht der Vorgabe</t>
  </si>
  <si>
    <t>Der RSS RFGK bilden die folgenden Fertigungsgemeinkosten als Stundensatz ab:
Indirektes Peronal
Allgemeine Fläche
Hilfs- und Prüfgeräte
Allg. Energie, Leistung Hilfs- und Prüfgeräte
Allg. Betriebskosten</t>
  </si>
  <si>
    <t>Einstellungen</t>
  </si>
  <si>
    <t>Im Offlinemodus werden die lokal hinterlegten Addins, Datenbanken und Routinen verwendet.
Bitte die lokalen Daten bei Bedarf über das Menü [Start - AWS - Toolbox - Sync] zuvor eigenständig synchronisieren.</t>
  </si>
  <si>
    <t>In offline mode, the locally stored addins, databases and program scripts are used.
Please consider synchronising the locally stored data via the menu [Start - AWS - Toolbox - Sync] beforehand.</t>
  </si>
  <si>
    <t>Grundlegendes</t>
  </si>
  <si>
    <t>Tutorial</t>
  </si>
  <si>
    <t>Erste Schritte</t>
  </si>
  <si>
    <t>A meaningful designation of the part corresponding to the technical function has to be entered here. 
Please note: In contrast to the numbering, the designation does NOT have to be unique!</t>
  </si>
  <si>
    <t>Eine aussagekräftige und der technischen Funktion entsprechende Bezeichnung des Bauteils ist hier einzugetragen. 
Achtung: Die Bezeichung muss - im Gegensatz zur Nummerierung - NICHT eindeutig sein!</t>
  </si>
  <si>
    <t>The structural level (1 to n) of the component is entered here.
Structural level 1 is the total assembly which is analyzed. This level is unique and must not be assigned more than once!
The sub-components are contained in the following structural levels (2 to n). 
The structure is to be hierarchical, namely in the simplest case the final product is in level 1, in level 2 one or more assemblies and in level 3 the respective individual parts. The subdivision into the assemblies or individual parts is carried out in the same order as the assembly of the end product.</t>
  </si>
  <si>
    <t>Hier wird die Strukturstufe (1 bis n) des Bauteils eingetragen.
Strukturstufe 1 ist die Gesamtbaugruppe, welche analysiert wird. Diese Stufe ist einmalig und darf nicht mehrmals vergeben werden!
Die enthaltenen Subkomponenten sind in den darauffolgenden Strukturstufen (2 bis n) enthalten.
Die Struktur ist hierarchisch aufzubauen, d.h. im einfachsten Fall steht in Stufe 1 das Endprodukt, in Stufe 2 ein oder mehrere ZSB und in Stufe 3 die jeweilig zugehörigen Einzelteile. Die Untergliederung in die ZSB bzw. Einzelteile erfolgt in der gleichen Reihenfolge wie der Zusammenbau bzw. die Montage des Endprodukts.</t>
  </si>
  <si>
    <t>Here the supplier structure is entered based on the IDs assigned in the Premises tab. 
By double-clicking on the corresponding cell, the supplier structure overview is opened, helping one to demonstrate the same.
Please note: The ID does not automatically correspond to the position of the supplier in the Premises tab nor does it provide information about its hierarchical level within the supplier structure!
Examples:
1: Supplier 01 (Tier 1) produces the component itself [standard case].
3-1: Supplier 03 (Tier 2) manufactures the component and delivers it to supplier 01 (Tier 1).
2-3-1: supplier 02 (tier 3) manufactures the component and delivers it to supplier 03 (tier 2), who installs it and delivers the intermediate product to supplier 01 (tier 1).</t>
  </si>
  <si>
    <t xml:space="preserve">Hier wird die Lieferantenstruktur anhand der im Prämissen-Reiter vergebenen IDs eingetragen. 
Per Doppelklick auf die entsprechende Zelle öffnet sich die Lieferantenstrukturübersicht, mit deren Hilfe diese abgebildet werden kann.
Achtung: Die ID entspricht weder automatisch der Position des Lieferanten im Prämissen-Reiter noch gibt sie Auskunft über dessen Tier-Level innerhalb der Lieferantenstruktur!
Beispiele:
1: Lieferant 01 (Tier 1) stellt das Bauteil selber her [Standardfall].
3-1: Lieferant 03 (Tier 2) stellt das Bauteil her und liefert es an Lieferant 01 (Tier 1).
2-3-1: Lieferant 02 (Tier 3) stellt das Bauteil her und liefert es an Lieferant 03 (Tier 2), der es verbaut und das Zwischenprodukt an Lieferant 01 (Tier 1) liefert.
</t>
  </si>
  <si>
    <t>Kundenansicht simulieren</t>
  </si>
  <si>
    <t>Simulate customer view</t>
  </si>
  <si>
    <t>Übertrag</t>
  </si>
  <si>
    <t>Je nach Auswahl werden das aktive oder alle Arbeitsblätter auf Fehler und Unstimmigkeiten überprüft und diese (ohne Anspruch auf Vollständigkeit) aufgelistet.
Es werden drei Kategorien an Ergebnissen unterschieden:
- informativ (blau): Auffäliigkeiten, die durchaus beabsichtigt sein können (können durch Klick auf den entsprechenden Legendeneintrag ausgeblendet werden).
- alarmierend (gelb): Probleme, die bis zur Fertigstellung der Kalkulation unbedingt behoben werden sollten, aber die Funktion der Anwendung nicht beeinträchtigen.
- kritisch (rot): Fehler, die behoben werden müssen, da sonst bestimmte Funktionen (wie bspw. die Synchronisation) nicht funktionieren.
Achtung: Die Überprüfung ersetzt nicht die manuelle Durchsicht durch den Kalkulator!</t>
  </si>
  <si>
    <t>Auto Übertrag</t>
  </si>
  <si>
    <t>Gewährt Zugriff auf die erweiterten Einstellungen.
Achtung: Pfade zu projektspezifischen Datenbanken werden vom PL festgelegt und über die Auswahl der Projektvorlage automatisch übernommen.
Anpassungen an den hier hinterlegten Pfaden sind nur notwendig, wenn das ACT in einer anderen Netzwerkumgebung verwendet wird!</t>
  </si>
  <si>
    <t>Allows access to the advanced settings.
Please note: Paths to project-specific databases are defined by PL and automatically imported by selecting the project template.
Adjustments to the paths stored here are only necessary if the ACT is used in a different network configuration!</t>
  </si>
  <si>
    <t xml:space="preserve"> Checks the active worksheet for major errors and irregularities.
Please note: The check does not replace the manual review by the calculator!
</t>
  </si>
  <si>
    <t xml:space="preserve"> Checks the active worksheet for errors and irregularities.
Please note: The check does not replace the manual review by the calculator!</t>
  </si>
  <si>
    <t>Checks all worksheets for errors and irregularities.
Please note: The check does not replace the manual review by the calculator!</t>
  </si>
  <si>
    <t>Die Strom-Anschlussleistung der Maschine in kW.</t>
  </si>
  <si>
    <t>Die Erdgas-Anschlussleistung der Maschine in kW.</t>
  </si>
  <si>
    <t>The nominal load for electricity of the machine in kW.</t>
  </si>
  <si>
    <t>The nominal load for natural gas of the machine in kW.</t>
  </si>
  <si>
    <t>In online mode, the add-ins, databases and program scripts stored in the server are used.</t>
  </si>
  <si>
    <t>Auswahl der für das aktive Projekt zu verwendenden Vorlage.
Achtung: Soweit durch den Projektleiter nicht anders kommuniziert, ist die Standardvorlage 'Default' zu verwenden!</t>
  </si>
  <si>
    <t>Select the template to be used for the active project.
Unless otherwise communicated by the project manager, the default template 'Default' is to be used!</t>
  </si>
  <si>
    <t>Im Bilderrahmen werden die für die ausgewählte Zeile oder den ausgewählten Block im Bilderordner hinterlegten Bilder angezeigt.</t>
  </si>
  <si>
    <t>Öffnet den hinterlegten Bilderordner.</t>
  </si>
  <si>
    <t>Ändert den Pfad des hinterlegten Bilderordners.</t>
  </si>
  <si>
    <t>Shows the summary of the selected cost item.</t>
  </si>
  <si>
    <t>Zeigt die Zusammenstellung der ausgewählten Kostenposition.</t>
  </si>
  <si>
    <t>Fügt unterhalb des (ersten) ausgewählten Blocks einen neuen ein.</t>
  </si>
  <si>
    <t>Inserts a new block below the (first) selected block.</t>
  </si>
  <si>
    <t>Inserts a new row below the first selected row.</t>
  </si>
  <si>
    <t>Fügt unterhalb der ersten ausgewählten Zeile eine neue ein.</t>
  </si>
  <si>
    <t>Resets the layout of the calculation to the selected view.</t>
  </si>
  <si>
    <t>Setzt das Layout der Kalkulation auf die ausgewählte Ansicht zurück.</t>
  </si>
  <si>
    <t>Display necessary columns to be filled for the calculation.</t>
  </si>
  <si>
    <t>Ansicht der zum Befüllen der Kalkulation wesentlichen Spalten.</t>
  </si>
  <si>
    <t>Display necessary columns to present the calculation.</t>
  </si>
  <si>
    <t>Ansicht der zum Präsentieren der Kalkulation wesentlichen Spalten.</t>
  </si>
  <si>
    <t>Compact view of the most important information on single screen width.</t>
  </si>
  <si>
    <t>Kompakte Ansicht der wichtigsten Informationen auf einer Bildschirmbreite.</t>
  </si>
  <si>
    <t>Deletes the selected supplier from the calculation.</t>
  </si>
  <si>
    <t>Löscht den ausgewählten Lieferanten aus der Kalkulation.</t>
  </si>
  <si>
    <t>Adds a copy of the selected supplier to the calculation.</t>
  </si>
  <si>
    <t>Fügt der Kalkulation eine Kopie des ausgewählten Lieferanten hinzu.</t>
  </si>
  <si>
    <t>Adds a new supplier to the calculation.</t>
  </si>
  <si>
    <t>Fügt der Kalkulation einen neuen Lieferanten hinzu.</t>
  </si>
  <si>
    <t>Show/hide column for total costs of the respective Assembly (sum of the assembly and its sub-components costs).</t>
  </si>
  <si>
    <t>Ein-/Ausblenden der Spalte für Gesamtkosten des jeweilen ZSBs (Summe aus den Kosten der Montage und allen enthaltenen Komponenten).</t>
  </si>
  <si>
    <t>Show/hide the columns for other non-chargeable costs (logistics etc.).</t>
  </si>
  <si>
    <t>Ein-/Ausblenden der Spalten für sonstige nicht zu beaufschlagende Kosten (Logistik etc.).</t>
  </si>
  <si>
    <t>Show/hide columns for upstream material scrap.</t>
  </si>
  <si>
    <t>Ein-/Ausblenden der Spalten für vorgelagerten Materialaussschuss.</t>
  </si>
  <si>
    <t>Show/hide columns for post-processing of produced scrap.</t>
  </si>
  <si>
    <t>Ein-/Ausblenden der Spalten für am Ausschuss durchzuführende Nacharbeiten.</t>
  </si>
  <si>
    <t>Show/hide columns for tool wear costs.</t>
  </si>
  <si>
    <t>Ein-/Ausblenden der Spalten für Verschleißwerkzeugkosten.</t>
  </si>
  <si>
    <t>Show/hide columns for tool costs to be allocated.</t>
  </si>
  <si>
    <t>Ein-/Ausblenden der Spalten für umzulegende Werkzeugkosten.</t>
  </si>
  <si>
    <t>Show/hide columns for external setup.</t>
  </si>
  <si>
    <t>Ein-/Ausblenden der Spalten für externes Rüsten.</t>
  </si>
  <si>
    <t>Extends the selected view by the selected columns.</t>
  </si>
  <si>
    <t>Erweitert die gewählte Ansicht um die ausgewählten Spalten.</t>
  </si>
  <si>
    <t>User configurable custom view.</t>
  </si>
  <si>
    <t>Frei konfigurierbare benutzerdefinierte Ansicht.</t>
  </si>
  <si>
    <t>Opens an overview of the available practices for the different technologies and materials.</t>
  </si>
  <si>
    <t>Öffnet eine Übersicht der für die verschiedenen Technologien und Materialgruppen zur Verfügung stehenden Routinen.</t>
  </si>
  <si>
    <t>Opens an overview of the available tools for the different technologies.</t>
  </si>
  <si>
    <t>Öffnet eine Übersicht der für die verschiedenen Technologien zur Verfügung stehenden Schnellrechner.</t>
  </si>
  <si>
    <t>Opens an overview of the available material price tools for the different materials groups.</t>
  </si>
  <si>
    <t>Öffnet eine Übersicht der für die verschiedenen Materialgruppen zur Verfügung stehenden Materialpreisrechner.</t>
  </si>
  <si>
    <t>Opens an overview, sorted by technology, of the available machines, machine lines and the corresponding quick calculators.</t>
  </si>
  <si>
    <t>Öffnet eine nach Technologien sortierte Übersicht der zur Verfügung stehenden Anlagen und Maschinen und der dazugehörigen Schnellrechner.</t>
  </si>
  <si>
    <t>Opens an overview of the available materials.</t>
  </si>
  <si>
    <t>Öffnet eine Übersicht der zur Verfügung stehenden Materialien.</t>
  </si>
  <si>
    <t>Opens an overview of the available locations.</t>
  </si>
  <si>
    <t>Öffnet eine Übersicht der zur Verfügung stehenden Standorte.</t>
  </si>
  <si>
    <t>Adds an empty E-BOM to the calculation.</t>
  </si>
  <si>
    <t>Fügt der Kalkulation eine leere E-BOM hinzu.</t>
  </si>
  <si>
    <t>Copies the selected E-BOM into the calculation.</t>
  </si>
  <si>
    <t>Kopiert die ausgewählte E-BOM in die Kalkulation.</t>
  </si>
  <si>
    <t>Checks automatically when leaving the active worksheet whether changes are available for synchronization in the BOM and/or the calculation tab.</t>
  </si>
  <si>
    <t>Prüft beim Verlassen des aktiven Arbeitsblattes automatisch, ob Änderungen in der BOM und/oder der Kalkulation zur Synchronisation vorliegen.</t>
  </si>
  <si>
    <t>Automatically creates a backup in the local temp directory before synchronization.</t>
  </si>
  <si>
    <t>Erstellt vor dem Synchronisieren automatisch ein Backup im lokalen Temp-Verzeichnis.</t>
  </si>
  <si>
    <t>The help bar contains further information on the selected row/column/cell or the shown user interface.</t>
  </si>
  <si>
    <t>Die Hilfeleiste enthält weiterführende Informationen zu der ausgewählten Zeile/Spalte/Zelle bzw. der geöffneten Eingabemaske.</t>
  </si>
  <si>
    <t>Opens the ACT documentation.</t>
  </si>
  <si>
    <t>Öffnet die ACT Dokumentation.</t>
  </si>
  <si>
    <t>Opens the ACT tutorial.</t>
  </si>
  <si>
    <t>Öffnet das ACT Tutorial.</t>
  </si>
  <si>
    <t>ACT-X</t>
  </si>
  <si>
    <t>MHR MAT LOC</t>
  </si>
  <si>
    <t>Show/hide picture frame</t>
  </si>
  <si>
    <t>Löscht den Pfad des hinterlegten Bilderordners.
Es wird nur die Verbindung zurückgesetzt, der Ordner bleibt unverändert erhalten.</t>
  </si>
  <si>
    <t>tgbPicP</t>
  </si>
  <si>
    <t>btnPic1P</t>
  </si>
  <si>
    <t>btnPic2P</t>
  </si>
  <si>
    <t>btnPic3P</t>
  </si>
  <si>
    <t>Administrative Benutzerdomäne</t>
  </si>
  <si>
    <t xml:space="preserve">Setzt die Benutzeroberfläche zurück. Ein anschließender Wechsel des Arbeitsblattes lädt diese dann neu.
Sollten weiterhin Fehler auftreten, muss Excel geschlossen und neu geöffnet werden. </t>
  </si>
  <si>
    <t xml:space="preserve"> Resets the user interface. Subsequently switching the worksheet then reloads it.
If errors continue to occur, Excel has to be closed and reopened. </t>
  </si>
  <si>
    <t>tgbHlpHelpBar</t>
  </si>
  <si>
    <t>btnHlpDoc</t>
  </si>
  <si>
    <t>btnHlpMail</t>
  </si>
  <si>
    <t>btnHlpReset</t>
  </si>
  <si>
    <t>tgbHlpCustomerView</t>
  </si>
  <si>
    <t>btnHlpInfo</t>
  </si>
  <si>
    <t>tgbHlpTutorial</t>
  </si>
  <si>
    <t>Zentrales Element des ACT ist das in die Exceloberfläche integrierte ACT-Ribbon.
Über dieses sind sämtliche für die Kalkulation relevanten Funktionen aufrufbar.
Die angezeigten Schaltflächen verändern sich dabei in Abhängigkeit des momentan aktiven Arbeitsblattes (BOM, Calculation etc.) sowie der momentan geladenen Addins (ACT-X, ACT-Q etc.).
Beim Verweilen mit dem Cursors über einer Schaltfläche wird ein kleines Fenster mit Informationen zu der jeweiligen Funktion angezeigt.
Um sich innerhalb der Arbeitsblätter zurechtzufinden, lässt sich über das Menü [ACT - Hilfe - Hilfeleiste] ein Fenster einblenden, das ausführliche Informationen und ggf. Instruktionen zu der gerade ausgewählten Zeile/Spalte/Zelle oder zu der gerade angezeigten Benutzeroberfläche (Userform) bereithält.
Bei einigen Userforms muss zuerst die Hilfeleiste eingeblendet und im Anschluss die Userform geöffnet werden, damit die Hilfe sichtbar ist.</t>
  </si>
  <si>
    <t>Tutorial gestartet</t>
  </si>
  <si>
    <t>Beschreibt, wie umfangreich der Handlingsaufwand des Materials ausfällt.
Dieser Wert beinflusst die Dauer der Ein-, Um- und Auslagerungsvorgänge.</t>
  </si>
  <si>
    <t>IndirectCosts</t>
  </si>
  <si>
    <t>Die AWS Toolbox</t>
  </si>
  <si>
    <t>Versionskontrolle</t>
  </si>
  <si>
    <t>Sprache</t>
  </si>
  <si>
    <t>Projektvorlage</t>
  </si>
  <si>
    <t>Online/Offline</t>
  </si>
  <si>
    <t>\\wts\02 DATA\02 WD\01 Kalkulationstools\01 Teilekosten\01 ACT\ACT 6</t>
  </si>
  <si>
    <t>Je nach Verfügbarkeit oder Geschwindigkeit einer Netzwerkverbindung kann es sinnvoll sein offline zu arbeiten. 
Im Offline-Modus werden statt der auf dem Server befindlichen Daten die über die AWS Toolbox auf der lokalen Festplatte bereitgestellten Daten verwendet. 
Dies betrifft Datenbanken, Schnellrechner und Materialpreisrechner, Addins sowie die Projektübersicht.
Zu beachten ist, dass im Offline-Modus genutzte Resourcen mitunter nicht auf dem neusten Stand sind, da Änderungen erst mit dem Synchronisieren der Daten [Start - AWS - Toolbox - Sync] übernommen werden. 
Es ist daher nach Möglichkeit online zu arbeiten.
Achtung: Um die lokal gespeicherten Daten aktuell zu halten ist es dringend erforderlich, die AWS Toolbox immer aktiviert zu lassen und die Daten bei entsprechender Aufforderung zu aktualisieren!</t>
  </si>
  <si>
    <t>Die Sprache, in der die Kalkulation erstellt wird, ist nach Möglichkeit im Vorfeld mit dem Kunden abzustimmen.
Die gewählte Sprache betrifft nicht nur Überschriften und Erläuterungen im Dokument, sondern bestimmt auch, in welcher Sprache Elemente der Kalkulation hinzugefügt werden. 
Dies betrifft Maschinen-, Material- und Standortdaten, aber auch importiere Zykluszeiten aus Schnellrechnern oder bei der Synchronisation von BOM und Kalkulation automatisch eingefügte Bausteine.
Die Sprache kann zwar jederzeit geändert werden, mitunter ist dies aber mit erheblichem Mehraufwand verbunden, da neben den händischen Eingaben auch die oben genannten automatisch eingefügten Elemente manuell übersetzt werden müssen.
Es ist durchaus beabsichtigt, dass auch die Erstellung der Kalkulation in der Sprache erfolgt, in der das Ergebnis zur Verfügung stehen soll, um den Kalkulator mit den Begrifflichkeiten vertraut zu machen.</t>
  </si>
  <si>
    <t>btnSycCalc</t>
  </si>
  <si>
    <t>btnSycAltCalc</t>
  </si>
  <si>
    <t>tgbSycAutoSycCalc</t>
  </si>
  <si>
    <t>tgbSycAutoBcpCalc</t>
  </si>
  <si>
    <t>Zeigt die Kalkulation, wie sie außerhalb der AWS-Domäne angezeigt wird.
Wird die Kalkulation vom eigenen Computer aus dem Kunden vorgestellt, kann diese Funktion genutzt werden, um die Kalkulation so darzustellen, wie der Kunde sie auf seinem Endgerät sieht.
Achtung: Geladene Addins werden deaktiviert und müssen im Anschluss neu geladen werden!</t>
  </si>
  <si>
    <t xml:space="preserve"> Shows the calculation as it appears outside the AWS domain.
If the calculation is presented to the customer on the own machine, this function can be used to display the calculation exactly as the customer sees it on his.
Please note: Loaded addins are deactivated and have to be reloaded afterwards!</t>
  </si>
  <si>
    <t>Cost split 1</t>
  </si>
  <si>
    <t>Cost split 2</t>
  </si>
  <si>
    <t>Cost split 3</t>
  </si>
  <si>
    <t>mnuLayout</t>
  </si>
  <si>
    <t>btnLayout1</t>
  </si>
  <si>
    <t>Resets the layout of the entire workbook to the AWS default.</t>
  </si>
  <si>
    <t>AWS Standard</t>
  </si>
  <si>
    <t>AWS Default</t>
  </si>
  <si>
    <t>sprSyc</t>
  </si>
  <si>
    <t>sbtSyc</t>
  </si>
  <si>
    <t>dlBSettings</t>
  </si>
  <si>
    <t>sbtSycCalc</t>
  </si>
  <si>
    <t>sprSycCalc</t>
  </si>
  <si>
    <t>Setzt das Layout der gesamten Arbeitsmappe auf den AWS Standard zurück.</t>
  </si>
  <si>
    <t>Resets the layout of the entire workbook to the selected design.</t>
  </si>
  <si>
    <t>Setzt das Layout der gesamten Arbeitsmappe auf das gewählte Design zurück.</t>
  </si>
  <si>
    <t>Synchronisieren</t>
  </si>
  <si>
    <t>Synchronize</t>
  </si>
  <si>
    <t>Synchronisiert die Reiter BOM und Calculation.
Achtung: Nachträgliche Änderungen INNERHALB einer BOM-Zeile oder eines Kalkulationsblocks werden nicht übernommen!</t>
  </si>
  <si>
    <t>Synchronizes the BOM and Calculation tabs.
Please note: Subsequent changes WITHIN a BOM row or calculation block are not applied!</t>
  </si>
  <si>
    <t>Parts per Cycle</t>
  </si>
  <si>
    <t>Teile pro Zyklus</t>
  </si>
  <si>
    <t>Hier wird die Anzahl der Teile pro Fertigungsschritt (z.B. die Kavitäten beim Spritzguss) eingetragen.</t>
  </si>
  <si>
    <t>Die zur Zykluszeit gehörende Zeiteinheit wird hier per Dropdown ausgewählt. 
Zur Auswahl stehen Sekunden, Minuten und Stunden.</t>
  </si>
  <si>
    <t>Hier wird die Losgröße eingetragen.
Diese kann entweder per Dropdown ausgewählt oder als Zahl eingetragen werden.
J = Jahreslos
HJ = Halbjahreslos
M = Monatslos
W = Wochenlos
T = Tageslos</t>
  </si>
  <si>
    <t>Lot size</t>
  </si>
  <si>
    <t>The lot size is entered here.
This can either be selected via dropdown or entered as a number.
Y= annual lot
HY=six-monthly lot
M= monthly lot
W= weekly lot
D=daily lot</t>
  </si>
  <si>
    <t>The time for external setup is entered here in minutes, namely time for setup processes during which the machine does NOT stand still.</t>
  </si>
  <si>
    <t>Ext. Setup</t>
  </si>
  <si>
    <t>Labor costs</t>
  </si>
  <si>
    <t>Skill level</t>
  </si>
  <si>
    <t>Quantitiy</t>
  </si>
  <si>
    <t>Average rework costs</t>
  </si>
  <si>
    <t>\\wts\02 DATA\02 WD\10 Sonstige Anwendungen\AWS Toolbox</t>
  </si>
  <si>
    <t>Überprüfung</t>
  </si>
  <si>
    <t>Über das Menü [ACT - Erweitert - Check] werden je nach Auswahl entweder nur das aktive oder alle Arbeitsblätter auf Fehler und Unstimmigkeiten überprüft und diese (ohne Anspruch auf Vollständigkeit) aufgelistet.
Neben Excel-Fehlern (#BEZUG! etc.) und Fehlern in der Bedienung (Einfügen von Zeilen ohne Formeln, Verwendung von nicht angelegten Materialien etc.) werden auch Unstimmigkeiten in der Kalkulationslogik aufgeführt.
Es werden drei Kategorien an Ergebnissen unterschieden:
- informativ (blau): Auffäliigkeiten, die durchaus beabsichtigt sein können (können durch Klick auf den entsprechenden Legendeneintrag ausgeblendet werden).
- alarmierend (gelb): Probleme, die bis zur Fertigstellung der Kalkulation unbedingt behoben werden sollten, aber die Funktion der Anwendung nicht beeinträchtigen.
- kritisch (rot): Fehler, die behoben werden müssen, da sonst bestimmte Funktionen (wie bspw. die Synchronisation) nicht funktionieren.
Achtung: Die Überprüfung stellt eine reine Hilfestellung dar und ersetzt nicht die manuelle Durchsicht durch den Kalkulator!</t>
  </si>
  <si>
    <t>Über das Menü [ACT - BOM bzw. Kalkulation - Übertrag] lassen sich BOM und Kalkulation zueinander synchronisieren.
Im ACT 6 gehört jede Zeile in der BOM zu genau einem Block in der Kalkulation.
Nachdem die BOM das erste mal aufgebaut wurde, wird diese in die Kalkuation überführt, in dem zu jeder Zeile ein Block angelegt und entsprechend verlinkt sowie mit den vorhandenen Information befüllt wird.
Wird die Struktur auf einer Seite verändert, indem Zeilen oder Blöcke neu hinzugefügt, verschoben oder gelöscht werden, können auch diese Änderungen entsprechend synchronisiert werden.
Die nachträgliche Synchronisation bezieht sich allerdings nur auf die Struktur von BOM und Kalkulation und nicht auf deren Inhalt.
Wird also das Material oder das Gewicht in der BOM angepasst, muss diese Änderung in der Kalkulation ebenfalls manuell vorgenommen werden.
Alternativ können einzelne Zeilen oder Blöcke auch gelöscht und neu erstellt werden ('Redo' in der Userform), bereits eingefügter Inhalt wird dann aber überschrieben.
Die Hilfeleiste enthält weiterführende Informationen zu der beschriebenen Userform.</t>
  </si>
  <si>
    <t>Bilderkatalog</t>
  </si>
  <si>
    <t>\\wts\02 DATA\02 WD\06 Schulungen\04 Schulungen AWS Prämissen\Zuschlagssätze</t>
  </si>
  <si>
    <t>Die AWS Toolbox ist ein VSTO-Add-In für Excel, das arbeitsmappenübergreifende Funktionen bereitstellt. 
Dadurch lassen sich Funktionen unternehmensweit und unabhängig von der jeweils verwendeten Vorlage nutzen.
Für das ACT entscheident ist hierbei die Sync-Funktion, mit Hilfe derer sämtliche Stammdaten und Schnellrechner lokal verfügbar gemacht und aktuell gehalten werden. 
Diese stehen dadurch auch im Offline-Betrieb zur Verfügung.
Bitte dem Link (oben rechts) folgen, um weitere Informationen zu erhalten.</t>
  </si>
  <si>
    <t>Maschinenebene</t>
  </si>
  <si>
    <t>Lieferantenebene</t>
  </si>
  <si>
    <t>Materialebene</t>
  </si>
  <si>
    <t>Supplier level</t>
  </si>
  <si>
    <t>Für Wertschöpfung und Material wird ein einheitlicher VVGK-Satz verwendet.
Dieser muss je Lieferant entsprechend eingetragen werden.
Dies ist die Standardeinstellung.</t>
  </si>
  <si>
    <t>Für Wertschöpfung und Material wird jeweils ein eigener VVGK-Satz verwendet.
Diese müssen je Lieferant entsprechend eingetragen werden.</t>
  </si>
  <si>
    <t>Für Wertschöpfung und Material wird ein einheitlicher Gewinn-Satz verwendet.
Dieser muss je Lieferant entsprechend eingetragen werden.
Dies ist die Standardeinstellung.</t>
  </si>
  <si>
    <t>Für Wertschöpfung und Material wird jeweils ein eigener Gewinn-Satz verwendet.
Diese müssen je Lieferant entsprechend eingetragen werden.</t>
  </si>
  <si>
    <t>A separate SG&amp;A rate is used for added value and material.
These have to be entered accordingly for each supplier.</t>
  </si>
  <si>
    <t>A separate profit rate is used for added value and material.
These have to be entered accordingly for each supplier.</t>
  </si>
  <si>
    <t>A uniform profit rate is used for added value and material.
This has to be entered accordingly for each supplier.
This is the default setting.</t>
  </si>
  <si>
    <t>A uniform SG&amp;A rate is used for added value and material.
This has to be entered accordingly for each supplier.
This is the default setting.</t>
  </si>
  <si>
    <t>Hier wird die für den Fertigungsschritt verwendete Maschine ausgewählt.
ACT-X
Bei geladenem Know-how-Addin (ACT-X) öffnet sich per Doppelklick die Maschienenübersicht (siehe AWS Wissensdomäne) über die eine bereits in der Kalkulation befindliche Maschine (MHR-Reiter) oder eine Maschinen aus der verknüpften Datenbank ausgewählt werden kann. 
Ausgewählte Maschinen, die noch nicht in der Kalkulation vorhanden sind, werden automatisch in den MHR-Reiter kopiert.
Ist die Maschinen bereits in der Kalkulation vorhanden, kann diese auch per Dropdown ausgewählt oder per Copy-Paste von anderer Stelle eingefügt werden.</t>
  </si>
  <si>
    <t>Hier wird die Zykluszeit in Abhängigkeit der Zeiteinheit eingegeben. Alternativ kann auch eine Formel zur Berechnung der Zykluszeit eingetragen werden. Hilfreich sind zudem Kommentare, die die Zykluszeit für andere Benutzer nachvollziehbar machen.
ACT-X
Bei geladenem Know-how-Addin (ACT-X) kann die Zykluszeit für ausgewählt Technologien auch per Rechtsklick aus dem entsprechenden Schnellrechner (siehe Button Routinen) importiert werden, nachdem dort die entsprechenden Parameter eingetragen wurden. 
Neben der Zykluszeit werden zugrundeliegenden Parameter im Kommentar der Zelle hinterlegt.
Des Weiteren wird ein Code im Kommentar hinterlegt (nicht sichtbar), der es ermöglicht die Zykluszeit per Rechtsklick wieder in das entsprechende Tool zu laden, um die Bildung des Wertes später nachvollziehen zu können.</t>
  </si>
  <si>
    <t>Hier wird das Material ausgewählt.
In einem Block können mehrere Materialien (ein Material pro Zeile) eingetragen werden.
ACT-X
Bei geladenem Know-how-Addin (ACT-X) öffnet sich per Doppelklick die Materialübersicht (siehe AWS Wissensdomäne) über die ein bereits in der Kalkulation befindliches Material (MAT-Reiter) oder ein Material aus der verknüpften Datenbank ausgewählt werden kann. 
Ausgewählte Materialien, die noch nicht in der Kalkulation vorhanden sind, werden automatisch in den MAT-Reiter kopiert.
Ist das Material bereits in der Kalkulation vorhanden, kann dieses auch per Dropdown ausgewählt oder per Copy-Paste von anderer Stelle eingefügt werden.</t>
  </si>
  <si>
    <t>Here the material is selected. 
Several materials (one material per row) can be entered in one block.
ACT-X
When the Know-how-Addin (ACT-X) is loaded, double-click on it to open the material overview (see AWS Knowledge Domain) where you can select a material that is already in the calculation (MAT tab) or a material from the linked database. 
Selected materials that are not yet in the calculation are automatically copied to the MAT tab.
If the material already exists in the calculation, it can also be selected from the dropdown list or inserted from another location by copy-paste.</t>
  </si>
  <si>
    <t>Here the machine for the production step is selected.
ACT-X
When the Know-how Addin (ACT-X) is loaded, double-clicking opens the machine overview (see AWS Knowledge Domain), where a machine that is already in the calculation (MHR tab) or a machine from the linked database can be selected. 
Selected machines that are not yet in the calculation are automatically copied into the MHR-tab.
If the machine already exists in the calculation, it can also be selected from the dropdown list or inserted from another location by copy-paste.</t>
  </si>
  <si>
    <t>Here the cycle time is entered as a function of the time unit. Alternatively, a formula for calculating the cycle time can be entered. Helpful descriptive comments can also be added allowing better interpretation for other users.
ACT-X
When the Know-how Addin (ACT-X) is loaded, the cycle time for selected technologies can also be imported from the corresponding quick calculator (see button Practices) by right-clicking after the respective parameters have been entered. 
Along with the cycle time, underlying parameters are stored as a comment for the cell.
In addition, a code is stored in the comment (not visible), which allows the cycle time to be reloaded into the corresponding tool by right-clicking, in order to retrace the formation of the value later.</t>
  </si>
  <si>
    <t>Hier wird bei Bedarf der Fertigungsprozess eingetragen. 
ACT-Q
Bei entsprechend geladenem Addin (ACT-Q) öffnet sich per Doppelklick die Fertiungsprozessübersicht, mit deren Hilfe aus den vom Projektleiter zugelassenen Technologien der Fertigungsprozess abgebildet werden kann. Bekannte Prozesse werden bei der Synchronisation der BOM mit der Kalkulation automatisch entsprechend der hinterlegten Logik vorausgefüllt.
Der Prozess-String wird automatisch generiert und kann aus beliebig vielen (durch + getrennten) Einzelprozessen bestehen, die wiederrum über (durch - getrennte) Parameter spezifiziert werden können.
Beispiel:
A+VT-13:10: Assembly (A - ohne Parameter) und anschließende 10 %-Sichtprüfung (VT-13:10 - Parameter 13 [Percentage] mit Wert 10).
P-10:kg: Kaufteil mit Preis in €/kg (Parameter 13 [Unit] mit Wert 'kg').</t>
  </si>
  <si>
    <t>Here the production process is entered if required. 
ACT-Q
If the Addin (ACT-Q) is loaded accordingly, double-clicking on it opens the manufacturing process overview, which can be used to map the manufacturing process from the technologies approved by the project manager. Known processes are automatically prefilled according to the stored logic when the BOM is synchronized with the calculation.
The process string is generated automatically and can consist of as many number of individual processes (separated by +), which in turn can be specified via (separated by -) parameters.
Example:
A+VT-13:10: Assembly (A - without parameters) and subsequent 10 % visual inspection (VT-13:10 - Parameter 13 [Percentage] with value 10).
P-10:kg: Purchased part with price in €/kg (parameter 13 [Unit] with value 'kg').</t>
  </si>
  <si>
    <t>Hier wird - zusammengesetzt aus Nummerierung und Bezeichnung - der (dank der Nummerierung eindeutige) Name des Bauteils angezeigt. 
Dieser Spalte ist bei allen Verlinkungen (SVERWEIS etc.) zu verwenden, um falsche Zuordnungen zu vermeiden.</t>
  </si>
  <si>
    <t>Hier wird (nur) das Hauptmaterial ausgewählt.
Weitere Materialien können im Kalkulationsblock hinzugefügt werden.
ACT-X
Bei geladenem Know-how-Addin (ACT-X) öffnet sich per Doppelklick die Materialübersicht (siehe AWS Wissensdomäne) über die ein bereits in der Kalkulation befindliches Material (MAT-Reiter) oder ein Material aus der verknüpften Datenbank ausgewählt werden kann. 
Ausgewählte Materialien, die noch nicht in der Kalkulation vorhanden sind, werden automatisch in den MAT-Reiter kopiert.
Ist das Material bereits in der Kalkulation vorhanden, kann dieses auch per Dropdown ausgewählt oder per Copy-Paste von anderer Stelle eingefügt werden.</t>
  </si>
  <si>
    <t>Here (only) the main material is selected.
Other materials can be added in the calculation block.
ACT-X
When the Know-how-Addin (ACT-X) is loaded, double-click on it to open the material overview (see AWS Knowledge Domain) where you can select a material that is already in the calculation (MAT tab) or a material from the linked database. 
Selected materials that are not yet in the calculation are automatically copied to the MAT tab.
If the material already exists in the calculation, it can also be selected from the dropdown list or inserted from another location by copy-paste.</t>
  </si>
  <si>
    <t>Die BOM beinhaltet alle Baugruppen und Einzelteile eines Produkts und zeigt dessen Zusammensetzung über alle Fertigungsstufen in tabellarischer Form.
Die oberste Zeile der Strukturstufe 1 stellt die Gesamtbaugruppe dar, welche analysiert wird. Diese Stufe ist einmalig und darf nicht mehrmals vergeben werden!
Die enthaltenen Subkomponenten sind in den darauffolgenden Strukturstufen (2 bis n) enthalten. Die Struktur ist hierarchisch aufzubauen.
Der Einzug in Spalte D sowie die Farbe einer Zeile verdeutlichen die jeweilige Strukturstufe. Zeilen mit Stufe größer 8 bleiben weiß.
Durch Doppelklick auf die Strukturstufe einer Zeile in Spalte C wird unterhalb dieser eine leere Zeile der gleichen Stufe eingefügt.
Ändert man die Strukturstufe einer Zeile, wird das Farbschema dieser automatisch angepasst.
Die Hilfeleiste enthält weiterführende Informationen zu den zu befüllenden Zellen.</t>
  </si>
  <si>
    <t>Hier werden (durch Hochkomma ['] getrennt) die im zugehörigen Bilderordner (Menü [ACT - BOM - Pic - Ordnerpfad ändern]) gespeicherten Bilder dem jeweiligen Bauteil zugeordnet.
Nummern von Bildern, die während der Zerlegung in der Werkstatt aufgenommen wurden, werden hier eingetragen.
Des Weiteren kann per [Rechtsklick - Save picture from clipboard] ein Bild aus der Zwischenablage (bspw. ein Screenshot einer technischen Zeichnung) hinzugefügt werden. Dieses Bild wird automatisch im Bilderordner abgelegt und mit der nächsten verfügbaren Nummer versehen.
Bilder können im Anschluss mit einem Klick auf [ACT - BOM - Pic - Bilder umbenennen] in den in Spalte A gebildeten Namen umbenannt werden.
Beispiele:
0025: Das Bild IMG_0025.JPG im Bilderordner zeigt das in dieser Zeile beschriebene Bauteil.
2'13'444: Die Bilder IMG_0001.JPG, IMG_0013.JPG und IMG_0444.JPG im zugehörigen Bilderordner zeigen das in dieser Zeile beschriebene Bauteil.</t>
  </si>
  <si>
    <t>Here (separated by apostrophe [']) the images stored in the associated image folder (menu [ACT - BOM - Pic - Change folder path]) are assigned to the respective component.
Numbers of pictures taken during disassembly in the workshop are entered here.
Furthermore, an image from the clipboard (e.g. a screenshot of a technical drawing) can be added via [Right-click - Save picture from clipboard]. This picture is automatically saved in the picture folder and assigned the next available number.
Images can then be renamed to the name formed in column A by clicking on [ACT - BOM - Pic - Rename images].
Examples:
0025: The picture IMG_0025.JPG in the picture folder shows the component described in this line.
2'13'444: The images IMG_0001.JPG, IMG_0013.JPG and IMG_0444.JPG in the corresponding image folder show the component described in this row.</t>
  </si>
  <si>
    <t>Der Bilderkatalog beinhaltet die Bilder, die einzelnen Baugruppen und Einzelteile darstellen.
Um die Dateigröße der Kalkulation möglichst klein zu halten, werden sämtliche Bilder in einem Ordner abgelegt und dieser anschließend über das Menü [ACT - BOM - Pic - Ordnerpfad ändern] mit der Kalkulation verknüpft.
Diese können entweder während der Zerlegung aufgenommenen oder in Form von Screenshots aus technischen Zeichnungen odder ähnlichem entnommenen werden. Die Zuordnung von Bild und Bauteil erfolgt über einen Eintrag in Spalte R der BOM (der entsprechende Eintrag der Hilfeleiste enthält eine genaue Anleitung dazu).
Die Bilder können im Anschluss mit einem Klick auf [ACT - BOM - Pic - Bilder umbenennen] in den in Spalte A gebildeten Namen umbenannt werden.
Über das Menü [ACT - BOM bzw. Kalkulation - Pic - Bilderrahmen] lässt sich ein kleines Fenster einblenden, das die zur ausgewählten BOM-Zeile oder zum ausgewählten Kalkulationsblock gehörigen Bilder anzeigt.
Voraussetzung dafür ist eine Verbindung zum hinterlegten Bilderordner und das Vorhandensein eines Bildes mit der in Spalte R der BOM hinterlegten Nummer oder Bezeichnung.</t>
  </si>
  <si>
    <t>Die Infoleiste enthält weiterführende Informationen zu der Zusammensetzung der in der ausgewählten Zelle dargestellten Kosten oder des dargestellten Tier-Zuschlags.</t>
  </si>
  <si>
    <t>The info bar contains further information on the composition of the costs or tier surcharge displayed in the selected cell.</t>
  </si>
  <si>
    <t>Tier surcharge</t>
  </si>
  <si>
    <t>If it is an assembly (assy), the sum of the cost of all parts included according to the BOM structure is displayed here.</t>
  </si>
  <si>
    <t>Für sämtliche bei der AWS verwendeten Tools ergeben sich regelmäßig mitunter auch kleine Änderungen, Anpassungen oder Neuerungen, die kurzerhand und unbürokratisch einpflegt werden und daher nicht immer eine Versionierung nach sich ziehen.
Daher ist zu Beginn einer jeden neuen ACT-Kalkulation durch den Kalkulator sicherzustellen, dass immer die neuste auf dem Server abgelegte Vorlage (siehe Link oben rechts) verwendet wird.
Achtung: Es ist nicht gestattet, Vorlagen lokal zu speichern und diese für neue Kalkulationen zu verwenden!
Die Versionierung aller AWS Tools folgt der Logik 
[Major.Minor.Build-Revision].
Für das ACT gelten folgende Kompatibilitäten: Unterschiedliche Major-Stufen sind nicht kompatibel, unterschiedliche Minor-Stufen sind eingeschränkt kompatibel, unterschiedliche Build-Stufen sind uneingeschränkt kompatibel. Die Kompatibilität bezieht sich dabei bspw. auf das Kopieren und Einfügen von BOM-Zeilen, Kalkulationsblöcken etc.</t>
  </si>
  <si>
    <t>Zu jeder Zeile in der BOM gehört ein Block in der Kalkulation.
Die BOM sollte immer die strukturelle Basis bilden. Änderungen in der Struktur sind daher nach Möglichkeit in der BOM zu vollziehen und die Kalkulation im Anschluss entsprechend zu synchronisieren.
Des Weiteren sind sämtliche Einträge der Kopfzeile (der ersten Zeile eines jeden Blocks) auf die BOM verlinkt. Bezeichnung, Anzahl und Lieferantenstruktur eines Blocks sind entsprechend ebenfalls in der dazugehörigen BOM-Zeile anzupassen.
Per [Rechtsklick - Show in BOM] innerhalb einer Kopfzeile eines Blocks gelangt man direkt zu der dazugehörigen BOM-Zeile (und auf gleiche Weise auch wieder zurück).
Die Analyse [ACT - Kalkulation - Analysis] zeigt anhand eines Wasserfalls, wie sich die Kosten in der aktiven Zelle zusammensetzen.
Über das Menü [ACT - Kalkulation - Analysis - Infoleiste] lässt sich ein kleines Fenster einblenden, das Informationen über die Zusammensetzung der in der ausgewählten Zelle dargestellten Kosten oder des dargestellten Tier-Zuschlags enthält.
Die Hilfeleiste enthält weiterführende Informationen zu den zu befüllenden Zellen und den beschriebenen Userforms.</t>
  </si>
  <si>
    <t>EditView</t>
  </si>
  <si>
    <t>Userform Edit View</t>
  </si>
  <si>
    <t>Ermöglicht das Ein- und Ausblenden der in der Kalkulation zur Vefügung stehenden Spalten.
Die Standardansichten lassen sich dabei nicht überschreiben. Wird die Ansicht zurückgesetzt, verfallen die Änderungen.
Die Zusatzspalten (externes Rüsten etc.) müssen gesondern an- und abgewählt werden.
Eigene Ansicht
Ist die 'Eigene Ansicht' ausgewählt werden die Anpassungen automatisch gespeichert und bleibem als 'Eigene Ansicht' erhalten. 
Auf diese Weise kann einen auf das Projekt individuell zugeschnitte Ansicht für den Kunden bereitgestellt werden.
Als Basis dient die dabei 'Kompaktansicht'.
Über den Reset-Button wird die Ansicht auf das Layout der 'Kompaktansicht' zurückgesetzt.</t>
  </si>
  <si>
    <t>Enables the columns available in the calculation to be shown or hidden.
The default views cannot be overwritten. If the view is reset, the changes are lost.
The additional columns (external setup etc.) have to be selected and deselected separately.
Custom view
If the 'Custom View' is selected, the adjustments are automatically saved and made available as 'Custom View'. 
In this way, an individually tailored view for the project can be provided for the customer.
The basis for this is the 'Compact View'.
The Reset button resets the view to the layout of the 'Compact View'.</t>
  </si>
  <si>
    <t>Kalkulation (2 von 2)</t>
  </si>
  <si>
    <t>Kalkulation (1 von 2)</t>
  </si>
  <si>
    <t>Um den Überblick über die zahlreichen Spalten der Kalkulation zu bewahren, stehen verschiedene Ansichten [ACT - Kalkulation - Ansicht] zur Verfügung. 
Einige Spalten sind immer sichtbar, andere sind je nach gewählter Ansicht entweder ein- oder ausgeblendet.
Die Eingabeansicht ermöglicht Zugang zu allen für das Befüllens der Kalkulation wesentlichen Spalten, unterschlägt aber für den Kunden mitunter entscheidende Informationen.
Vor dem Versenden und zu Präsentationszwecken sollte die Präsentations- oder die Kompaktansicht verwendet werden.
Spalten lassen sich über das Menü  [ACT - Kalkulation - Ansicht - Ansicht bearbeiten] ein- und ausblenden. 
Die Standardansichten lassen sich allerdings nicht überschreiben. Wird die 'Eigene Ansicht' ausgewählt und verändert, bleiben die Anpassungen hingegen erhalten (der Eintrag der Hilfeleiste zu dieser Userform enthält genauere Informationen hierzu).
Über das Meü [ACT- Kalkulation - Spalten] lassen sich bei Bedarf spezielle Spalten dazuschalten, die dann - bei gesetztem Häkchen - immer sichtbar sind.</t>
  </si>
  <si>
    <t>cbxAddinX</t>
  </si>
  <si>
    <t>cbxAddinQ</t>
  </si>
  <si>
    <t>CO₂-Modul</t>
  </si>
  <si>
    <t>CO₂-Modul zugelassen</t>
  </si>
  <si>
    <t>Addins und Module</t>
  </si>
  <si>
    <t>Addins können jederzeit und je nach Bedarf aktiviert und deaktiviert werden.
Module werden einmalig geladen und erweitern die Kalkulation dauerhaft.
Die zur Verfügung stehenden Addins und Module varieren je nach ausgewählter Projektvorlage.</t>
  </si>
  <si>
    <t>Eine ganze Reihe von ACT-Funktionen sind in auf dem Server bereitgestellte Addins ausgelagert. 
Die eigentliche Kalkulationsdatei ist entsprechend deutlich kleiner und arbeitet schneller. 
Addins können jederzeit und je nach Bedarf aktiviert und deaktiviert werden.
Im Gegensatz dazu werden Module einmalig geladen und erweitern die Kalkulation dauerhaft um spezifische Funktionen und Inhalte.
Bestimmte Addins und Module stehen nur zur Verfügung, wenn diese durch den Projektleiter über die zu verwendende Projektvorlage freigeschaltet wurden.
Über die AWS Toolbox werden alle Addins und Module lokal bereitgestellt und aktuell gehalten und sind entsprechend auch im Offline-Betrieb verfügbar.
Addins sowie die in Addins enthaltenen Funktionen stehen Kunden nicht zur Verfügung.</t>
  </si>
  <si>
    <t>Addins and modules</t>
  </si>
  <si>
    <t>Addins can be activated and deactivated at any time and as needed.
Modules are loaded once and extend the calculation permanently.
The available addins and modules vary depending on the selected project template.</t>
  </si>
  <si>
    <t>Lädt das ACT-X Addin und stellt die entsprechenden Funktionen bereit.</t>
  </si>
  <si>
    <t>Lädt das ACT-Q Addin und stellt die entsprechenden Funktionen bereit.</t>
  </si>
  <si>
    <t>Loads the ACT-X Addin and provides the corresponding functions.</t>
  </si>
  <si>
    <t>Loads the ACT-Q Addin and provides the corresponding functions.</t>
  </si>
  <si>
    <t>Lädt das CO₂-Modul und integriert die entsprechenden Funktionen und Inhalte dauerhaft in die Kalkulation.
Achtung: Dies kann nicht rückgängig gemacht werden!</t>
  </si>
  <si>
    <t>Depending on the selection, the active or all worksheets are checked for errors and discrepancies and these are listed (without claiming to be complete).
Three categories of results are distinguished:
- informative (blue): inconsistencies that may well be intentional (can be hidden by clicking on the corresponding legend entry).
- alarming (yellow): problems that should definitely be fixed by the time the calculation is completed, but do not affect the function of the application.
- crucial (red): errors that must be fixed, otherwise certain functions (such as synchronization) will not work.
Please note: The check does not replace the manual review by the calculator!</t>
  </si>
  <si>
    <t>The upper graphic shows the supplier structure stored for the component. Double-click on the corresponding graphic to remove a supplier from the supply chain.
Below the graphic, the suppliers available in the calculation are listed. Double-click to add a supplier to the supply chain.
The length of the displayable supply chain is limited to three suppliers.
Please note: The supplier ID does not automatically correspond to the position of the supplier in the premise tab nor does it provide information about its tier level within the supplier structure!</t>
  </si>
  <si>
    <t>Loads the CO₂ module and permanently integrates the corresponding functions and contents into the calculation.
Please note: This cannot be undone!</t>
  </si>
  <si>
    <t>First Steps</t>
  </si>
  <si>
    <t>The AWS Toolbox</t>
  </si>
  <si>
    <t>Version Control</t>
  </si>
  <si>
    <t>Project template</t>
  </si>
  <si>
    <t>Addins and Modules</t>
  </si>
  <si>
    <t>Transfer</t>
  </si>
  <si>
    <t>Calculation (1 of 2)</t>
  </si>
  <si>
    <t>Calculation (2 of 2)</t>
  </si>
  <si>
    <t>Basics</t>
  </si>
  <si>
    <t>Welcome!</t>
  </si>
  <si>
    <t>The picture frame displays the pictures stored in the picture folder for the selected row or block.</t>
  </si>
  <si>
    <t>Renames all pictures in the assigned picture folder that were assigned to a part in column R to the name formed in column A.</t>
  </si>
  <si>
    <t>Opens the assigned picture folder.</t>
  </si>
  <si>
    <t>Changes the location of the assigned picture folder.</t>
  </si>
  <si>
    <t>Deletes the path of the designated picture folder.
Only the connection is reset, the folder remains untouched.</t>
  </si>
  <si>
    <t>Vor Beginn der Kalkulation ist sicherzustellen, dass
- die AWS Toolbox installiert und aktiviert ist
- die neuste auf dem Server bereitgestellte Version des ACT verwendet wird
Beim Erstellen einer neuen Kalkulation sollte nach Möglichkeit die folgende Reihenfolge eingehalten werden: 
1. Sprache wählen
2. (Wenn möglich online arbeiten)
3. Projektvorlage wählen
4. Benötigte Addins laden
5. Prämissen: Lieferanten an- und Overheads festlegen
6. BOM befüllen (und Bilderkatalog anlegen)
7. BOM in Kalkulation übertragen 
[ACT - BOM - Übertrag]
8. Kalkulation vervollständigen
9. Überprüfung auf Fehler und Ungereimtheiten 
[ACT - Erweitert - Check]
In den folgenden Abschnitten werden die genannten Schritte näher erläutert.</t>
  </si>
  <si>
    <t>Für eine im ACT erstellte Kalkulation wird - im Gegensatz zum ADC, ASC und ATC - im Normalfall keine seperate Output-Datei generiert. 
Der Kunde bekommt also dieselbe Datei zur Verfügung gestellt.
Allerdings sind für Benutzer außerhalb der AWS-Domäne eine Vielzahl von Schaltflächen nicht sichtbar und die dazugehörigen Funktionen nicht verfügbar.
Zusätzlich sind sämtliche dunkelgrau (Grau, Akzent 4) eingefärbten Reiter (gilt auch für nachträglich hinzugefügte - entsprechend eingefärbte - Reiter) komplett ausgeblendet.
Darüber hinaus sind auch bestimmte Spalten ausgeblendet und einige Inhalte der Hilfeleiste werden nicht angezeigt.
Diese 'Kundenansicht' kann man sich über das Menü [ACT - Hilfe - Kundenansicht simulieren] testweise anzeigen lassen werden.
Achtung: Die komplett ausgeblendeten (dunkelgrauen) Reiter lassen sich zwar nicht einfach per Rechtsklick wieder einblenden, sind aber nach wie vor in der Datei enthalten. 
Arbeitsblätter mit Inhalten, die in gar keinem Fall in Kundenhände fallen dürfen, müssen entsprechend vor dem Versand manuell gelöscht werden!</t>
  </si>
  <si>
    <t>Prämissen: Lieferanten</t>
  </si>
  <si>
    <t>Prämissen: Overheads</t>
  </si>
  <si>
    <t>Premises: Suppliers</t>
  </si>
  <si>
    <t>Premises: Overheads</t>
  </si>
  <si>
    <t>A%</t>
  </si>
  <si>
    <t>B%</t>
  </si>
  <si>
    <t>C%</t>
  </si>
  <si>
    <t>D%</t>
  </si>
  <si>
    <t>F%</t>
  </si>
  <si>
    <t>E%</t>
  </si>
  <si>
    <t>G%</t>
  </si>
  <si>
    <t>H%</t>
  </si>
  <si>
    <t>I%</t>
  </si>
  <si>
    <t>J%</t>
  </si>
  <si>
    <t>Fert.</t>
  </si>
  <si>
    <t>Cost analysis</t>
  </si>
  <si>
    <t>Auswertung Kosten</t>
  </si>
  <si>
    <t>CO₂ Analysis</t>
  </si>
  <si>
    <t>Auswertung CO₂</t>
  </si>
  <si>
    <t>Show/hide the cost analysis columns.</t>
  </si>
  <si>
    <t>Show/hide the CO₂ analysis columns.</t>
  </si>
  <si>
    <t>Ein-/Ausblenden der Kostenauswertung.</t>
  </si>
  <si>
    <t>Ein-/Ausblenden der CO₂-Auswertung.</t>
  </si>
  <si>
    <t xml:space="preserve">Mfg. </t>
  </si>
  <si>
    <t xml:space="preserve">Mat. </t>
  </si>
  <si>
    <t>CO₂-Ausstoß Fertigung</t>
  </si>
  <si>
    <t>CO₂-Ausstoß Material</t>
  </si>
  <si>
    <t>Emissionsfaktor Strom</t>
  </si>
  <si>
    <t>Emissionsfaktor Erdgas</t>
  </si>
  <si>
    <t>Factor Electricity</t>
  </si>
  <si>
    <t>Factor Natural gas</t>
  </si>
  <si>
    <t>Avg. Electricity
[kWh]</t>
  </si>
  <si>
    <t>CO₂ emissions Mfg.</t>
  </si>
  <si>
    <t>CO₂ emissions Mat.</t>
  </si>
  <si>
    <t>Emission factor Natural gas</t>
  </si>
  <si>
    <t xml:space="preserve">Total </t>
  </si>
  <si>
    <t>Worker utilization</t>
  </si>
  <si>
    <t>Production utilization</t>
  </si>
  <si>
    <t>Here the effective labor costs (LC) of a setup worker per hour are displayed. 
A distribution time according to the selected premises (Worker utilization) is considered.
LC eff. = Hourly wage / Worker utilization</t>
  </si>
  <si>
    <t>Hier werden die effektiven Arbeitskosten (AK) eines Einstellers pro Stunde angezeigt.
Dabei wird eine Verteilzeit gemäß der ausgewählten Premissen (Verfügbarkeit Werker) berücksichtigt.
AK eff. = Stundenlohn / Verfügbarkeit Werker</t>
  </si>
  <si>
    <t>Der Projektleiter hat die Möglichkeit zu Beginn eines Projektes eine spezifische Projektvorlage anzulegen und den am Projekt beteiligten Mitarbeitern zur Verfügung zu stellen.
Über eine solche Vorlage können beispielsweise projektspezifische Datenbanken (Spalte MHR etc.) eingebunden oder der Zugriff auf bestimmte Addins (Spalte ACT-X etc.) gesteuert werden.
Achtung: Soweit durch den Projektleiter nicht anders kommuniziert, ist immer die Standardvorlage 'Default' zu verwenden!</t>
  </si>
  <si>
    <t>The project manager has the possibility to create a specific project template at the beginning of a project and to make it available to the employees involved in the project.
Such a template can be used to integrate project-specific databases (column MHR etc.) or to control access to specific add-ins (column ACT-X etc.).
Please note: Unless otherwise specified by the project manager, the standard template 'Default' is to be used!</t>
  </si>
  <si>
    <t>Transpose</t>
  </si>
  <si>
    <t>Auto Transpose</t>
  </si>
  <si>
    <t>pcs.</t>
  </si>
  <si>
    <t>gCO₂eq/Stk.</t>
  </si>
  <si>
    <t>gCO₂eq/pcs.</t>
  </si>
  <si>
    <t>This tutorial is intended to help you get started with ACT 6 and to explain the basic functions for calculating.
It is recommended to read through at least the first three sections. 
Further sections can be read at a later time as required.
The tutorial can be accessed again at any time via the menu [ACT - Help - Tutorial].
(The check mark at the bottom right determines whether the position of the small window is automatically adjusted when the position or size of the application changes).</t>
  </si>
  <si>
    <t>The central element of the ACT is the ACT ribbon integrated into the Excel interface.
All functions relevant for the calculation can be called up via this ribbon.
The displayed buttons change depending on the currently active worksheet (BOM, Calculation etc.) and the currently loaded addins (ACT-X, ACT-Q etc.).
When staying with the cursor over a button, a small window with information about the respective function is displayed.
In order to find your way around within the worksheets, a window can be displayed via the menu [ACT - Help - Help bar], which provides detailed information and, if necessary, instructions on the currently selected row/column/cell or on the currently displayed user form.
For some user forms, the help bar must first be displayed and then the user form opened so that the help is visible.</t>
  </si>
  <si>
    <t>Before starting the calculation, make sure that
- the AWS Toolbox is installed and activated
- the latest version of ACT available on the server is used.
When creating a new calculation, the following process sequence should be followed whenever possible: 
1. Select language
2. Work online if possible
3. Choose project template
4. Load required addins
5. Premises: Set suppliers and overheads
6. Fill BOM (and create image catalog)
7. Transfer BOM to calculation 
[ACT - BOM - Transfer]
8. Complete calculation
9. Check for errors and inconsistencies 
[ACT - Advanced - Check]
The following sections explain the above steps in more detail.</t>
  </si>
  <si>
    <t>The AWS Toolbox is a VSTO add-in for Excel that provides cross-workbook functions. 
This allows functions to be used throughout the company, regardless of the template used.
A key feature of the ACT is the sync function, which makes all master data and quick calculators available locally and keeps them up-to-date. 
This means that they are also available in offline mode.
Please follow the link (top right) to get more information.</t>
  </si>
  <si>
    <t>For all tools used at AWS, sometimes small changes, adaptations or innovations occur on a regular basis, which are entered quickly and unbureaucratically and therefore do not always result in a versioning.
Therefore, at the beginning of each new ACT calculation, the calculator must ensure that the latest template stored on the server (see link above right) is always used.
Please note: It is not allowed to save templates locally and use them for new calculations!
The versioning of all AWS tools follows the logic 
[Major.Minor.Build-Revision].
The following compatibilities apply to the ACT: Different major levels are not compatible, different minor levels have limited compatibility, different build levels have unlimited compatibility. The compatibility refers e.g. to the copy and paste of BOM lines, calculation blocks etc.</t>
  </si>
  <si>
    <t>The language in which the calculation is created should be agreed with the customer in advance, if possible.
The selected language not only affects headings and explanations in the document, but also determines in which language elements of the calculation are added. 
This concerns machine, material and location data, but also imported cycle times from quick calculators or automatically inserted blocks during the synchronization of BOM and calculation.
Although the language can be changed at any time, this sometimes involves considerable additional effort, since in addition to the manual entries, the above-mentioned automatically inserted elements also have to be translated manually.
It is quite intended that the creation of the calculation is also done in the language in which the result should be available, in order to make the calculator familiar with the terminology.</t>
  </si>
  <si>
    <t>Depending on the availability or speed of a network connection, it may make sense to work offline. 
In offline mode, the data provided on the local hard disk via the AWS Toolbox is used instead of the data located on the server. 
This applies to databases, quick calculators and material price calculators, addins, and the project overview.
Note that resources used in offline mode may not be up to date because changes are not applied until the data is synchronized [Start - AWS - Toolbox - Sync]. 
It is therefore advisable to work online whenever possible.
Please note: To keep the locally stored data up to date, it is imperative to always keep the AWS Toolbox activated and to update the data when prompted to do so!</t>
  </si>
  <si>
    <t>A whole range of ACT functions are outsourced to addins provided on the server. 
The actual calculation file is correspondingly much smaller and works faster. 
Addins can be activated and deactivated at any time and as needed.
In contrast, modules are loaded once and permanently extend the calculation with specific functions and content.
Certain addins and modules are only available if they have been enabled by the project manager via the project template to be used.
All addins and modules are provided and kept up-to-date locally via the AWS Toolbox and are accordingly also available in offline operation.
Addins as well as the functions contained in addins are not available to customers.</t>
  </si>
  <si>
    <t>Via the menu [ACT - Premises - Overhead] in the tab 'Premises' several options are available how the different overheads are formed.
Indirect manufacturing and material rates can be displayed on machine or material level (1), combined (2) or according to a fixed premise (3):
(1) An individual rate is calculated and applied for each line in the cost estimate. This is the default setting.
(2) The rate is also calculated line by line, but the total resulting rate is applied as a supplier-wide homogeneous rate.
(3) The rate corresponds to the value entered by the calculator for each supplier.
SG&amp;A and profit rates always follow the input of the calculator, but can be given combined (1) or split (2):
(1) A single rate is used for added value and material. This is the default setting.
(2) A separate rate is used for added value and material.
Please follow the link (top right) for more information.</t>
  </si>
  <si>
    <t>The BOM contains all assemblies and individual parts of a product and shows their composition across all production stages in tabular form.
The top line of structural level 1 represents the total assembly that is analyzed. This level is unique and may not be assigned more than once!
The subcomponents contained are contained in the subsequent structural levels (2 to n). The structure is to be built up hierarchically.
The indentation in column D and the color of a line indicate the respective structure level. Lines with a level greater than 8 remain white.
By double-clicking on the structural level of a line in column C, an empty line of the same level is inserted below it.
If you change the structure level of a row, the color scheme of this row will be adjusted automatically.
The help bar contains further information about the cells to be filled.</t>
  </si>
  <si>
    <t>The picture catalog contains the pictures that represent the individual assemblies and parts.
To keep the file size of the calculation as small as possible, all images are stored in a folder and this is then linked to the calculation via the menu [ACT - BOM - Pic - Change folder path].
These can be taken either during the disassembly or in the form of screenshots from technical drawings or the like. The assignment of picture and part is done by an entry in column R of the BOM (the corresponding entry of the help bar contains detailed instructions on how to do this).
The images can then be renamed to the names formed in column A by clicking on [ACT - BOM - Pic - Rename images].
Via the menu [ACT - BOM or Calculation - Pic - Picture Frame] a small window can be displayed that shows the pictures belonging to the selected BOM line or the selected calculation block.
The prerequisite for this is a connection to the stored picture folder and the presence of a picture with the number or designation stored in column R of the BOM.</t>
  </si>
  <si>
    <t>Via the menu [ACT - BOM or Calculation - Carry] BOM and calculation can be synchronized to each other.
In ACT 6 each line in the BOM belongs to exactly one block in the calculation.
After the BOM has been built up for the first time, it is transferred to the calculation by creating a block for each line, linking it accordingly and filling it with the existing information.
If the structure on a page is changed by adding, moving or deleting lines or blocks, these changes can also be synchronized accordingly.
However, the subsequent synchronization only refers to the structure of BOM and cost estimate and not to their content.
So if the material or the weight is adjusted in the BOM, this change must also be made manually in the cost estimate.
Alternatively, individual lines or blocks can also be deleted and recreated ('Redo' in the user form), but content already inserted will then be overwritten.
The help bar contains further information about the described user form.</t>
  </si>
  <si>
    <t>Each line in the BOM has a block in the calculation.
The BOM should always form the structural basis. Changes in the structure should therefore be made in the BOM if possible and the cost estimate synchronized accordingly afterwards.
Furthermore, all entries in the header (the first line of each block) are linked to the BOM. The name, number and supplier structure of a block must also be adjusted accordingly in the corresponding BOM line.
By [Right-click - Show in BOM] within a header of a block, you can go directly to the corresponding BOM line (and back again in the same way).
The analysis [ACT - Calculation - Analysis] shows by means of a waterfall how the costs in the active cell are composed.
The [ACT - Calculation - Analysis - Info bar] menu can be used to display a small window containing information about the composition of the costs shown in the selected cell or the animal surcharge shown.
The help bar contains further information about the cells to be filled and the described user forms.</t>
  </si>
  <si>
    <t>To keep track of the numerous columns of the calculation, different views [ACT - Calculation - View] are available. 
Some columns are always visible, others are either shown or hidden depending on the selected view.
The input view gives access to all columns essential for filling the calculation, but sometimes omits crucial information for the customer.
Before sending and for presentation purposes, the presentation or compact view should be used.
Columns can be shown and hidden via the menu [ACT - Calculation - View - Edit View]. 
However, the default views cannot be overwritten. If the 'Custom View' is selected and changed, however, the adjustments are retained (the entry in the help bar for this user form contains more detailed information on this).
If required, special columns can be added via the menu [ACT Calculation - Columns], which are then always visible if the check mark is set.</t>
  </si>
  <si>
    <t>Via the menu [ACT - Advanced - Check] either only the active worksheet or all worksheets are checked for errors and discrepancies depending on the selection and these are listed (without claim to completeness).
Besides Excel errors (#REFERENCE! etc.) and errors in the operation (insertion of lines without formulas, use of not created materials etc.) also discrepancies in the calculation logic are listed.
Three categories of results are distinguished:
- informative (blue): discrepancies that may well be intentional (can be hidden by clicking on the corresponding legend entry).
- alarming (yellow): problems that should definitely be fixed until the calculation is completed, but do not affect the function of the application.
- Critical (red): Errors that must be corrected, otherwise certain functions (such as synchronization) will not work.
Please note: The check is only a help and does not replace the manual review by the calculator!</t>
  </si>
  <si>
    <t>Picture catalog</t>
  </si>
  <si>
    <t>Montage</t>
  </si>
  <si>
    <t>Kohle</t>
  </si>
  <si>
    <t>Rohöl</t>
  </si>
  <si>
    <t>Kernkraft</t>
  </si>
  <si>
    <t>Wasser</t>
  </si>
  <si>
    <t>Solar</t>
  </si>
  <si>
    <t>Biomasse</t>
  </si>
  <si>
    <t>Geothermie</t>
  </si>
  <si>
    <t>Konventionell</t>
  </si>
  <si>
    <t>Ökostrom</t>
  </si>
  <si>
    <t>CO₂-Ausstoß Sonstige (Logistik etc.)</t>
  </si>
  <si>
    <t>Conventional</t>
  </si>
  <si>
    <t>Green energy</t>
  </si>
  <si>
    <t>Wird lieferantenspezifisch aus den Prämissen übernommen.
Siehe Reiter 'Premises' für eine detaillierte Beschreibung.
Achtung: Ist das CO₂-Modul geladen und das entsprechende Szenario aktiviert, wird hier der für den ausgewählten Energiemix ausgerechnete Strompreis verwendet!</t>
  </si>
  <si>
    <t>Taken from the premises on a supplier-specific basis.
See tab 'Premises' for a detailed description.
Please note: If the CO₂ module is loaded and the corresponding scenario is activated, the electricity price calculated for the selected energy mix is used here!</t>
  </si>
  <si>
    <t>Zusatzkosten CO₂-Neutralität</t>
  </si>
  <si>
    <t>Hafen</t>
  </si>
  <si>
    <t>Lat</t>
  </si>
  <si>
    <t>Long</t>
  </si>
  <si>
    <t>Datum</t>
  </si>
  <si>
    <t>Autor</t>
  </si>
  <si>
    <t>Beschreibung</t>
  </si>
  <si>
    <t>Einfügen Änderungsdokumentation</t>
  </si>
  <si>
    <t>Knoll, Maximilian</t>
  </si>
  <si>
    <t>Status</t>
  </si>
  <si>
    <t>abgeschlossen</t>
  </si>
  <si>
    <t>Logistics</t>
  </si>
  <si>
    <t>km</t>
  </si>
  <si>
    <t>Log.</t>
  </si>
  <si>
    <t>Latitude</t>
  </si>
  <si>
    <t>Longitude</t>
  </si>
  <si>
    <t>Entfernung zum nächsten Hafen</t>
  </si>
  <si>
    <t>decimal degrees</t>
  </si>
  <si>
    <t>CO₂ emissions Other (Logistics etc.)</t>
  </si>
  <si>
    <t>CO₂ emissions</t>
  </si>
  <si>
    <t>Dezimalgrad</t>
  </si>
  <si>
    <t>Distance to the nearest port</t>
  </si>
  <si>
    <t>years</t>
  </si>
  <si>
    <t>Geo-thermie</t>
  </si>
  <si>
    <t>Anteil am Energiemix in %</t>
  </si>
  <si>
    <t>Emissionsfaktor in gCO₂eq/kWh</t>
  </si>
  <si>
    <t>Bio-masse</t>
  </si>
  <si>
    <t>Emission factor in gCO₂eq/kWh</t>
  </si>
  <si>
    <t>Coal</t>
  </si>
  <si>
    <t>Crude oil</t>
  </si>
  <si>
    <t>Nuclear power</t>
  </si>
  <si>
    <t>Hydro</t>
  </si>
  <si>
    <t>Geo-thermal</t>
  </si>
  <si>
    <t>Share of energy mix in %</t>
  </si>
  <si>
    <t>Biomass</t>
  </si>
  <si>
    <t>Basismaterial</t>
  </si>
  <si>
    <t>Gruppe</t>
  </si>
  <si>
    <t>PP</t>
  </si>
  <si>
    <t>AWS material group</t>
  </si>
  <si>
    <t>base material</t>
  </si>
  <si>
    <t>The AWS material group to which the material is assigned.
01 Ferrous metal
02 Non-ferrous metal
03 Plastic
04 Non-metal
05 Electronics
06 Standard part
07 Wear tool
08 Consumables and auxiliary materials
09 Glass
10 Coating
11 Composites
12 Natural materials
13 Textile materials
14 Packaging
15 Other
Serves in combination with the base material as a basis for calculating the price development (only available for material groups 01, 02 and 03).</t>
  </si>
  <si>
    <t>The base material of the material.
Serves in combination with the material group as the basis for calculating the price development (only available for material groups 01, 02 and 03).</t>
  </si>
  <si>
    <t>Indirect material class</t>
  </si>
  <si>
    <t>MGK-Materialklassen</t>
  </si>
  <si>
    <t>MGK Materialklasse</t>
  </si>
  <si>
    <t>Materialklasse</t>
  </si>
  <si>
    <t>Hier ist die MGK Materialklasse des Materials auszuwählen.
Anhand der Materialklasse und der dieser zugewiesenen Parameter (Beschaffungs- und Prüfaufwand, Lagerreichweite etc.) errechnet sich der MGK-Satz des Materials.
Die standardmäßig zur Verfügung stehenden Klassen können angepasst bzw. um weitere Klassen ergänzt werden (siehe Reiter 'IndirectCosts').</t>
  </si>
  <si>
    <t>The indirect material class of the material has to be selected here.
The material class and the parameters assigned to it (procurement and inspection costs, storage range etc.) are used to calculate the material's indirect cost rate.
The classes available by default can be adapted or supplemented by further classes (see tab 'IndirectCosts').</t>
  </si>
  <si>
    <t>AWS Materialgruppe</t>
  </si>
  <si>
    <t>Die AWS Materialgruppe, der das Material zuzuordnen ist.
01 Eisenmetall
02 Nichteisenmetall
03 Kunststoff
04 Nichtmetall
05 Elektronik
06 Normteil
07 Verschleißwerkzeug
08 Verbrauchs- und Hilfsstoffe
09 Glas
10 Beschichtung
11 Verbundstoffe
12 Naturstoffe
13 Textilstoffe
14 Verpackung
15 Sonstige
Dient in Kombination mit dem Basismaterial als Grundlage zur Berechnung der Preisentwicklung (nur verfügbar für die Materialgruppen 01, 02 und 03).</t>
  </si>
  <si>
    <t>Das Basismaterial des Materials.
Dient in Kombination mit der Materialgruppe als Grundlage zur Berechnung der Preisentwicklung (nur verfügbar für die Materialgruppen 01, 02 und 03).</t>
  </si>
  <si>
    <t>AWS Gruppe</t>
  </si>
  <si>
    <t>Emissions from transport by ship</t>
  </si>
  <si>
    <t>Emissions from transport by truck</t>
  </si>
  <si>
    <t>Emission costs</t>
  </si>
  <si>
    <t>Additional costs from CO₂ neutrality</t>
  </si>
  <si>
    <t>Zusatzkosten durch CO₂-Neutralität</t>
  </si>
  <si>
    <t>Emissions from transport by plane</t>
  </si>
  <si>
    <t>Geothermal</t>
  </si>
  <si>
    <t>Bio-mass</t>
  </si>
  <si>
    <t>Metall Coil</t>
  </si>
  <si>
    <t>Bestellzyklus</t>
  </si>
  <si>
    <t>Jährlich</t>
  </si>
  <si>
    <t>Monatlich</t>
  </si>
  <si>
    <t>Wöchentlich</t>
  </si>
  <si>
    <t>Vierteljährlich</t>
  </si>
  <si>
    <t>Halbjährlich</t>
  </si>
  <si>
    <t>Arbeitsblatt</t>
  </si>
  <si>
    <t>Die Anzahl an Stunden, die pro Jahr für die Bestellung und Nachbestellung des Materials benötigt werden.
Der Wert richtet sich nach dem Bestellaufwand der gewählten Materialklasse.</t>
  </si>
  <si>
    <t>Die Anzahl an Stunden, die pro Jahr für die Wareneingangs- und Qualitätsprüfung des Materials benötigt werden.
Der Wert richtet sich nach dem Prüfaufwand und der Spezifikation der gewählten Materialklasse. 
Unterschieden werden neun verschiedene Prüfstände (Maße, Gewicht, Dauertest, Elektronik etc.), die je nach Materialklasse in unterschiedlicher Kombination Verwendung finden..</t>
  </si>
  <si>
    <t>Die Anzahl an Stunden, die pro Jahr für das Ein-, Um- und Auslagern des Materials benötigt werden.
Der Wert richtet sich nach der Lagerart sowie des Handlingsaufwands der gewählten Materialklasse.</t>
  </si>
  <si>
    <t>Die Anzahl an Stunden, die pro Jahr für die Bestellung und Nachbestellung des Materials benötigt werden.
Der Wert richtet sich nach dem Bestellaufwand der gewählten Materialklasse (siehe Reiter 'IndirectCosts').</t>
  </si>
  <si>
    <t>Die Anzahl an Stunden, die pro Jahr für die Wareneingangs- und Qualitätsprüfung des Materials benötigt werden.
Der Wert richtet sich nach dem Prüfaufwand und der Spezifikation der gewählten Materialklasse. 
Unterschieden werden neun verschiedene Prüfstände (Maße, Gewicht, Dauertest, Elektronik etc.), die je nach Materialklasse in unterschiedlicher Kombination Verwendung finden (siehe Reiter 'IndirectCosts').</t>
  </si>
  <si>
    <t>Die Anzahl an Stunden, die pro Jahr für das Ein-, Um- und Auslagern des Materials benötigt werden.
Der Wert richtet sich nach der Lagerart sowie des Handlingsaufwands der gewählten Materialklasse (siehe Reiter 'IndirectCosts').</t>
  </si>
  <si>
    <t>Die von der gewählten Sprache abhängige Bezeichnung der Materialklasse.</t>
  </si>
  <si>
    <t>Die Bezeichnung der Materialklasse auf Deutsch.</t>
  </si>
  <si>
    <t>Die Bezeichnung der Materialklasse auf Englisch.</t>
  </si>
  <si>
    <t>Entsprechende Anpassungen in Übersetzung, Dokumentation und Tutorial</t>
  </si>
  <si>
    <t>Überarbeitung MAT:
- neue Spalte 'Gruppe' (AWS Materialgruppe 01 Eisenmetall, 03 Kunststoff etc.)
- neue Spalte 'Basismaterial'</t>
  </si>
  <si>
    <t>Überarbeitung MGK-Logik: neue Spalte 'Bestellzyklus'</t>
  </si>
  <si>
    <t>Umbennenung 'Materialgruppe' -&gt; 'MGK Materialklasse'</t>
  </si>
  <si>
    <t>Fehler behoben: Auswertung Werkzeuge und Verschleißwerkzeuge</t>
  </si>
  <si>
    <t>6.1.2</t>
  </si>
  <si>
    <t>Fehler behoben: Berechnung Anteil MGK und RFGK</t>
  </si>
  <si>
    <t>Implementierung CO2-Modul
- neue Spalten: 'Lat' und 'Long': Koordinaten in Dezimalgrad
- neue Spalte: 'Hafen': Entfernung zum nächsten Hafen in km
- neue Spalten CO2-Berechnung</t>
  </si>
  <si>
    <t>Implementierung CO2-Modul: 
Optionale Erweiterung des ACT um Funktionen zur Berechnung der verursachten CO2-Emissionen durch Produktion, Material und Transport (muss durch den Projektleiter über die Projektvorlage freigeschaltet werden!)</t>
  </si>
  <si>
    <t>The number of hours required per year for ordering and reordering the material.
The value depends on the ordering effort of the selected indirect material class.</t>
  </si>
  <si>
    <t>The number of hours required per year for goods receipt and quality inspection of the material.
The value depends on the testing effort and the specification of the selected indirect material class. 
Nine different test stands are distinguished (dimensions, weight, endurance test, electronics etc.), which are used in different combinations depending on the indirect material class.</t>
  </si>
  <si>
    <t>The number of hours required per year for storing, transferring and retrieving the material.
The value depends on the storage type as well as the handling effort of the selected indirect material class.</t>
  </si>
  <si>
    <t>The number of hours required per year for ordering and reordering the material.
The value depends on the ordering effort of the selected indirect material class (see tab 'IndirectCosts').</t>
  </si>
  <si>
    <t>The number of hours required per year for goods receipt and quality inspection of the material.
The value depends on the testing effort and the specification of the selected indirect material class. 
Nine different test stands are distinguished (dimensions, weight, endurance test, electronics etc.), which are used in different combinations depending on the indirect material class (see tab 'IndirectCosts').</t>
  </si>
  <si>
    <t>The number of hours required per year for storing, transferring and retrieving the material.
The value depends on the storage type as well as the handling effort of the selected indirect material class (see tab 'IndirectCosts').</t>
  </si>
  <si>
    <t>The name of the indirect material class depending on the selected language.</t>
  </si>
  <si>
    <t>The name of the indirect material class in German.</t>
  </si>
  <si>
    <t>The name of the indirect material class in English.</t>
  </si>
  <si>
    <t>Fehler behoben: Bildung MGK und RFGK ("Fehler 2,5 % und 15 %")</t>
  </si>
  <si>
    <t>Bestell-
zyklus</t>
  </si>
  <si>
    <t>Ordering
cycle</t>
  </si>
  <si>
    <t>Beschreibt, in welchem Turnus das Material bestellt, geprüft und eingelagert wird.
Der Bestellzyklus hat erheblichen Einfluss auf die Zeit, die pro Jahr für Beschaffung, Wareneingangs- und Qualitätskontrollen sowie Lagerbewegungen aufgewendet wird.</t>
  </si>
  <si>
    <t>Describes the cycle in which material is ordered, inspected and put into stock.
The ordering cycle has a significant influence on the time spent per year on procurement, goods receipt and quality checks, and stock movements.</t>
  </si>
  <si>
    <t>Die Zeit in Wochen, die der Lieferant das Material vorhalten muss.
Dieser Wert bestimmt, über welchen Zeitraum Kosten für Kapitalbindung und Versicherung sowie Lagerplatzkosten anfallen.
Standardmäßig wird eine Lagerreichweite von 4 Wochen angenommen.</t>
  </si>
  <si>
    <t>Situational: The value of the CO₂ emissions caused by the production of one unit of the material is entered here in kg.
When the CO₂ module is activated, double-clicking on the corresponding cell opens a window that can be used to estimate the CO₂ emissions for purchased parts.
Please note: This value is only relevant if a CO₂ evaluation has been ordered.</t>
  </si>
  <si>
    <t>Enables the CO₂ emissions caused by the production of purchased parts to be estimated on the basis of the materials used.
It is necessary to specify how the purchase price of the purchased part is distributed among the materials used.
The percentage share of the total price is entered in the respective text box and the corresponding category is selected via the drop-down menu.
An average value for the CO₂ emissions per monetary unit in gCO2eq/EUR is provided for each category.</t>
  </si>
  <si>
    <t>Situativ: Hier wird der Wert der durch die Herstellung einer Einheit des Materials verursachten CO₂-Emissionen in kg eingetragen.
Bei aktiviertem CO₂-Modul öffnet sich per Doppelklick auf die entsprechende Zelle ein Fenster, mit dem sich der CO₂-Ausstoß für Zukaufteile abschätzen lässt.
Achtung: Dieser Wert ist nur von Belang, wenn eine CO₂-Auswertung in Auftrag gegeben wurde.</t>
  </si>
  <si>
    <t>AWS group</t>
  </si>
  <si>
    <t>Base material</t>
  </si>
  <si>
    <t>CO₂
[kg/Unit]</t>
  </si>
  <si>
    <t>Emissions from transport by train</t>
  </si>
  <si>
    <t>Steel</t>
  </si>
  <si>
    <t>Stahl</t>
  </si>
  <si>
    <t>Manufacturing overhead</t>
  </si>
  <si>
    <t>Emissionskosten</t>
  </si>
  <si>
    <t>Overhead Produktion</t>
  </si>
  <si>
    <t>Emissionen durch Transport per Flugzeug</t>
  </si>
  <si>
    <t>Emissionen durch Transport per Schiff</t>
  </si>
  <si>
    <t>Emissionen durch Transport per Zug</t>
  </si>
  <si>
    <t>Emissionen durch Transport per LKW</t>
  </si>
  <si>
    <t>Über das Menü [ACT - Prämissen - Overhead] im Reiter 'Premises' stehen mehrere Optionen zur Verfügung, wie die verschiedenen Overheads gebildet werden.
RFGK- bzw. MGK- Sätze können auf Maschinen- bzw. auf Materialebene (1), auf Lieferantenebene (2) oder entsprechend einer fixen Vorgabe (3) dargestellt werden:
(1) Für jede Zeile in der Kalkulation wird ein individueller Satz berechnet und angewandt. Dies ist die Standardeinstellung.
(2) Auch hier wird der Satz zeilenweise erechnet, aber der insgesamt resultierende Anteil als lieferantenweiter homogener Satz angewandt.
(3) Der Satz entspricht dem je Lieferant durch den Kalkulator eingetragenen Wert.
VVGK- und Gewinnsätze folgen immer der Eingabe des Kalkulators, können aber kombiniert (1) oder aufgeteilt (2) vorgegeben werden:
(1) Für Wertschöpfung und Material wird ein einheitlicher Satz verwendet. Dies ist die Standardeinstellung.
(2) Für Wertschöpfung und Material wird jeweils ein eigener Satz verwendet.
Bitte dem Link (oben rechts) folgen, um weitere Informationen zu erhalten.</t>
  </si>
  <si>
    <t>Dieses Tutorial soll den Einstieg in das ACT 6 erleichtern und die für die Kalkulation grundlegenden Funktionen erläutern.
Es wird empfohlen zumindest die ersten drei Abschnitte durchzulesen. 
Weitere Abschnitte können je nach Bedarf zu einem späteren Zeitpunkt nachgeholt werden.
Das Tutorial kann jederzeit über das Menü [ACT - Hilfe - Tutorial] wieder aufgerufen werden.
(Das Häkchen unten rechts bestimmt, ob die Position dieses kleinen Fensters automatisch angepasst wird, wenn Position oder Größe der Anwendung sich ändern.)</t>
  </si>
  <si>
    <t>Über das Menü [ACT - Prämissen - Lieferant] im Reiter 'Premises' lassen sich Lieferanten neu anlegen, klonen oder löschen.
Jedem angelegten Lieferant ist eine Spalte mit Prämissen zugeordnet, die entsprechend zu befüllen ist. 
Rechts neben dieser Spalte befindet sich eine weitere (ggf. ausgeblendete) Spalte mit (zum Teil vom gewählten Fertigungsort abhängigen) Vorschlägen. Diese können entweder direkt übernommen/verlinkt oder als Anhaltspunkt für eigene Eintragungen verwendet werden.
Achtung: Da sich das Hinzufügen und Löschen von Lieferanten auch auf andere Arbeitsblätter auswirkt, muss dies immer über die entsprechenden Schaltflächen erfolgen!
Die Hilfeleiste enthält weiterführende Informationen zu den zu befüllenden Zellen.</t>
  </si>
  <si>
    <t>Via the menu [ACT - Premises - Supplier] in the tab 'Premises' suppliers can be created, cloned or deleted.
A column with premises is assigned to each created supplier, which is to be filled in accordingly. 
To the right of this column there is another (possibly hidden) column with suggestions (sometimes depending on the selected production location). These can either be taken over/linked to directly or used as a reference point for your own entries.
Please note: Since adding and deleting suppliers also affects other worksheets, this must always be done using the corresponding buttons!
The help bar contains further information about the cells to be filled.
A whole range of ACT functions are outsourced to addins provided on the server.</t>
  </si>
  <si>
    <t>Umbenennung CO2-Spalten</t>
  </si>
  <si>
    <t>CO₂-Emissionen</t>
  </si>
  <si>
    <t>Verpackung</t>
  </si>
  <si>
    <t>Transport</t>
  </si>
  <si>
    <t>Zoll</t>
  </si>
  <si>
    <t>Logistik-Modul</t>
  </si>
  <si>
    <t>Loads the logistics module and permanently integrates the corresponding functions and contents into the calculation.
Please note: This cannot be undone!</t>
  </si>
  <si>
    <t>Lädt das Logistik-Modul und integriert die entsprechenden Funktionen und Inhalte dauerhaft in die Kalkulation.
Achtung: Dies kann nicht rückgängig gemacht werden!</t>
  </si>
  <si>
    <t>mnuLog</t>
  </si>
  <si>
    <t>Logistik-Modul zugelassen</t>
  </si>
  <si>
    <t>Ermöglicht das Abschätzen der durch die Produktion von Zukaufteilen ausgestoßenen CO₂-Emissionen anhand der eingesetzen Materialien.
Anzugeben ist, wie sich das Gesamtgewicht des Zukaufteils auf die eingesetzen Materialien verteilt.
In die jeweilige Textbox wird der abgeschätzte prozentuale Anteil am Gewicht eingetragen und über das Dropdown-Menü die entsprechende Kategorie ausgewählt.
Zu jeder Kategorie ist ein gemittelter Wer für den CO₂-Ausstoß je kg in gCO2eq/kg hinterlegt.</t>
  </si>
  <si>
    <t>mnuModules</t>
  </si>
  <si>
    <t>Modules</t>
  </si>
  <si>
    <t>Module</t>
  </si>
  <si>
    <t>Lädt das ACT-Q Entwicklungskosten-Modul und integriert die entsprechenden Funktionen und Inhalte dauerhaft in die Kalkulation.
Achtung: Dies kann nicht rückgängig gemacht werden!</t>
  </si>
  <si>
    <t>cbxModuleCO2</t>
  </si>
  <si>
    <t>cbxModuleLog</t>
  </si>
  <si>
    <t>Loads the ACT-Q tooling costs module and permanently integrates the corresponding functions and contents into the calculation.
Please note: This cannot be undone!</t>
  </si>
  <si>
    <t>Lädt das ACT-Q Werkzeugkosten-Modul und integriert die entsprechenden Funktionen und Inhalte dauerhaft in die Kalkulation.
Achtung: Dies kann nicht rückgängig gemacht werden!</t>
  </si>
  <si>
    <t>Tooling costs</t>
  </si>
  <si>
    <t>Entwicklungskosten</t>
  </si>
  <si>
    <t>cbxModuleTooling</t>
  </si>
  <si>
    <t>cbxModuleEDnT</t>
  </si>
  <si>
    <t>mnuQModules</t>
  </si>
  <si>
    <t>ACT-Q Module werden einmalig geladen und erweitern das ACT-Q Addin um die entsprechenden Funktionen. 
Diese Funktionen sind nur bei geladenem ACT-Q Addin verfügbar.
Die zur Verfügung stehenden Module varieren je nach ausgewählter Projektvorlage.</t>
  </si>
  <si>
    <t>ACT-Q modules are loaded once and extend the ACT-Q Addin with the corresponding functions. 
These functions are only available when the ACT-Q Addin is loaded.
The available modules vary depending on the selected project template.</t>
  </si>
  <si>
    <t>mnuAddins</t>
  </si>
  <si>
    <t>ACT-Q modules</t>
  </si>
  <si>
    <t>ACT-Q Module</t>
  </si>
  <si>
    <t>Werzeugkosten-Modul zugelassen</t>
  </si>
  <si>
    <t>Entwicklungskosten-Modul zugelassen</t>
  </si>
  <si>
    <t>6.1.3</t>
  </si>
  <si>
    <t>Logistics module</t>
  </si>
  <si>
    <t>CO₂ module</t>
  </si>
  <si>
    <t>Module werden - im Gegensatz zu Addins - einmalig geladen und erweitern die Kalkulation dauerhaft.
Die zur Verfügung stehenden Module varieren je nach ausgewählter Projektvorlage.</t>
  </si>
  <si>
    <t>Modules - in contrast to addins - are loaded once and extend the calculation permanently.
The available modules vary depending on the selected project template.</t>
  </si>
  <si>
    <t>mnuTooling</t>
  </si>
  <si>
    <t>mnuEDnT</t>
  </si>
  <si>
    <t>Werkz.-kosten</t>
  </si>
  <si>
    <t>Entw.-kosten</t>
  </si>
  <si>
    <t>Technologieschnellrechner</t>
  </si>
  <si>
    <t>EDnT costs</t>
  </si>
  <si>
    <t>Loads the ACT-Q EDnT module and permanently integrates the corresponding functions and contents into the calculation.
Please note: This cannot be undone!</t>
  </si>
  <si>
    <t>btnTooling1</t>
  </si>
  <si>
    <t>btnEDnT1</t>
  </si>
  <si>
    <t>Update EDnT</t>
  </si>
  <si>
    <t>Entwicklungskosten aktualisieren</t>
  </si>
  <si>
    <t>Umstellung Icons auf MS Standard</t>
  </si>
  <si>
    <t>Implementierung ACT-Q Werkzeugkosten (Inhalt folgt)</t>
  </si>
  <si>
    <t>Implementierung ACT-Q Entwicklungskosten (Inhalt folgt)</t>
  </si>
  <si>
    <t>Packaging</t>
  </si>
  <si>
    <t>Customs</t>
  </si>
  <si>
    <t>Fehler behoben: Kundenansicht simulieren: Nicht sichtbare Arbeitsblätter wurden nicht korrekt wieder eingeblendet</t>
  </si>
  <si>
    <t>cm</t>
  </si>
  <si>
    <t>EOAT</t>
  </si>
  <si>
    <t>Werkzeug</t>
  </si>
  <si>
    <t>Prozess</t>
  </si>
  <si>
    <t>Anzahl Kavitäten</t>
  </si>
  <si>
    <t>Komplexität</t>
  </si>
  <si>
    <t>PT-Werkzeug</t>
  </si>
  <si>
    <t>Lehren etc.</t>
  </si>
  <si>
    <t>Aufnahmen etc.</t>
  </si>
  <si>
    <t>Process</t>
  </si>
  <si>
    <t>Number of cavities</t>
  </si>
  <si>
    <t>Complexity</t>
  </si>
  <si>
    <t>PT Tool</t>
  </si>
  <si>
    <t>Gauges etc.</t>
  </si>
  <si>
    <t>Jigs etc.</t>
  </si>
  <si>
    <t xml:space="preserve">Tool </t>
  </si>
  <si>
    <t>TEC ID</t>
  </si>
  <si>
    <t>TEC
ID</t>
  </si>
  <si>
    <t>Zugehörige TEC ID</t>
  </si>
  <si>
    <t>Corresponding TEC ID</t>
  </si>
  <si>
    <t>dm²</t>
  </si>
  <si>
    <t>cm²</t>
  </si>
  <si>
    <t>mg</t>
  </si>
  <si>
    <t>g</t>
  </si>
  <si>
    <t>ml</t>
  </si>
  <si>
    <t>cl</t>
  </si>
  <si>
    <t>mm</t>
  </si>
  <si>
    <t>dm</t>
  </si>
  <si>
    <t>cm³</t>
  </si>
  <si>
    <t>dm³</t>
  </si>
  <si>
    <t>mm³</t>
  </si>
  <si>
    <t>mm²</t>
  </si>
  <si>
    <t>Units</t>
  </si>
  <si>
    <t>Einheiten</t>
  </si>
  <si>
    <t>Basis</t>
  </si>
  <si>
    <t>6.1.4</t>
  </si>
  <si>
    <t>btnTooling2</t>
  </si>
  <si>
    <t>Ist das CO₂-Szenario aktiviert, wird der über das CO₂-Modul im Reiter 'Premises' berechnete Strompreis verwendet und ggf. Kosten für die CO₂-Neutralität zum Endpreis hinzuaddiert.</t>
  </si>
  <si>
    <t>CO₂-Neutralität</t>
  </si>
  <si>
    <t>CO₂ neutrality</t>
  </si>
  <si>
    <t>Ist die CO₂-Neutralität aktiviert, werden die errechneten Emissionen durch den Kauf von Zertifikaten ausgeglichen.</t>
  </si>
  <si>
    <t>If the CO₂ scenario is activated, the electricity price calculated via the CO₂ module in the 'Premises' tab is used and, if applicable, costs for CO₂ neutrality are added to the final price.</t>
  </si>
  <si>
    <t>If CO₂ neutrality is activated, the calculated emissions are offset by the purchase of certificates.</t>
  </si>
  <si>
    <t>CO₂ emissions (1 of 2)</t>
  </si>
  <si>
    <t>CO₂ emissions (2 of 2)</t>
  </si>
  <si>
    <t>CO₂-Emissionen (1 von 2)</t>
  </si>
  <si>
    <t>CO₂-Emissionen (2 von 2)</t>
  </si>
  <si>
    <t>Durch Laden des CO₂-Moduls werden der Kalkulation Funktionen zur Berechnung der durch das betrachtete Bauteil verursachten CO₂-Emissionen hinzugefügt.
Im ACT-Menü erscheinen neue Schaltflächen, mit Hilfe derer das CO₂-Szenario aktiviert werden sowie die CO₂-Neutralität ein- und ausgeschaltet werden kann.
Bei aktivem CO₂-Szenario wird zur Berechnung der Stromkosten eines jeden Lieferanten anstatt des vorgebenen Strompreises der im Reiter 'Premises' anhand des gewählten Energiemixes berechnete Strompreis verwendet.
Ist weiterhin die CO₂-Neutralität aktiviert, werden verursachte Emissionen durch den Kauf von Zertifikaten ausgeglichen und die Kosten dafür zum Endpreis hinzuaddiert.</t>
  </si>
  <si>
    <t>Loading the CO₂ module adds functions to the calculation for calculating the CO₂ emissions caused by the part in question.
New buttons appear in the ACT menu that can be used to activate the CO₂ scenario and to switch CO₂ neutrality on and off.
When the CO₂ scenario is active, the electricity price calculated in the 'Premises' tab on the basis of the selected energy mix is used to calculate the electricity costs of each supplier instead of the predefined electricity price.
If CO₂ neutrality is still activated, emissions caused are compensated by the purchase of certificates and the costs for this are added to the final price.</t>
  </si>
  <si>
    <t>Im Reiter 'Calculation' lässt sich über das Menü [ACT - Kalkulation - Spalten - Auswertung CO₂] die CO₂-Auswertung einblenden, die die durch Produktion (Strom- und Gasverbrauch der jeweiligen Maschine), Material (hinterlegter Wert im MAT-Reiter) und Logistik verursachten Emissionen je Zeile anzeigt.
Die für die Logistik anfallenden Emissionen errechnen sich über die Entfernung zwischen den für die beteiligten Lieferanten im Reiter 'Premises' hinterlegten Koordinaten. 
Erfolgt der Transport aufgrund der großen Entfernung über den Seeweg, wird zusätzlich die Strecke zum und vom Hafen berücksichtigt.
Die Prämissen, die der Berechnung zugrunde liegen, werden über den neu hinzugefügten Reiter 'CO₂' bzw. lieferantenspezifisch über den Reiter 'Premises' bestimmt. 
Hier findet sich auch die Auswertung der verursachten Emissionen je Lieferant.</t>
  </si>
  <si>
    <t>In the 'Calculation' tab, the CO₂ evaluation can be displayed via the menu [ACT - Calculation - Columns - CO₂ evaluation], which shows the emissions caused by production (electricity and gas consumption of the respective machine), material (stored value in the MAT tab) and logistics per line.
The emissions caused by logistics are calculated using the distance between the coordinates stored for the suppliers involved in the 'Premises' tab. 
If the transport takes place by sea due to the long distance, the distance to and from the port is also taken into account.
The premises on which the calculation is based are determined via the newly added tab 'CO₂' or supplier-specific via the tab 'Premises'. 
The evaluation of the emissions caused per supplier can also be found here.</t>
  </si>
  <si>
    <t>For a calculation created in ACT - in contrast to ADC, ASC and ATC - normally no separate output file is generated. 
The customer is therefore provided with the same file.
However, for users outside the AWS domain, a large number of buttons are not visible and the associated functions are not available.
In addition, all dark gray (gray, accent 4) colored tabs (also applies to subsequently added - correspondingly colored - tabs) are completely hidden.
In addition, certain columns are also hidden and some contents of the help bar are not displayed.
This 'customer view' can be displayed via the menu [ACT - Help - Simulate customer view].
Please note: The completely hidden (dark grey) tabs cannot be shown again simply by right-clicking on them, but they are still included in the file. 
Worksheets with contents that must never fall into the customer's hands must be deleted manually before sending!
The central element of the ACT is the ACT ribbon integrated into the Excel interface.</t>
  </si>
  <si>
    <t>Die TEC ID ist die ID der Technologie in der AWS Technologiedatenbank, der die Maschine zweifelsfrei zugeordnet werden kann.
Bei Verwendung des ACT-Q Werkzeugkosten-Moduls kann anhand dieser Verknüpfung das für die Maschine benötigte Werkzeug ermittelt werden.
Achtung: Wird in der Regel ein Werkzeug benötigt, aber es ist keine eindeutige Zuordnung Maschine - Technologie möglich, wird ein Fragezeichen '?' eingetragen!
Beispiele: 
Allen Spritzgussmaschinen ist die TEC ID 'IM' (Injection moulding) zugeordnet. 
Der Liste benötigter Werkzeuge wird entsprechend für jede in der Kalkulation verwendete Spritzgussmaschine ein Spritgusswerkzeug hinzugefügt.
Sämtlichen Pressen ist keine TEC ID zugeordnet, da keine eindeutige Zuordnung möglich ist (Folgeverbundwerkzeug, Transferwerzeug etc.). Da aber in der Regel ein Werkzeug benötigt wird, ist ein '?' eingetragen.
Entsprechend wird eine Zeile für das Werkzeug angelegt, die Art des Werkzeugs muss aber durch den Kalkulator manuell bestimmt werden.</t>
  </si>
  <si>
    <t xml:space="preserve">The TEC ID is the ID of the technology in the AWS technology database to which the machine can be clearly assigned.
When using the ACT-Q tool cost module, this link can be used to determine the tool required for the machine.
Attention: If a tool is usually required, but it is not possible to clearly assign the machine to the technology, a question mark '?' registered!
Examples:
All injection molding machines are assigned the TEC ID 'IM' (Injection molding).
An injection molding tool is added to the list of required tools for each injection molding machine used in the calculation.
No TEC ID is assigned to any of the presses, as no clear assignment is possible (progressive tool, transfer tool, etc.). But since a tool is usually required, a '?' registered.
Accordingly, a line is created for the tool, but the type of tool must be determined manually by the calculator. </t>
  </si>
  <si>
    <t>Fehler behoben: Wiederholtes abgebrochenes Schließen: Nicht sichtbare Arbeitsblätter wurden nicht korrekt wieder eingeblendet</t>
  </si>
  <si>
    <t>Implementierung aller gängigen SI-Untereinheiten (mg, ml, cm² etc.)
Über den Reiter IndirectCosts wird jeder Einheit eine Basiseinheit und ein Faktor zugeordnet und die passende 'Menge je Lagereinheit' berechnet</t>
  </si>
  <si>
    <t>Liste aktualisieren</t>
  </si>
  <si>
    <t>Werkzeugkosten berechnen</t>
  </si>
  <si>
    <t>Update list</t>
  </si>
  <si>
    <t>Calculate tooling costs</t>
  </si>
  <si>
    <t>Als FK umlegen</t>
  </si>
  <si>
    <t>Allocate as
 Mfg. Costs</t>
  </si>
  <si>
    <t>tgbcbCol1</t>
  </si>
  <si>
    <t>tgbcbCol2</t>
  </si>
  <si>
    <t>tgbcbCol3</t>
  </si>
  <si>
    <t>tgbcbCol4</t>
  </si>
  <si>
    <t>tgbcbCol5</t>
  </si>
  <si>
    <t>tgbcbCol6</t>
  </si>
  <si>
    <t>tgbcbCol7</t>
  </si>
  <si>
    <t>tgbcbCol8</t>
  </si>
  <si>
    <t>tgbcbCol9</t>
  </si>
  <si>
    <t>tgbcbCol10</t>
  </si>
  <si>
    <t>mnuToolingCol</t>
  </si>
  <si>
    <t>tgbcbToolingCol1</t>
  </si>
  <si>
    <t>tgbcbToolingCol2</t>
  </si>
  <si>
    <t>tgbcbToolingCol3</t>
  </si>
  <si>
    <t>tgbcbToolingCol4</t>
  </si>
  <si>
    <t>tgbcbToolingCol5</t>
  </si>
  <si>
    <t>Tooling</t>
  </si>
  <si>
    <t>Lifetime</t>
  </si>
  <si>
    <t>Die Standzeit ist die Anzahl an Zyklen, die das Werkzeug genutzt werden kann, bevor es ausgetauscht werden muss.</t>
  </si>
  <si>
    <t>Implementierung ACT-Q Werkzeugkosten: Inhalt</t>
  </si>
  <si>
    <t>Die Anzahl des Bauteils ist hier einzutragen. 
Die Anzahl bezieht sich auf das Vorkommen des Bauteils in einer Einheit der nächsthöheren Baugruppe. Die Gesamtanzahl wird in Spalte N automatisch berechnet.
Beispiel: 
Ein Blech ist 15-mal im ZSB Blechpaket enthalten. Das ZSB Blechpaket ist viermal im ZSB Rotor enthalten. Das ZSB Rotor ist einmal im ZSB Motor enthalten. 
D.h. man benötigt zwar insgesamt (15 x 4 x 1) = 60 Bleche, eingetragen werden hier aber nur die 15, die in einem ZSB Rotor verbaut werden.</t>
  </si>
  <si>
    <t>Herzlich willkommen!</t>
  </si>
  <si>
    <t>Luft</t>
  </si>
  <si>
    <t>See</t>
  </si>
  <si>
    <t>Schiene</t>
  </si>
  <si>
    <t>Straße</t>
  </si>
  <si>
    <t>Der Maschinenstundensatz (MSS) wird automatisch standort- und lieferantenabhängig dem MHR-Reiter entnommen und stellt die Maschinenkosten pro Stunde dar.</t>
  </si>
  <si>
    <t xml:space="preserve"> Here the number of the raw material or purchased part is entered in relation to the unit. 
The tab 'Info' can be used to estimate the required quantity.
Please note: The original weight, i.e. the weight prior to the initial forming, has to be entered here!</t>
  </si>
  <si>
    <r>
      <t xml:space="preserve">Implementierung CO2-Modul
- neue Zeilen: 'Latitude' und 'Longitude': Koordinaten in Dezimalgrad
- neue Zeile: 'Entfernung zum nächsten Hafen' in km
- neue Zeilen CO2-Berechnung
</t>
    </r>
    <r>
      <rPr>
        <sz val="10"/>
        <color rgb="FFFF0000"/>
        <rFont val="Arial Narrow"/>
        <family val="2"/>
        <scheme val="minor"/>
      </rPr>
      <t>Achtung: Lieferanten nicht kompatibel [Version 6.1.1 &lt;-&gt; 6.1.2]</t>
    </r>
  </si>
  <si>
    <r>
      <t xml:space="preserve">Implementierung CO2-Modul
- neue Hilfsspalten
- neue Spalten CO2-Auswertung
</t>
    </r>
    <r>
      <rPr>
        <sz val="10"/>
        <color rgb="FFFF0000"/>
        <rFont val="Arial Narrow"/>
        <family val="2"/>
        <scheme val="minor"/>
      </rPr>
      <t>Achtung: Kalkulationsblöcke und -Zeilen nur kompatibel bis Spalte CR [Version 6.1.1 &lt;-&gt; 6.1.2]</t>
    </r>
  </si>
  <si>
    <t>Auswertung</t>
  </si>
  <si>
    <t>∑ inkl.T-%</t>
  </si>
  <si>
    <t>∑ incl.T-%</t>
  </si>
  <si>
    <t xml:space="preserve"> Machines </t>
  </si>
  <si>
    <t xml:space="preserve"> Maschinen </t>
  </si>
  <si>
    <t xml:space="preserve"> SetUp </t>
  </si>
  <si>
    <t xml:space="preserve"> Rüsten </t>
  </si>
  <si>
    <t xml:space="preserve"> Worker </t>
  </si>
  <si>
    <t xml:space="preserve"> Mitarbeiter </t>
  </si>
  <si>
    <t xml:space="preserve"> Tools &amp; jigs </t>
  </si>
  <si>
    <t xml:space="preserve"> Werkzeuge &amp; Vorrichtungen </t>
  </si>
  <si>
    <t xml:space="preserve"> Wear tools </t>
  </si>
  <si>
    <t xml:space="preserve"> Verschleißwerkzeuge </t>
  </si>
  <si>
    <t xml:space="preserve"> RFGK </t>
  </si>
  <si>
    <t xml:space="preserve"> Mfg. </t>
  </si>
  <si>
    <t xml:space="preserve"> FK </t>
  </si>
  <si>
    <t xml:space="preserve"> Material &amp; Verbrauchsstoffe </t>
  </si>
  <si>
    <t xml:space="preserve"> Scrap Mat. </t>
  </si>
  <si>
    <t xml:space="preserve"> Mat.-Ausschuss </t>
  </si>
  <si>
    <t xml:space="preserve"> Indirect Mat. </t>
  </si>
  <si>
    <t xml:space="preserve"> MGK </t>
  </si>
  <si>
    <t xml:space="preserve"> Mat. </t>
  </si>
  <si>
    <t xml:space="preserve"> MK </t>
  </si>
  <si>
    <t xml:space="preserve"> Prod. </t>
  </si>
  <si>
    <t xml:space="preserve"> HK </t>
  </si>
  <si>
    <t xml:space="preserve"> SG&amp;A </t>
  </si>
  <si>
    <t xml:space="preserve"> VVGK </t>
  </si>
  <si>
    <t xml:space="preserve"> Cost </t>
  </si>
  <si>
    <t xml:space="preserve"> SK </t>
  </si>
  <si>
    <t xml:space="preserve"> Profit </t>
  </si>
  <si>
    <t xml:space="preserve"> Gewinn </t>
  </si>
  <si>
    <t xml:space="preserve"> Other </t>
  </si>
  <si>
    <t xml:space="preserve"> Sonstige </t>
  </si>
  <si>
    <t xml:space="preserve"> Fert.-Ausschuss </t>
  </si>
  <si>
    <t xml:space="preserve"> Scrap Mfg. </t>
  </si>
  <si>
    <t xml:space="preserve"> Indirect Mfg. </t>
  </si>
  <si>
    <t xml:space="preserve"> Material &amp; consumables </t>
  </si>
  <si>
    <t>Wirtschafts-bereich</t>
  </si>
  <si>
    <t>Anpassung Design: Logo, Icon, Schriftart, Farben</t>
  </si>
  <si>
    <t>6.1.5</t>
  </si>
  <si>
    <t>Spalte A einblenden</t>
  </si>
  <si>
    <t>Spalte L einblenden</t>
  </si>
  <si>
    <t>Hier werden die effektiven Arbeitskosten (AK) eines Werkers abhängig von der Lohngruppe (Maschinenbediener oder Facharbeiter) pro Stunde angezeigt. 
Dabei wird eine Verteilzeit gemäß der ausgewählten Premissen (Verfügbarkeit Werker) berücksichtigt.
AK eff. = Stundenlohn / Verfügbarkeit Werker
Achtung: Wird für eine Maschine im MHR-Reiter ein spezifisches Schichtmodell hinterlegt, ändern sich die Arbeitskosten entsprechend!</t>
  </si>
  <si>
    <t>Here the effective labor costs (LC) of a worker depending on the wage group (unskilled or skilled worker) per hour are displayed. 
A distribution time according to the selected premises (Worker utilization) is considered.
LC eff. = Hourly wage / Worker utilization
Please note: If a specific shift model is selected for a machine in the MHR tab, the labor costs will change accordingly!</t>
  </si>
  <si>
    <t>Optional: Das Schichtmodell der Maschine, wenn dieses von dem in den Prämissen festgelegten grundsätzlichen Schichtmodell abweicht.
Achtung: Dies wirkt sich auch auf die Lohnkosten des zugeteilten Personals aus!</t>
  </si>
  <si>
    <t>Optional: The shift model of the machine, if this differs from the basic shift model defined in the premises.
Please note: This also affects the wage costs of the assigned personnel!</t>
  </si>
  <si>
    <t>Wird für eine einzelne Maschine ein anderes Schichtmodell hinterlegt, wird nun auch der Lohn entsprechend angepasst</t>
  </si>
  <si>
    <t>Produktspezifische Maschine</t>
  </si>
  <si>
    <t>ProdSpez</t>
  </si>
  <si>
    <t>Die von der Anzahl der Arbeitstage pro Jahr und dem Schichtmodell abhängige Anzahl an Betriebsstunden pro Jahr.
Stunden pro Jahr = Arbeitstage pro Jahr x Anzahl Schichten x 8 x Auslastung</t>
  </si>
  <si>
    <t>The number of operating hours per year depending on the number of working days per year and the shift model.
Hours per year = working days per year x number of shifts x 8 x Utilisation</t>
  </si>
  <si>
    <t>Optional: Mit 'X' markieren, wenn die Zeile als Spezialbetriebsmittel (bspw. bauteilspezifische Greifer) behandelt werden soll.
Achtung: Der Invest muss in der Kalkulation als Werkzeug eingetragen werden. Die Kosten werden dann entsprechend umgelegt!</t>
  </si>
  <si>
    <t>Optional: Mark with 'X' if the row is to be treated as special equipment (e.g. component-specific gripper).
Attention: The investment must be entered in the calculation as a tool. The costs will then be allocated accordingly!</t>
  </si>
  <si>
    <t>Product-specific machine</t>
  </si>
  <si>
    <t>EndDate</t>
  </si>
  <si>
    <t>maximale Blocklänge</t>
  </si>
  <si>
    <t>V-Werkzeug</t>
  </si>
  <si>
    <t>Cost split</t>
  </si>
  <si>
    <t>Fehler behoben: SG&amp;A auf Material: Es wurde die falsche Zeile im Reiter Premises angezogen</t>
  </si>
  <si>
    <t>Fehler behoben: Diverse Formeln falsch oder unvollständig</t>
  </si>
  <si>
    <t>CO₂-Steuer
[EUR/toCO₂eq]</t>
  </si>
  <si>
    <t>ETS
[EUR/toCO₂eq]</t>
  </si>
  <si>
    <t>CO2-Steuer</t>
  </si>
  <si>
    <t>ETS</t>
  </si>
  <si>
    <t>Optional: Mit 'X' markieren, wenn die Zeile als produktspezifische Maschine behandelt werden soll.
Zur Berechnung des MSS wird in diesem Fall nicht die in einem Jahr zur Verfügung stehenden Stunden (Arbeitstage pro Jahr x Anzahl Schichten x 8 x Auslastung), 
sondern die tatsächlichen Betriebsstunden der Anlage (Kalkulierte Jahresstückzahl x Zykluszeit in h / Teile pro Zyklus) verwendet.
Achtung: Damit die tatsächlichen Betriebsstunden korrekt berechnet werden, darf eine produktspezifische Maschine nur einmal im Reiter 'Calculation' verwendet werden!</t>
  </si>
  <si>
    <t>Optional: Mark with 'X' if the row is to be treated as a product-specific machine.
For the calculation of the MSS in this case not the hours available in a year (working days per year x number of shifts x 8 x utilization), 
but the actual operating hours of the machine (Calculated annual number of parts x cycle time in h / parts per cycle).
Please note: To ensure that the actual operating hours are calculated correctly, a product-specific machine may only be used once in the 'Calculation' tab!</t>
  </si>
  <si>
    <t>btnRefreshOverhead</t>
  </si>
  <si>
    <t>Overheads aktualisieren</t>
  </si>
  <si>
    <t>Aktualisieren</t>
  </si>
  <si>
    <t>Der RFGK-Anteil wird für jede Maschine spezifisch berechnet und der für alle verwendeten Maschinen resultierende prozentuale Anteil als RFGK-Satz für den jeweiligen Lieferanten verwendet.</t>
  </si>
  <si>
    <t>Der MGK-Anteil wird für jedes eingesetzte Material spezifisch berechnet und der für alle eingesetzen Materialien resultierende prozentuale Anteil als MGK-Satz für den jeweiligen Lieferanten verwendet.</t>
  </si>
  <si>
    <t>The indirect material share is calculated specifically for each material and the resulting percentage for all materials used is used as the indirect material rate for the respective supplier.</t>
  </si>
  <si>
    <t>The IMC share is calculated specifically for each machine and the resulting percentage for all machines used is used as the IMC rate for the respective supplier.</t>
  </si>
  <si>
    <t>Machine level</t>
  </si>
  <si>
    <t>Material level</t>
  </si>
  <si>
    <t>Aktualisiert den auf Lieferantenebene berechneten RFGK- und/oder MGK-Satz.
Eine direkte Verlinkung ist nicht möglich, da sonst ein Zirkelbezug entstehen würde.
Diese Aktualisierung erfolgt auch automatisch beim Speichern der Datei.</t>
  </si>
  <si>
    <t>Update overheads</t>
  </si>
  <si>
    <t>Update</t>
  </si>
  <si>
    <t>Updates the indirect manufacturing and/or material rate calculated on supplier level.
A direct linking is not possible, because otherwise a circular reference would be created.
This update is also done automatically when saving the file.</t>
  </si>
  <si>
    <t>btnACT</t>
  </si>
  <si>
    <t>Straße + Schiene</t>
  </si>
  <si>
    <t>Schiene + Straße</t>
  </si>
  <si>
    <t>Air</t>
  </si>
  <si>
    <t>Sea</t>
  </si>
  <si>
    <t>Rail</t>
  </si>
  <si>
    <t>Road</t>
  </si>
  <si>
    <t>Road + Rail</t>
  </si>
  <si>
    <t>Rail + Road</t>
  </si>
  <si>
    <t>Volumengut</t>
  </si>
  <si>
    <t>Massengut</t>
  </si>
  <si>
    <t>High-volume</t>
  </si>
  <si>
    <t>Bulk cargo</t>
  </si>
  <si>
    <t>mnuExport</t>
  </si>
  <si>
    <t>Export</t>
  </si>
  <si>
    <t>Pfad Export Templates</t>
  </si>
  <si>
    <t>\\wts\02 DATA\02 WD\01 Kalkulationstools\01 Teilekosten\01 ACT\Export Templates\</t>
  </si>
  <si>
    <t>Workdays per year</t>
  </si>
  <si>
    <t>Sichtbarkeit Arbeitsblätter (-1 = sichtbar, 0 = ausgeblendet, 2 = komplett ausgeblendet)</t>
  </si>
  <si>
    <t>Labour costs unskilled</t>
  </si>
  <si>
    <t>Labour costs skilled</t>
  </si>
  <si>
    <t>No. of shifts</t>
  </si>
  <si>
    <t>Ind. Mfg. carryover</t>
  </si>
  <si>
    <t>Ind. Mfg. rate</t>
  </si>
  <si>
    <t>Ind. Mat. rate</t>
  </si>
  <si>
    <t>Ind. Mfg. share</t>
  </si>
  <si>
    <t>Ind. Mat. share</t>
  </si>
  <si>
    <t>Distance to the nearest airport</t>
  </si>
  <si>
    <t>Distance to the nearest train station</t>
  </si>
  <si>
    <t>Entfernung zum nächsten Flughafen</t>
  </si>
  <si>
    <t>Entfernung zum nächsten Bahnhof</t>
  </si>
  <si>
    <t>Lieferanten</t>
  </si>
  <si>
    <t>Wert</t>
  </si>
  <si>
    <t>Neben der dynamischen Analyse im Reiter 'Calculation' lassen sich auch individuelle Cost splits anfertigen und auswerten.
In den Spalten B bis C (ggf. ausgeblendet) befindet sich die Datenbasis, auf der die verschiedenen Kostenaufstellungen aufbauen.
Die standardmäßig bereitgestellten Aufstellungen (Cost split 1, 2 und 3) wie auch das Wasserfalldiagramm können beliebig angepasst, ergänzt oder gelöscht werden.
Um im Diagramm einen anderen Cost split anzuzeigen, muss der entsprechende Bereich per [Rechtsklick - Daten auswählen... - Diagrammdatenbereich] ausgewählt werden.
Die Spalte 'Basis' dient als Basis des jeweiligen Eintrags, beschreibt als den Wert des Bereichs unterhalb des Balkens. Die Spalte 'Summe' dient der korrekten Darstellung der Datenbeschriftung pberhalb des kompletten Balkens. Während die Position über die Spalte 'Summe' (Basis + Wert) bestimmt wird, ist der angezeigte Wert der Wert des Eintrags. Dies muss ebenfalls angepasst werden, wenn ein anderer Cost split gewählt wird.
Achtung: Die angezeigten Kosten beziehen sich immer auf den in Zelle 'C2' ausgewählten Lieferanten!</t>
  </si>
  <si>
    <t>In addition to the dynamic analysis in the 'Calculation' tab, individual costsplits can also be created and evaluated.
Columns B to C (may be hidden) contain the dataset on which the various cost statements are based.
The standard cost splits (Cost split 1, 2 and 3) as well as the waterfall diagram can be adapted, extended or deleted as desired.
To display another cost split in the diagram, the corresponding area must be selected by [Right click - Select data... - Diagram data area].
The column 'Base' serves as the base of the respective entry, described as the value of the area below the bar. The 'Sum' column is used to correctly display the data label above the complete bar. While the position is determined by the 'Sum' column (base + value), the value displayed is the value of the entry. This must also be adjusted if another cost split is selected.
Please note: The displayed costs always refer to the supplier selected in range 'C2'!</t>
  </si>
  <si>
    <t>Spalten umbenannt</t>
  </si>
  <si>
    <t>Fehler behoben: Werte wurden falsch berechnet, wenn Ziel nicht Tier 1 war</t>
  </si>
  <si>
    <t>Anpassung: Cluster aus Sicht eines ausgewählten Liferanten (analog Analysis)</t>
  </si>
  <si>
    <t>Anpassung: "Echter" Wasserfall mit schwebender Summe Material</t>
  </si>
  <si>
    <t>Option "Produktspezifische Maschine" hinzugefügt</t>
  </si>
  <si>
    <t>Vorbereitungen Kompatibilität ACT 6.1.5 &amp; Logistik-Modul</t>
  </si>
  <si>
    <t>Hinzufügen Export-Funktion (Export in PowerPoint)</t>
  </si>
  <si>
    <t>Export-Funktion: Export von Prämissen für einen (Single) oder mehrere (Multi) Lieferanten</t>
  </si>
  <si>
    <t>Fehler behoben: Reiter wurden nicht korrekt wieder eingeblendet, wenn die Arbeitsmappe gespeichert und anschließend nochmal gespeichert oder geschlossen wurde, ohne dass das Event After_Save gefeuert hat</t>
  </si>
  <si>
    <t>Palette</t>
  </si>
  <si>
    <t>LKW</t>
  </si>
  <si>
    <t>Personal</t>
  </si>
  <si>
    <t>MethodeAmZiel</t>
  </si>
  <si>
    <t>MethodeAmStart</t>
  </si>
  <si>
    <t>Methode</t>
  </si>
  <si>
    <t>ZielBahnhof</t>
  </si>
  <si>
    <t>ZielFlughafen</t>
  </si>
  <si>
    <t>ZielHafen</t>
  </si>
  <si>
    <t>ZielLong</t>
  </si>
  <si>
    <t>ZielLat</t>
  </si>
  <si>
    <t>Ziel</t>
  </si>
  <si>
    <t>StartBahnhof</t>
  </si>
  <si>
    <t>StartFlughafen</t>
  </si>
  <si>
    <t>StartHafen</t>
  </si>
  <si>
    <t>StartLong</t>
  </si>
  <si>
    <t>StartLat</t>
  </si>
  <si>
    <t>Start</t>
  </si>
  <si>
    <t>Total-€</t>
  </si>
  <si>
    <t>Zoll-€</t>
  </si>
  <si>
    <t>Transport-€</t>
  </si>
  <si>
    <t>Verpackung-€</t>
  </si>
  <si>
    <t>LTjeC</t>
  </si>
  <si>
    <t>Container</t>
  </si>
  <si>
    <t>LTjeLKW</t>
  </si>
  <si>
    <t>LT</t>
  </si>
  <si>
    <t>Geometrie</t>
  </si>
  <si>
    <t>Distanz in km</t>
  </si>
  <si>
    <t>Herkunft Personal</t>
  </si>
  <si>
    <t>ohne</t>
  </si>
  <si>
    <t>Ladungsträger</t>
  </si>
  <si>
    <t>Umverpackung</t>
  </si>
  <si>
    <t>BoxJeLT</t>
  </si>
  <si>
    <t>BTjeBox</t>
  </si>
  <si>
    <t>Indivudualverpackung</t>
  </si>
  <si>
    <t>$B$2</t>
  </si>
  <si>
    <t>Bauteile je Umverpackung</t>
  </si>
  <si>
    <t>Umverpackungen je Ladungsträger</t>
  </si>
  <si>
    <t>Fahrzeug</t>
  </si>
  <si>
    <t>Ladungsträger je Fahrzeug</t>
  </si>
  <si>
    <t>Ladungsträger je Container</t>
  </si>
  <si>
    <t>Verpackungskosten</t>
  </si>
  <si>
    <t>Transportkosten</t>
  </si>
  <si>
    <t>Zollkosten</t>
  </si>
  <si>
    <t>Logistikkosten</t>
  </si>
  <si>
    <t>Latitude in Dezimalgrad</t>
  </si>
  <si>
    <t>Longitude in Dezimalgrad</t>
  </si>
  <si>
    <t>Transportmethode</t>
  </si>
  <si>
    <t>Transportmethode am Start</t>
  </si>
  <si>
    <t>Transportmethode am Ziel</t>
  </si>
  <si>
    <t>SchieneAmZiel</t>
  </si>
  <si>
    <t>StraßeAmZiel</t>
  </si>
  <si>
    <t>StraßeAmStart</t>
  </si>
  <si>
    <t>SchieneAmStart</t>
  </si>
  <si>
    <t>Der Längengrad der Zielkoordinaten in Dezimalgrad.
Standardmäßig sind dies die in den Prämissen für den Lieferanten hinterlegten Koordinaten.
Achtung: Beim Transport per Schiene oder per Luft sind hier die Koordinaten des Bahnhofs bzw. des Flughafens am Ziel einzutragen!</t>
  </si>
  <si>
    <t>Der Breitengrad der Zielkoordinaten in Dezimalgrad.
Standardmäßig sind dies die in den Prämissen für den Lieferanten hinterlegten Koordinaten.
Achtung: Beim Transport per Schiene oder per Luft sind hier die Koordinaten des Bahnhofs bzw. des Flughafens am Ziel einzutragen!</t>
  </si>
  <si>
    <t>Die ID des Lieferanten (siehe Prämissen) am Ende des Transportweges.</t>
  </si>
  <si>
    <t>Die ID des Lieferanten (siehe Prämissen) am Anfang des Transportweges.</t>
  </si>
  <si>
    <t>Der Breitengrad der Zielkoordinaten in Dezimalgrad.
Standardmäßig sind dies die in den Prämissen für den Lieferanten hinterlegten Koordinaten.
Achtung: Beim Transport per Schiene oder per Luft sind hier die Koordinaten des Bahnhofs bzw. des Flughafens am Start einzutragen!</t>
  </si>
  <si>
    <t>Der Längengrad der Zielkoordinaten in Dezimalgrad.
Standardmäßig sind dies die in den Prämissen für den Lieferanten hinterlegten Koordinaten.
Achtung: Beim Transport per Schiene oder per Luft sind hier die Koordinaten des Bahnhofs bzw. des Flughafens am Start einzutragen!</t>
  </si>
  <si>
    <t>Destination</t>
  </si>
  <si>
    <t>Die Art des Transports vom Lieferanten zum Start, wenn der Start nicht das Werksgelände des Lieferanten ist, also zum Hafen, Flughafen oder Bahnhof.
Findet beim Transport per Straße keine Anwendung. Beim Transport per Schiene findet der Transport zum Start (also zum Bahnhof) automatische per Straße statt.</t>
  </si>
  <si>
    <t>Die Distanz in km vom Ziel (Hafen, Flughafen oder Bahnhof) zum Lieferanten, die per Straße zurückgelegt wird.</t>
  </si>
  <si>
    <t>Das Land, dessen Lohnkosten für den Transport angezogen werden.
Standardmäßig ist der Standort des Lieferanten ausgewählt, bei dem der Transport startet.
Achtung: Für Transporte am Start und am Ziel (Wege zum und vom Hafen, Flughafen oder Bahnhof) werden immer die Lohnkosten vor Ort angezogen!</t>
  </si>
  <si>
    <t>Die hauptsächliche* Art des Transports vom Start zum Ziel.
*beim Transport per Luft oder auf dem Seeweg werden zusätzlich die Strecken vom und zum Flughafen bzw. Hafen per Straße (oder Straße und Schiene) berücksichtigt ([siehe Transportmethode am Start bzw. am Ziel].</t>
  </si>
  <si>
    <t>Distanz am Start in km</t>
  </si>
  <si>
    <t>Distanz am Ziel in km</t>
  </si>
  <si>
    <t>Die Kalkulation der Logistikkosten gliedert sich in zwei Bereiche:
Zum einen sind die Transportwege zwischen den beteiligten Lieferanten zu beschreiben (Tabelle rechts).
Zum anderen sind die auf diesen Wegen transportierten "Pakete" zu beschreiben (Tabelle links).</t>
  </si>
  <si>
    <t>Pallet</t>
  </si>
  <si>
    <t>Die Distanz in km vom Ziel (Hafen oder Flughafen) zum Lieferanten, die per Schiene zurückgelegt wird.
Achtung: Die Distanz muss manuell (per Google Maps etc.) ermittelt und eingetragen werden!</t>
  </si>
  <si>
    <t>Die Distanz in km vom Start zum Ziel, die per Straße zurückgelegt wird.
Start ist dabei das Werksgelände des abgebenden Lieferanten, Ziel ist das Werksgelände des aufnehmenden Lieferanten.
Optional: Die Entfernung kann bei Bedarf auch manuell (per Google Maps etc.) ermittelt und überschrieben werden.</t>
  </si>
  <si>
    <t>Die Entfernung in km vom Lieferanten zum (nächstgelegenen) Flughafen.
Diese wird aus den Prämissen übernommen und entspricht standardmäßig der weltweiten durchschnittliche Entfernung zum nächsten Flughafen.
Achtung: Wenn der Transport per Luft stattfindet, muss diese Entfernung manuell (per Google Maps etc.) ermittelt und hier eingetragen werden!</t>
  </si>
  <si>
    <t>Die Entfernung in km vom Lieferanten zum (nächstgelegenen) Bahnhof.
Diese wird aus den Prämissen übernommen und entspricht standardmäßig der weltweiten durchschnittliche Entfernung zum nächsten Bahnhof.
Achtung: Wenn der Transport per Schiene stattfindet, muss diese Entfernung manuell (per Google Maps etc.) ermittelt und hier eingetragen werden!</t>
  </si>
  <si>
    <t>Die Entfernung in km vom Lieferanten zum (nächstgelegenen) Hafen.
Diese wird aus den Prämissen übernommen und entspricht standardmäßig der hinterlegten durchschnittliche Entfernung zum nächsten Hafen innerhalb des Landes, das dem Lieferanten zugeordnet ist.
Achtung: Wenn der Transport per Seefracht stattfindet, muss diese Entfernung manuell (per Google Maps etc.) ermittelt und hier eingetragen werden!</t>
  </si>
  <si>
    <t>Die Art des Transports vom Ziel zum Lieferanten, wenn der Ziel nicht das Werksgelände des Lieferanten ist, also vom Hafen, Flughafen oder Bahnhof.
Findet beim Transport per Straße keine Anwendung. Beim Transport per Schiene findet der Transport vom Ziel (also vom Bahnhof) automatische per Straße statt.</t>
  </si>
  <si>
    <t>Die Distanz in km vom Lieferanten zum Start (Hafen, Flughafen oder Bahnhof), die per Straße zurückgelegt wird.</t>
  </si>
  <si>
    <t>Die Distanz in km vom Lieferanten zum Start (Hafen oder Flughafen), die per Schiene zurückgelegt wird.
Achtung: Die Distanz muss manuell (per Google Maps etc.) ermittelt und eingetragen werden!</t>
  </si>
  <si>
    <t>Die Distanz in km vom Start zum Ziel, die in auf dem Seeweg zurückgelegt wird.
Start ist dabei der dem abgebenden Lieferanten zugeordnete (nächstgelegene) Seehafen, Ziel ist der dem aufnehmenden Lieferanten zugeordnete (nächstgelegene) Seehafen.
Achtung: Für den Seeweg muss die Distanz manuell ermittelt und eingetragen werden (siehe searates.com/services/distances-time/)!</t>
  </si>
  <si>
    <t>Die Distanz in km vom Start zum Ziel, die in der Luft zurückgelegt wird.
Start ist dabei der dem abgebenden Lieferanten zugeordnete (nächstgelegene) Flughafen, Ziel ist der dem aufnehmenden Lieferanten zugeordnete (nächstgelegene) Flughafen.
Optional: Die Entfernung kann bei Bedarf auch manuell (per Google Maps etc.) ermittelt und überschrieben werden.</t>
  </si>
  <si>
    <t>Die Distanz in km vom Start zum Ziel, die per Schiene zurückgelegt wird.
Start ist dabei der dem abgebenden Lieferanten zugeordnete (nächstgelegene) Bahnhof, Ziel ist der dem aufnehmenden Lieferanten zugeordnete (nächstgelegene) Bahnhof.
Optional: Die Entfernung kann bei Bedarf auch manuell (per Google Maps etc.) ermittelt und überschrieben werden.</t>
  </si>
  <si>
    <t>Spalte1</t>
  </si>
  <si>
    <t>Tier P</t>
  </si>
  <si>
    <t>Tier 2</t>
  </si>
  <si>
    <t>Tier 1</t>
  </si>
  <si>
    <t>Auss.</t>
  </si>
  <si>
    <t>MGK2</t>
  </si>
  <si>
    <t>VVGK3</t>
  </si>
  <si>
    <t>Gewinn4</t>
  </si>
  <si>
    <t>Sonstige5</t>
  </si>
  <si>
    <t>Preis6</t>
  </si>
  <si>
    <t>Auss.7</t>
  </si>
  <si>
    <t>MGK8</t>
  </si>
  <si>
    <t>VVGK9</t>
  </si>
  <si>
    <t>Gewinn10</t>
  </si>
  <si>
    <t>Sonstige11</t>
  </si>
  <si>
    <t>Preis12</t>
  </si>
  <si>
    <t>D. Mat</t>
  </si>
  <si>
    <t>Neues Speichern: Der Dateiname bleibt eindeutig und es wird weder Datum (2021XXXX) noch  Version (Vxx) angehängt. Stattdessen wird automatisch bei jedem Speichern ein lokales Backup (im Ordner %Temp%\AWS\) erstellt, auf das 28 Tage lang zurückgegriffen werden kann. Zusätzlich wird automatisch für jeden Tag, an dem Änderungen vorgenommen wurden, eine dauerhafte Kopie auf dem Server (im Ordner \Archiv\) abgelegt.</t>
  </si>
  <si>
    <t>Anpassung: Cluster aus Sicht eines ausgewählten Liferanten (analog Analysis) ODER als Tier-Übersicht über alle Bauteile</t>
  </si>
  <si>
    <t>6.1.6</t>
  </si>
  <si>
    <t>Erweiterte Auswertung: Hinzufügen von Spalten für detailierte Tier 2 und Tier 1 Zuschläge</t>
  </si>
  <si>
    <t>SG&amp;A Mt</t>
  </si>
  <si>
    <t>Scrap</t>
  </si>
  <si>
    <t>Ausschuss Personal</t>
  </si>
  <si>
    <t>Scrap personnel</t>
  </si>
  <si>
    <t>Scp Mfg.</t>
  </si>
  <si>
    <t>Scp Mat.</t>
  </si>
  <si>
    <t>D Mat.</t>
  </si>
  <si>
    <t>Die in der Kalkulation aufgeführten Kosten lassen sich zeilen- oder blockweise innerhalb von Clustern in verschiedene Gruppen unterteilen.
Es stehen drei Cluster zur Verfügung, die in beliebig viele Gruppen unterteilt werden können. Kosten können mehreren Clustern zugeordnet werden (bspw. der Gruppe Spritzguss im Cluster Produktion und der Gruppe Kunststoffe im Cluster Material), können innerhalb eines Clusters aber immer nur einer Gruppe angehören.
Die Gruppen werden im Reiter 'Cluster' angelegt und die Kosten im Reiter 'Calculation' der entsprechenden Gruppe zugeordnet. Über das Menü [ACT - Kalkulation - Spalten - Cluster] lassen sich die Cluster-Spalten im Reiter 'Calculation' einblenden.
Über die Zelle 'B3' lässt sich steuern, wie KOsten dargestellt werden. Standardmäßig (die Zelle ist leer) werden Kosten über die komplette Kalkulation als Tier-Struktur dargestellt. 
Wird in ein Lieferant ausgewählt, stellen sich die Kosten aus Sicht dieses Lieferanten dar.</t>
  </si>
  <si>
    <t>The costs listed in the cost estimate can be subdivided into different groups line by line or block by block within clusters.
Three clusters are available, which can be divided into any number of groups. Costs can be assigned to several clusters (e.g. to the injection molding group in the production cluster and to the plastics group in the material cluster), but can only belong to one group within a cluster.
The groups are created in the 'Cluster' tab and the costs are assigned to the corresponding group in the 'Calculation' tab. The cluster columns can be displayed in the 'Calculation' tab via the [ACT - Calculation - Columns - Cluster] menu.
The cell 'B3' can be used to control how costs are displayed. By default (the cell is empty), costs are displayed as a tier structure over the entire calculation. 
If a supplier is selected, the costs will be displayed from the supplier's point of view.</t>
  </si>
  <si>
    <t>btnNumAlt</t>
  </si>
  <si>
    <t>btnRepaint</t>
  </si>
  <si>
    <t>BomRepaint</t>
  </si>
  <si>
    <t>Format erneuern</t>
  </si>
  <si>
    <t>Rebuild format</t>
  </si>
  <si>
    <t>Formatiert sämtliche BOM-Zeilen entsprechend ihrer jeweiligen Strukturstufe neu.</t>
  </si>
  <si>
    <t>Reformats all BOM rows according to their respective structure level.</t>
  </si>
  <si>
    <t>Nummerierung generieren</t>
  </si>
  <si>
    <t>Generate Numbering</t>
  </si>
  <si>
    <t>Export to PowerPoint …</t>
  </si>
  <si>
    <t>Export to CBD …</t>
  </si>
  <si>
    <t>ExportToPowerPointInit</t>
  </si>
  <si>
    <t>Nach PowerPoint exportieren …</t>
  </si>
  <si>
    <t>btnExportToPowerPoint</t>
  </si>
  <si>
    <t>In CBD exportieren …</t>
  </si>
  <si>
    <t>btnOpenLabelmaker</t>
  </si>
  <si>
    <t>Open Labelmaker</t>
  </si>
  <si>
    <t>Labelmaker öffnen</t>
  </si>
  <si>
    <t>2-1</t>
  </si>
  <si>
    <t>3-1</t>
  </si>
  <si>
    <t>Supply chain</t>
  </si>
  <si>
    <t>OpenLabelmaker</t>
  </si>
  <si>
    <t>Anpassung Sync: Zunächst wird nur das Layout aufgebaut und die Formeln im Anschluss in ein Array geschrieben und über dieses eingefügt -&gt; deutliche Verkürzung der Ladezeiten</t>
  </si>
  <si>
    <t>Edit Mode: Die Formeln in den Auswertespalten werden beim Aktivieren des Edit Modes komplett gelöscht und beim Deaktivieren wieder eingefügt -&gt; Erhöhung der Reaktionszeit bei großen Datenmengen</t>
  </si>
  <si>
    <t>Export: Verlinkung des Labelmakers</t>
  </si>
  <si>
    <t>6.1.7</t>
  </si>
  <si>
    <t>Entsprechende Anpassungen der Functions AddCalcRow, AddCalcBlock etc.</t>
  </si>
  <si>
    <t>Cluster 1</t>
  </si>
  <si>
    <t>Cluster 2</t>
  </si>
  <si>
    <t>RFGK in %</t>
  </si>
  <si>
    <t>AgCO2eq/kWh</t>
  </si>
  <si>
    <t>BgCO2eq/kWh</t>
  </si>
  <si>
    <t>CgCO2eq/kWh</t>
  </si>
  <si>
    <t>DgCO2eq/kWh</t>
  </si>
  <si>
    <t>EgCO2eq/kWh</t>
  </si>
  <si>
    <t>FgCO2eq/kWh</t>
  </si>
  <si>
    <t>GgCO2eq/kWh</t>
  </si>
  <si>
    <t>HgCO2eq/kWh</t>
  </si>
  <si>
    <t>IgCO2eq/kWh</t>
  </si>
  <si>
    <t>JgCO2eq/kWh</t>
  </si>
  <si>
    <t>Diesel</t>
  </si>
  <si>
    <t>ja</t>
  </si>
  <si>
    <t>nein</t>
  </si>
  <si>
    <t>yes</t>
  </si>
  <si>
    <t>no</t>
  </si>
  <si>
    <t>Dieselpreis</t>
  </si>
  <si>
    <t>none</t>
  </si>
  <si>
    <t>Tab_ASY_TableRegister</t>
  </si>
  <si>
    <t>Name</t>
  </si>
  <si>
    <t>Aufnehmen und Platzieren (A)</t>
  </si>
  <si>
    <t>Pick and place (A)</t>
  </si>
  <si>
    <t>ASY_PickandPlace_1</t>
  </si>
  <si>
    <t>Entfernung &lt;20cm (A)</t>
  </si>
  <si>
    <t>Distance &lt;20cm (A)</t>
  </si>
  <si>
    <t>ASY_PickandPlace_2</t>
  </si>
  <si>
    <t>Entfernung 20-50cm (A)</t>
  </si>
  <si>
    <t>Distance 20-50cm (A)</t>
  </si>
  <si>
    <t>ASY_PickandPlace_3</t>
  </si>
  <si>
    <t>Entfernung 50-80cm (A)</t>
  </si>
  <si>
    <t>Distance &lt;50-80cm (A)</t>
  </si>
  <si>
    <t>ASY_PickandPlace_4</t>
  </si>
  <si>
    <t>Schraubarbeiten (M-S)</t>
  </si>
  <si>
    <t>Screwing (M-S)</t>
  </si>
  <si>
    <t>ASY_Screwing_1</t>
  </si>
  <si>
    <t>von Hand (M-S)</t>
  </si>
  <si>
    <t>by hand (M-S)</t>
  </si>
  <si>
    <t>ASY_Screwing_2</t>
  </si>
  <si>
    <t>Metrische Schrauben M2,4-M14 (M-S)</t>
  </si>
  <si>
    <t>Metric screws M2,4-M14 (M-S)</t>
  </si>
  <si>
    <t>ASY_Screwing_3</t>
  </si>
  <si>
    <t>Blechschrauben bis 6mm (M-S)</t>
  </si>
  <si>
    <t>Sheet metal screws up to 6mm (M-S)</t>
  </si>
  <si>
    <t>ASY_Screwing_4</t>
  </si>
  <si>
    <t>Platzieren (P)</t>
  </si>
  <si>
    <t>Placing (P)</t>
  </si>
  <si>
    <t>ASY_Place_1</t>
  </si>
  <si>
    <t>Entfernung &lt;20cm (P)</t>
  </si>
  <si>
    <t>Distance &lt;20cm (P)</t>
  </si>
  <si>
    <t>ASY_Place_2</t>
  </si>
  <si>
    <t>Entfernung 20-50cm (P)</t>
  </si>
  <si>
    <t>Distance 20-50cm (P)</t>
  </si>
  <si>
    <t>ASY_Place_3</t>
  </si>
  <si>
    <t>Entfernung 50-80cm (P)</t>
  </si>
  <si>
    <t>Distance &lt;50-80cm (P)</t>
  </si>
  <si>
    <t>ASY_Place_4</t>
  </si>
  <si>
    <t>Hilfsmittel handhaben (H)</t>
  </si>
  <si>
    <t>Handling tools (H)</t>
  </si>
  <si>
    <t>ASY_HandlingTools_1</t>
  </si>
  <si>
    <t>Entfernung &lt;20cm (H)</t>
  </si>
  <si>
    <t>Distance &lt;20cm (H)</t>
  </si>
  <si>
    <t>ASY_HandlingTools_2</t>
  </si>
  <si>
    <t>Entfernung 20-50cm (H)</t>
  </si>
  <si>
    <t>Distance 20-50cm (H)</t>
  </si>
  <si>
    <t>ASY_HandlingTools_3</t>
  </si>
  <si>
    <t>Entfernung 50-80cm (H)</t>
  </si>
  <si>
    <t>Distance &lt;50-80cm (H)</t>
  </si>
  <si>
    <t>ASY_HandlingTools_4</t>
  </si>
  <si>
    <t>Betätigen (B)</t>
  </si>
  <si>
    <t>Operate (B)</t>
  </si>
  <si>
    <t>ASY_Operate_1</t>
  </si>
  <si>
    <t>Entfernung &lt;20cm (B)</t>
  </si>
  <si>
    <t>Distance &lt;20cm (B)</t>
  </si>
  <si>
    <t>ASY_Operate_2</t>
  </si>
  <si>
    <t>Entfernung 20-50cm (B)</t>
  </si>
  <si>
    <t>Distance 20-50cm (B)</t>
  </si>
  <si>
    <t>ASY_Operate_3</t>
  </si>
  <si>
    <t>Entfernung 50-80cm (B)</t>
  </si>
  <si>
    <t>Distance &lt;50-80cm (B)</t>
  </si>
  <si>
    <t>ASY_Operate_4</t>
  </si>
  <si>
    <t>Bewegungszyklen (Z)</t>
  </si>
  <si>
    <t>Motion cylces (Z)</t>
  </si>
  <si>
    <t>ASY_MotionCycles_1</t>
  </si>
  <si>
    <t>Entfernung &lt;20cm (Z)</t>
  </si>
  <si>
    <t>Distance &lt;20cm (Z)</t>
  </si>
  <si>
    <t>ASY_MotionCycles_2</t>
  </si>
  <si>
    <t>Entfernung 20-50cm (Z)</t>
  </si>
  <si>
    <t>Distance 20-50cm (Z)</t>
  </si>
  <si>
    <t>ASY_MotionCycles_3</t>
  </si>
  <si>
    <t>Entfernung 50-80cm (Z)</t>
  </si>
  <si>
    <t>Distance &lt;50-80cm (Z)</t>
  </si>
  <si>
    <t>ASY_MotionCycles_4</t>
  </si>
  <si>
    <t>Körperbewegungen (K)</t>
  </si>
  <si>
    <t>Body motions (K)</t>
  </si>
  <si>
    <t>ASY_BodyMotion</t>
  </si>
  <si>
    <t>Visuelle Kontrolle (VA)</t>
  </si>
  <si>
    <t>Visual check (VA)</t>
  </si>
  <si>
    <t>ASY_VisualCheck</t>
  </si>
  <si>
    <t>Prüfen oder Messen (M-P)</t>
  </si>
  <si>
    <t>Checking or measuring (M-P)</t>
  </si>
  <si>
    <t>ASY_CheckingMeasuring_1</t>
  </si>
  <si>
    <t>Lehren (M-P)</t>
  </si>
  <si>
    <t>Gages (M-P)</t>
  </si>
  <si>
    <t>ASY_CheckingMeasuring_2</t>
  </si>
  <si>
    <t>Zeigermessgerät (M-P)</t>
  </si>
  <si>
    <t>Pointer gauge (M-P)</t>
  </si>
  <si>
    <t>ASY_CheckingMeasuring_3</t>
  </si>
  <si>
    <t>Skalenmessgerät (M-P)</t>
  </si>
  <si>
    <t>Scale measuring device (M-P)</t>
  </si>
  <si>
    <t>ASY_CheckingMeasuring_4</t>
  </si>
  <si>
    <t>Bereich einstellen (M-P)</t>
  </si>
  <si>
    <t>Set range (M-P)</t>
  </si>
  <si>
    <t>ASY_CheckingMeasuring_5</t>
  </si>
  <si>
    <t>Markieren (M-M)</t>
  </si>
  <si>
    <t>Marking (M-M)</t>
  </si>
  <si>
    <t>ASY_Marking</t>
  </si>
  <si>
    <t>Behandeln (B-RB)</t>
  </si>
  <si>
    <t>Treatment (B-RB)</t>
  </si>
  <si>
    <t>ASY_Treatment_1</t>
  </si>
  <si>
    <t>Reinigen (B-RB)</t>
  </si>
  <si>
    <t>Cleaning (B-RB)</t>
  </si>
  <si>
    <t>ASY_Treatment_2</t>
  </si>
  <si>
    <t>Auftragen Öl, Farbe, Reinigungsmittel (B-RB)</t>
  </si>
  <si>
    <t>Application of oil, paint, cleaning agent (B-RB)</t>
  </si>
  <si>
    <t>ASY_Treatment_3</t>
  </si>
  <si>
    <t>Auftragen Klebstoff, Dichtmasse (B-RB)</t>
  </si>
  <si>
    <t>Apply adhesive, sealant (B-RB)</t>
  </si>
  <si>
    <t>ASY_Treatment_4</t>
  </si>
  <si>
    <t>Zuschlag (B-RB)</t>
  </si>
  <si>
    <t>Additive (B-RB)</t>
  </si>
  <si>
    <t>ASY_Treatment_5</t>
  </si>
  <si>
    <t>Festspannen und Lösen (M-F)</t>
  </si>
  <si>
    <t>Tightening and loosening (M-F)</t>
  </si>
  <si>
    <t>ASY_TighteningLoosening_1</t>
  </si>
  <si>
    <t>Transportable Spannmittel (M-F)</t>
  </si>
  <si>
    <t>Transportable clamping devices (M-F)</t>
  </si>
  <si>
    <t>ASY_TighteningLoosening_2</t>
  </si>
  <si>
    <t>Stationäre Spannmittel (M-F)</t>
  </si>
  <si>
    <t>Stationary clamping devices (M-F)</t>
  </si>
  <si>
    <t>ASY_TighteningLoosening_3</t>
  </si>
  <si>
    <t>Auspacken (M-A)</t>
  </si>
  <si>
    <t>Unpacking (M-A)</t>
  </si>
  <si>
    <t>ASY_Unpacking_1</t>
  </si>
  <si>
    <t>Abdeckung entfernen/öffnen</t>
  </si>
  <si>
    <t>Remove/open cover</t>
  </si>
  <si>
    <t>ASY_Unpacking_2</t>
  </si>
  <si>
    <t>Inhalt entnehmen &lt;8kg</t>
  </si>
  <si>
    <t>Remove contents &lt;8kg</t>
  </si>
  <si>
    <t>ASY_Unpacking_3</t>
  </si>
  <si>
    <t>Klebearbeiten (M-K)</t>
  </si>
  <si>
    <t>Adhesive application (M-K)</t>
  </si>
  <si>
    <t>ASY_AdhesiveApplication_1</t>
  </si>
  <si>
    <t>Schild oder Aufkleber (M-K)</t>
  </si>
  <si>
    <t>Sign or sticker (M-K)</t>
  </si>
  <si>
    <t>ASY_AdhesiveApplication_2</t>
  </si>
  <si>
    <t>Dämmmatte (M-K)</t>
  </si>
  <si>
    <t>Insulation mat (M-K)</t>
  </si>
  <si>
    <t>ASY_AdhesiveApplication_3</t>
  </si>
  <si>
    <t>Klebeband (M-K)</t>
  </si>
  <si>
    <t>Adhesive tape (M-K)</t>
  </si>
  <si>
    <t>ASY_AdhesiveApplication_4</t>
  </si>
  <si>
    <t>Normteile montieren (M-B)</t>
  </si>
  <si>
    <t>Assemble standard parts (M-B)</t>
  </si>
  <si>
    <t>ASY_AssembleStandardParts</t>
  </si>
  <si>
    <t>Tab_ASY_Operations</t>
  </si>
  <si>
    <t>Motion cycles (Z)</t>
  </si>
  <si>
    <t>Assembling standard parts (M-B)</t>
  </si>
  <si>
    <t>Tab_ASY_PickandPlace_1</t>
  </si>
  <si>
    <t>Tab_ASY_PickandPlace_2</t>
  </si>
  <si>
    <t>Entfernung &lt;20cm</t>
  </si>
  <si>
    <t>Gewicht &lt;1kg, ungefähr platzieren</t>
  </si>
  <si>
    <t>Weight &lt;1kg, rough positioning</t>
  </si>
  <si>
    <t>Gewicht &lt;1kg, lose platzieren</t>
  </si>
  <si>
    <t>Weight &lt;1kg, loose positioning</t>
  </si>
  <si>
    <t>Gewicht &lt;1kg, eng platzieren</t>
  </si>
  <si>
    <t>Weight &lt;1kg, tight positioning</t>
  </si>
  <si>
    <t>Gewicht &lt;1kg, Hand voll platzieren</t>
  </si>
  <si>
    <t>Weight &lt;1kg, a fistful rough positioning</t>
  </si>
  <si>
    <t>Gewicht 1-8kg, ungefähr platzieren</t>
  </si>
  <si>
    <t>Weight 1-8kg, rough positioning</t>
  </si>
  <si>
    <t>Gewicht 1-8kg, lose platzieren</t>
  </si>
  <si>
    <t>Weight 1-8kg, loose positioning</t>
  </si>
  <si>
    <t>Gewicht 1-8kg, eng platzieren</t>
  </si>
  <si>
    <t>Weight 1-8kg, tight positioning</t>
  </si>
  <si>
    <t>Gewicht 8-22kg, ungefähr platzieren</t>
  </si>
  <si>
    <t>Weight 8-22kg, rough positioning</t>
  </si>
  <si>
    <t>Gewicht 8-22kg, lose platzieren</t>
  </si>
  <si>
    <t>Weight 8-22kg, loose positioning</t>
  </si>
  <si>
    <t>Gewicht 8-22kg, eng platzieren</t>
  </si>
  <si>
    <t>Weight 8-22kg, tight positioning</t>
  </si>
  <si>
    <t>Tab_ASY_PickandPlace_3</t>
  </si>
  <si>
    <t>Entfernung 20-50cm</t>
  </si>
  <si>
    <t>Tab_ASY_PickandPlace_4</t>
  </si>
  <si>
    <t>Entfernung 50-80cm</t>
  </si>
  <si>
    <t>AK3</t>
  </si>
  <si>
    <t>AN3</t>
  </si>
  <si>
    <t>Tab_ASY_Screwing_1</t>
  </si>
  <si>
    <t>Tab_ASY_Screwing_2</t>
  </si>
  <si>
    <t>von Hand</t>
  </si>
  <si>
    <t>Stecken und Gang suchen (eine Hand)</t>
  </si>
  <si>
    <t>Stick and search gear (one hand)</t>
  </si>
  <si>
    <t>Stecken und Gang suchen (zwei Hände)</t>
  </si>
  <si>
    <t>Stick and search gear (two hands)</t>
  </si>
  <si>
    <t>Stecken und eindrehen (eine Hand)</t>
  </si>
  <si>
    <t>Insert and turn (one hand)</t>
  </si>
  <si>
    <t>Stecken und eindrehen (zwei Hände)</t>
  </si>
  <si>
    <t>Insert and turn (two hands)</t>
  </si>
  <si>
    <t>Tab_ASY_Screwing_3</t>
  </si>
  <si>
    <t>Metrische Schrauben (M2,4-M14)</t>
  </si>
  <si>
    <t>Maschinenschrauber</t>
  </si>
  <si>
    <t>Machine screwdriver</t>
  </si>
  <si>
    <t>Drillschrauber</t>
  </si>
  <si>
    <t>Drill screwdriver</t>
  </si>
  <si>
    <t>Schraubendreher</t>
  </si>
  <si>
    <t>Screwdriver</t>
  </si>
  <si>
    <t>Ratsche</t>
  </si>
  <si>
    <t>Ratchet</t>
  </si>
  <si>
    <t>Gabelschlüssel</t>
  </si>
  <si>
    <t>Open-end wrench</t>
  </si>
  <si>
    <t>Tab_ASY_Screwing_4</t>
  </si>
  <si>
    <t>Blechschrauben (bis 6mm)</t>
  </si>
  <si>
    <t>Tab_ASY_Place_1</t>
  </si>
  <si>
    <t>Tab_ASY_Place_2</t>
  </si>
  <si>
    <t>ungefähr</t>
  </si>
  <si>
    <t>approximately</t>
  </si>
  <si>
    <t>lose</t>
  </si>
  <si>
    <t>loose</t>
  </si>
  <si>
    <t>eng</t>
  </si>
  <si>
    <t>tight</t>
  </si>
  <si>
    <t>Tab_ASY_Place_3</t>
  </si>
  <si>
    <t>Tab_ASY_Place_4</t>
  </si>
  <si>
    <t>PA3</t>
  </si>
  <si>
    <t>Tab_ASY_HandlingTools_1</t>
  </si>
  <si>
    <t>Tab_ASY_HandlingTools_2</t>
  </si>
  <si>
    <t>Tab_ASY_HandlingTools_3</t>
  </si>
  <si>
    <t>Tab_ASY_HandlingTools_4</t>
  </si>
  <si>
    <t>Tab_ASY_Operate_1</t>
  </si>
  <si>
    <t>Tab_ASY_Operate_2</t>
  </si>
  <si>
    <t>einfach</t>
  </si>
  <si>
    <t>simply</t>
  </si>
  <si>
    <t>zusammengesetzt</t>
  </si>
  <si>
    <t>composite</t>
  </si>
  <si>
    <t>Tab_ASY_Operate_3</t>
  </si>
  <si>
    <t>Tab_ASY_Operate_4</t>
  </si>
  <si>
    <t>Tab_ASY_MotionCycles_1</t>
  </si>
  <si>
    <t>Tab_ASY_MotionCycles_2</t>
  </si>
  <si>
    <t>eine Bewegung</t>
  </si>
  <si>
    <t>one movement</t>
  </si>
  <si>
    <t>Bewegungsfolge</t>
  </si>
  <si>
    <t>Movement sequence</t>
  </si>
  <si>
    <t>Umsetzen und eine Bewegung</t>
  </si>
  <si>
    <t>Repositioning and one movement</t>
  </si>
  <si>
    <t>Festmachen oder Lösen</t>
  </si>
  <si>
    <t>Tighten or loosen</t>
  </si>
  <si>
    <t>Tab_ASY_MotionCycles_3</t>
  </si>
  <si>
    <t>Tab_ASY_MotionCycles_4</t>
  </si>
  <si>
    <t>Tab_ASY_BodyMotion</t>
  </si>
  <si>
    <t>Gehen /m</t>
  </si>
  <si>
    <t>Walking /m</t>
  </si>
  <si>
    <t>KA</t>
  </si>
  <si>
    <t>Beugen, Bücken, Knien (incl. Aufrichten)</t>
  </si>
  <si>
    <t>Bending arm, bending down, kneeling (incl. straightening up)</t>
  </si>
  <si>
    <t>KB</t>
  </si>
  <si>
    <t>Setzen und Aufstehen</t>
  </si>
  <si>
    <t>Sitting down and standing up</t>
  </si>
  <si>
    <t>Tab_ASY_VisualCheck</t>
  </si>
  <si>
    <t>1 Prüfmerkmal</t>
  </si>
  <si>
    <t>1 Test characteristic</t>
  </si>
  <si>
    <t>2 Prüfmerkmale</t>
  </si>
  <si>
    <t>2 Test characteristics</t>
  </si>
  <si>
    <t>3 Prüfmerkmale</t>
  </si>
  <si>
    <t>3 Test characteristics</t>
  </si>
  <si>
    <t>4 Prüfmerkmale</t>
  </si>
  <si>
    <t>4 Test characteristics</t>
  </si>
  <si>
    <t>5 Prüfmerkmale</t>
  </si>
  <si>
    <t>5 Test characteristics</t>
  </si>
  <si>
    <t>6 Prüfmerkmale</t>
  </si>
  <si>
    <t>6 Test characteristics</t>
  </si>
  <si>
    <t>7 Prüfmerkmale</t>
  </si>
  <si>
    <t>7 Test characteristics</t>
  </si>
  <si>
    <t>8 Prüfmerkmale</t>
  </si>
  <si>
    <t>8 Test characteristics</t>
  </si>
  <si>
    <t>9 Prüfmerkmale</t>
  </si>
  <si>
    <t>9 Test characteristics</t>
  </si>
  <si>
    <t>10 Prüfmerkmale</t>
  </si>
  <si>
    <t>10 Test characteristics</t>
  </si>
  <si>
    <t>Tab_ASY_CheckingMeasuring_1</t>
  </si>
  <si>
    <t>Gauges (M-P)</t>
  </si>
  <si>
    <t>Tab_ASY_CheckingMeasuring_2</t>
  </si>
  <si>
    <t>Maß oder Form &lt;150mm</t>
  </si>
  <si>
    <t>Dimension or shape &lt;150mm</t>
  </si>
  <si>
    <t>Maß oder Form 150-500mm</t>
  </si>
  <si>
    <t>Dimension or shape 150-500mm</t>
  </si>
  <si>
    <t>Maß oder Form  500-2000mm</t>
  </si>
  <si>
    <t>Dimension or shape 500-2000mm</t>
  </si>
  <si>
    <t>Gewinde &lt;150mm</t>
  </si>
  <si>
    <t>Thread &lt;150mm</t>
  </si>
  <si>
    <t>Gewinde 150-500</t>
  </si>
  <si>
    <t>Thread 150-500</t>
  </si>
  <si>
    <t>Tab_ASY_CheckingMeasuring_3</t>
  </si>
  <si>
    <t>Maß prüfen &lt;150mm</t>
  </si>
  <si>
    <t>Check dimension &lt;150mm</t>
  </si>
  <si>
    <t>Maß prüfen 150-500mm</t>
  </si>
  <si>
    <t>Check dimension 150-500mm</t>
  </si>
  <si>
    <t>Maß ermitteln &lt;150mm</t>
  </si>
  <si>
    <t>Determine dimension &lt;150mm</t>
  </si>
  <si>
    <t>Maß ermitteln 150-500mm</t>
  </si>
  <si>
    <t>Determine dimension 150-500mm</t>
  </si>
  <si>
    <t>Tab_ASY_CheckingMeasuring_4</t>
  </si>
  <si>
    <t>ohne bewegliche Teile &lt;150mm</t>
  </si>
  <si>
    <t>without moving parts &lt;150mm</t>
  </si>
  <si>
    <t>ohne bewegliche Teile 150-500mm</t>
  </si>
  <si>
    <t>without moving parts 150-500mm</t>
  </si>
  <si>
    <t>ohne bewegliche Teile 500-2000mm</t>
  </si>
  <si>
    <t>without moving parts 500-2000mm</t>
  </si>
  <si>
    <t>mit beweglichen Teilen &lt;150mm</t>
  </si>
  <si>
    <t>with moving parts &lt;150mm</t>
  </si>
  <si>
    <t>mit beweglichen Teilen 150-500mm</t>
  </si>
  <si>
    <t>with moving parts 150-500mm</t>
  </si>
  <si>
    <t>Tab_ASY_CheckingMeasuring_5</t>
  </si>
  <si>
    <t>Messbereich &lt;150mm</t>
  </si>
  <si>
    <t>Measuring range &lt;150mm</t>
  </si>
  <si>
    <t>Messbereich 150-500mm</t>
  </si>
  <si>
    <t>Measuring range 150-500mm</t>
  </si>
  <si>
    <t>Tab_ASY_Marking</t>
  </si>
  <si>
    <t>Körner oder Schlagzahl (ohne Kontrolle)</t>
  </si>
  <si>
    <t>Center punch or embossing punch (without control)</t>
  </si>
  <si>
    <t>Körner oder Schlagzahl (mit Kontrolle)</t>
  </si>
  <si>
    <t>Center punch or embossing punch (with control)</t>
  </si>
  <si>
    <t>Zirkel (Durschmesser &lt;30mm)</t>
  </si>
  <si>
    <t>Compass (diameter &lt;30mm)</t>
  </si>
  <si>
    <t>Zirkel (Zuschlag für Einstellen)</t>
  </si>
  <si>
    <t>Compass (extra charge for setting)</t>
  </si>
  <si>
    <t>Schreibzeug (pro Zeichen)</t>
  </si>
  <si>
    <t>Pen (per character)</t>
  </si>
  <si>
    <t>Pinsel (pro Stelle)</t>
  </si>
  <si>
    <t>Brush (per character)</t>
  </si>
  <si>
    <t>Stempel (pro Stelle)</t>
  </si>
  <si>
    <t>Stamp (per digit)</t>
  </si>
  <si>
    <t>Tab_ASY_Treatment_1</t>
  </si>
  <si>
    <t>Tab_ASY_Treatment_2</t>
  </si>
  <si>
    <t>Druckluft, Bürste, Besen (10x10cm)</t>
  </si>
  <si>
    <t>Compressed air, brush, broom (10x10cm)</t>
  </si>
  <si>
    <t>Druckluft, Bürste, Besen (20x20cm)</t>
  </si>
  <si>
    <t>Compressed air, brush, broom (20x20cm)</t>
  </si>
  <si>
    <t>M-RAC</t>
  </si>
  <si>
    <t>Druckluft, Bürste, Besen (50x50cm)</t>
  </si>
  <si>
    <t>Compressed air, brush, broom (50x50cm)</t>
  </si>
  <si>
    <t>M-RAD</t>
  </si>
  <si>
    <t>Pinsel (10x10cm)</t>
  </si>
  <si>
    <t>Brush (10x10cm)</t>
  </si>
  <si>
    <t>Pinsel (20x20cm)</t>
  </si>
  <si>
    <t>Brush (20x20cm)</t>
  </si>
  <si>
    <t>Pinsel (50x50cm)</t>
  </si>
  <si>
    <t>Brush (50x50cm)</t>
  </si>
  <si>
    <t>Lappen, Tuch (10x10cm)</t>
  </si>
  <si>
    <t>Cloth (10x10cm)</t>
  </si>
  <si>
    <t>Lappen, Tuch (20x20cm)</t>
  </si>
  <si>
    <t>Cloth (20x20cm)</t>
  </si>
  <si>
    <t>Lappen, Tuch (50x50cm)</t>
  </si>
  <si>
    <t>Cloth (50x50cm)</t>
  </si>
  <si>
    <t>Tab_ASY_Treatment_3</t>
  </si>
  <si>
    <t>Pinsel, Ölkanne, Lappen, Tuch (Punkt)</t>
  </si>
  <si>
    <t>Brush, oil can, rag, cloth (dot)</t>
  </si>
  <si>
    <t>Pinsel, Ölkanne, Lappen, Tuch (10x10cm)</t>
  </si>
  <si>
    <t>Brush, oil can, rag, cloth (10x10cm)</t>
  </si>
  <si>
    <t>Pinsel, Ölkanne, Lappen, Tuch (20x20cm)</t>
  </si>
  <si>
    <t>Brush, oil can, rag, cloth (20x20cm)</t>
  </si>
  <si>
    <t>Pinsel, Ölkanne, Lappen, Tuch (50x50cm)</t>
  </si>
  <si>
    <t>Brush, oil can, rag, cloth (50x50cm)</t>
  </si>
  <si>
    <t>Spraydose (10x10cm)</t>
  </si>
  <si>
    <t>Spray can (10x10cm)</t>
  </si>
  <si>
    <t>Spraydose (20x20cm)</t>
  </si>
  <si>
    <t>Spray can (20x20cm)</t>
  </si>
  <si>
    <t>Spraydose (50x50cm)</t>
  </si>
  <si>
    <t>Spray can (50x50cm)</t>
  </si>
  <si>
    <t>Fettpresse (Punkt)</t>
  </si>
  <si>
    <t>Grease gun (dot)</t>
  </si>
  <si>
    <t>Rolle (10x10cm)</t>
  </si>
  <si>
    <t>Roll (10x10cm)</t>
  </si>
  <si>
    <t>Rolle (20x20cm)</t>
  </si>
  <si>
    <t>Roll (20x20cm)</t>
  </si>
  <si>
    <t>Rolle (50x50cm)</t>
  </si>
  <si>
    <t>Roll (50x50cm)</t>
  </si>
  <si>
    <t>Tab_ASY_Treatment_4</t>
  </si>
  <si>
    <t>Pinsel, Spachtel (Punkt)</t>
  </si>
  <si>
    <t>Brush, putty knife (point)</t>
  </si>
  <si>
    <t>Pinsel, Spachtel (10x10cm)</t>
  </si>
  <si>
    <t>Brush, putty knife (10x10cm)</t>
  </si>
  <si>
    <t>Pinsel, Spachtel (20x20cm)</t>
  </si>
  <si>
    <t>Brush, putty knife (20x20cm)</t>
  </si>
  <si>
    <t>Pinsel, Spachtel (50x50cm)</t>
  </si>
  <si>
    <t>Brush, putty knife (50x50cm)</t>
  </si>
  <si>
    <t>Tube, Stift (Punkt)</t>
  </si>
  <si>
    <t>Tube, pen (dot)</t>
  </si>
  <si>
    <t>Tube, Stift (10x10cm)</t>
  </si>
  <si>
    <t>Tube, pen (10x10cm)</t>
  </si>
  <si>
    <t>Tube, Stift (20x20cm)</t>
  </si>
  <si>
    <t>Tube, pen (20x20cm)</t>
  </si>
  <si>
    <t>Tube, Stift (50x50cm)</t>
  </si>
  <si>
    <t>Tube, pen (50x50cm)</t>
  </si>
  <si>
    <t>Tab_ASY_Treatment_5</t>
  </si>
  <si>
    <t>Hände reinigen/waschen</t>
  </si>
  <si>
    <t>Clean/wash hands</t>
  </si>
  <si>
    <t>Hände abwischen / abtrocknen</t>
  </si>
  <si>
    <t>Wipe / dry hands</t>
  </si>
  <si>
    <t>Tab_ASY_TighteningLoosening_1</t>
  </si>
  <si>
    <t>Tab_ASY_TighteningLoosening_2</t>
  </si>
  <si>
    <t>Klemmzange</t>
  </si>
  <si>
    <t>Clamp tongs</t>
  </si>
  <si>
    <t>Schraubzwinge</t>
  </si>
  <si>
    <t>Screw clamp</t>
  </si>
  <si>
    <t>Tab_ASY_TighteningLoosening_3</t>
  </si>
  <si>
    <t>Spannpratze</t>
  </si>
  <si>
    <t>Clamping claw</t>
  </si>
  <si>
    <t>M-FLA</t>
  </si>
  <si>
    <t>Spannhebel (manuell)</t>
  </si>
  <si>
    <t>Clamping lever (manual)</t>
  </si>
  <si>
    <t>M-FMA</t>
  </si>
  <si>
    <t>Spanhebel (pneumatisch)</t>
  </si>
  <si>
    <t>Clamping lever (pneumatic)</t>
  </si>
  <si>
    <t>M-FNA</t>
  </si>
  <si>
    <t>Schraubstock (ungefähr)</t>
  </si>
  <si>
    <t>Vise (approximate)</t>
  </si>
  <si>
    <t>Schraubstock (genau)</t>
  </si>
  <si>
    <t>Vise (exact)</t>
  </si>
  <si>
    <t>Backenfutter</t>
  </si>
  <si>
    <t>Jaw chuck</t>
  </si>
  <si>
    <t>Magnetplatte</t>
  </si>
  <si>
    <t>Magnetic plate</t>
  </si>
  <si>
    <t>Tab_ASY_Unpacking_1</t>
  </si>
  <si>
    <t>Tab_ASY_Unpacking_2</t>
  </si>
  <si>
    <t>von Hand (20x20xm)</t>
  </si>
  <si>
    <t>by hand (20x20xm)</t>
  </si>
  <si>
    <t>von Hand (50x50xm)</t>
  </si>
  <si>
    <t>by hand (50x50xm)</t>
  </si>
  <si>
    <t>von Hand (100x100xm)</t>
  </si>
  <si>
    <t>by hand (100x100xm)</t>
  </si>
  <si>
    <t>mit Werkzeug (20x20cm)</t>
  </si>
  <si>
    <t>with tool (20x20cm)</t>
  </si>
  <si>
    <t>mit Werkzeug (50x50cm)</t>
  </si>
  <si>
    <t>with tool (50x50cm)</t>
  </si>
  <si>
    <t>mit Werkzeug (100x100cm)</t>
  </si>
  <si>
    <t>with tool (100x100cm)</t>
  </si>
  <si>
    <t>Tab_ASY_Unpacking_3</t>
  </si>
  <si>
    <t>Vakuumpackung (20x20cm)</t>
  </si>
  <si>
    <t>Vacuum pack (20x20cm)</t>
  </si>
  <si>
    <t>Vakuumpackung (50x50cm)</t>
  </si>
  <si>
    <t>Vacuum pack (50x50cm)</t>
  </si>
  <si>
    <t>Folienpackung (20x20cm)</t>
  </si>
  <si>
    <t>Foil pack (20x20cm)</t>
  </si>
  <si>
    <t>Folienpackung (50x50cm)</t>
  </si>
  <si>
    <t>Foil package (50x50cm)</t>
  </si>
  <si>
    <t>Karton (20x20cm)</t>
  </si>
  <si>
    <t>Cardboard box (20x20cm)</t>
  </si>
  <si>
    <t>Karton (50x50cm)</t>
  </si>
  <si>
    <t>Cardboard box (50x50cm)</t>
  </si>
  <si>
    <t>Beutel Folie, Papier (20x20cm)</t>
  </si>
  <si>
    <t>Bag foil, paper (20x20cm)</t>
  </si>
  <si>
    <t>Beutel Folie, Papier (50x50cm)</t>
  </si>
  <si>
    <t>Bag foil, paper (50x50cm)</t>
  </si>
  <si>
    <t>Wellpappe, Papier (20x20cm)</t>
  </si>
  <si>
    <t>Corrugated cardboard, paper (20x20cm)</t>
  </si>
  <si>
    <t>Wellpappe, Papier (50x50cm)</t>
  </si>
  <si>
    <t>Corrugated cardboard, paper (50x50cm)</t>
  </si>
  <si>
    <t>Tab_ASY_AdhesiveApplication_1</t>
  </si>
  <si>
    <t>Label or sticker (M-K)</t>
  </si>
  <si>
    <t>Tab_ASY_AdhesiveApplication_2</t>
  </si>
  <si>
    <t>einzeln, ungefähr</t>
  </si>
  <si>
    <t>single, approximate</t>
  </si>
  <si>
    <t>einzeln, genau, ohne Schablone</t>
  </si>
  <si>
    <t>single, exact, without template</t>
  </si>
  <si>
    <t>einzeln, genau, mit Schablone</t>
  </si>
  <si>
    <t>single, exact, with template</t>
  </si>
  <si>
    <t>vom Spender, ungefähr</t>
  </si>
  <si>
    <t>from magazine, approximate</t>
  </si>
  <si>
    <t>vom Spender, genau, ohne Schablone</t>
  </si>
  <si>
    <t>from magazine, exact, without template</t>
  </si>
  <si>
    <t>vom Spender, genau, mit Schablone</t>
  </si>
  <si>
    <t>from magazine, exactly, with template</t>
  </si>
  <si>
    <t>von Karte, ungefähr</t>
  </si>
  <si>
    <t>from card, approximate</t>
  </si>
  <si>
    <t>von Karte, genau, ohne Schablone</t>
  </si>
  <si>
    <t>from card, exactly, without template</t>
  </si>
  <si>
    <t>von Karte, genau, mit Schablone</t>
  </si>
  <si>
    <t>from card, exactly, with template</t>
  </si>
  <si>
    <t>Tab_ASY_AdhesiveApplication_3</t>
  </si>
  <si>
    <t>ohne Schutzfolie (10x10cm)</t>
  </si>
  <si>
    <t>without protection foil (10x10cm)</t>
  </si>
  <si>
    <t>ohne Schutzfolie (20x20cm)</t>
  </si>
  <si>
    <t>without protection foil (20x20cm)</t>
  </si>
  <si>
    <t>ohne Schutzfolie (50x50cm)</t>
  </si>
  <si>
    <t>without protection foil (50x50cm)</t>
  </si>
  <si>
    <t>mit Schutzfolie (10x10cm)</t>
  </si>
  <si>
    <t>with protection foil (10x10cm)</t>
  </si>
  <si>
    <t>mit Schutzfolie (20x20cm)</t>
  </si>
  <si>
    <t>with protection foil (20x20cm)</t>
  </si>
  <si>
    <t>mit Schutzfolie (50x50cm)</t>
  </si>
  <si>
    <t>with protection foil (50x50cm)</t>
  </si>
  <si>
    <t>Tab_ASY_AdhesiveApplication_4</t>
  </si>
  <si>
    <t>einzeln oder vom Abroller Länge &lt;20cm</t>
  </si>
  <si>
    <t>single or from dispenser length &lt;20cm</t>
  </si>
  <si>
    <t>einzeln oder vom Abroller &lt;50cm</t>
  </si>
  <si>
    <t>single or from dispenser &lt;50cm</t>
  </si>
  <si>
    <t>mit Handabroller erste 50cm</t>
  </si>
  <si>
    <t>with hand dispenser first 50cm</t>
  </si>
  <si>
    <t>mit Handabroller weitere 50cm</t>
  </si>
  <si>
    <t>with hand dispenser further 50cm</t>
  </si>
  <si>
    <t>Tab_ASY_AssembleStandardParts</t>
  </si>
  <si>
    <t>mit einem Werkzeug (Spannhülse, Stift, Splint ...)</t>
  </si>
  <si>
    <t>with one tool (clamping sleeve, pin, split pin ...)</t>
  </si>
  <si>
    <t>mit zwei Werkzeugen (Splint, Stift, Doppelsplint ...)</t>
  </si>
  <si>
    <t>with two tools (split pin, pin, double split pin ...)</t>
  </si>
  <si>
    <t>Spezialwerkzeug (Seegerring, Blindniet ...)</t>
  </si>
  <si>
    <t>special tool (circlip, blind rivet ...)</t>
  </si>
  <si>
    <t>O-Ring ohne Werkzeug</t>
  </si>
  <si>
    <t>O-ring without tool</t>
  </si>
  <si>
    <t>O-Ring mit Werkzeug</t>
  </si>
  <si>
    <t>O-ring with tool</t>
  </si>
  <si>
    <t>Winkelgelenk ohne Werkzeug</t>
  </si>
  <si>
    <t>Angle joint without tool</t>
  </si>
  <si>
    <t>Winkelgelenk mit Werkzeug</t>
  </si>
  <si>
    <t>Angle joint with tool</t>
  </si>
  <si>
    <t>Sicherungsblech mit 2 Werkzeugen</t>
  </si>
  <si>
    <t>Locking plate with 2 tools</t>
  </si>
  <si>
    <t>Zykluszeitrechner Montage</t>
  </si>
  <si>
    <t>Montagegruppe</t>
  </si>
  <si>
    <t>Gewicht [kg]</t>
  </si>
  <si>
    <t>Jahresstückzahl</t>
  </si>
  <si>
    <t>Länge [mm]</t>
  </si>
  <si>
    <t>Kundentakt [s]</t>
  </si>
  <si>
    <t>Breite [mm]</t>
  </si>
  <si>
    <t>Höhe [mm]</t>
  </si>
  <si>
    <t>Anzahl Einzelteile</t>
  </si>
  <si>
    <t>Zykluszeit [s]</t>
  </si>
  <si>
    <t>OP</t>
  </si>
  <si>
    <t>Sub-Komponente</t>
  </si>
  <si>
    <t>Anzahl
BOM</t>
  </si>
  <si>
    <t>Gewicht 
[kg]</t>
  </si>
  <si>
    <t>Grundvorgang</t>
  </si>
  <si>
    <t>Unterkategorie 1</t>
  </si>
  <si>
    <t>Unterkategorie 2</t>
  </si>
  <si>
    <t>MTM
Code</t>
  </si>
  <si>
    <t>Einzelzeit
[s]</t>
  </si>
  <si>
    <t>Korrigiert
[s]</t>
  </si>
  <si>
    <t>Total time
[s]</t>
  </si>
  <si>
    <t>Parameter 1</t>
  </si>
  <si>
    <t>Parameter 2</t>
  </si>
  <si>
    <t>Parameter 3</t>
  </si>
  <si>
    <t>Ergebnis</t>
  </si>
  <si>
    <t>All worksheets</t>
  </si>
  <si>
    <t>ISO-Code</t>
  </si>
  <si>
    <t>ISO</t>
  </si>
  <si>
    <t>Hinzufügen des Clusters 'Supply Chain'</t>
  </si>
  <si>
    <t>Fehler behoben: Per Rechtsklick hinzugefügte Screenshots wurden manchmal nicht richtig gespeichert, wenn ein weiteres Object (Form, Steuerelement etc.) auf dem Blatt vorhanden ist</t>
  </si>
  <si>
    <t>Fehler behoben: Stunden pro Jahr wurde am Lieferant 2 für neue Maschinen (warum auch immer) nicht mitgezogen</t>
  </si>
  <si>
    <t>Fehler behoben: MGK-Satz Vorgabe wurde für Tier 2 und Tier 1 nicht angezogen</t>
  </si>
  <si>
    <t>Fehler behoben: Check - CheckQ Trennzeichen entsprechend neuer ACT-Q Logik von '-' zu '~' geändert</t>
  </si>
  <si>
    <t>Fehler behoben: Gewinnsatz abh. von den VVGK-Einstellungen statt von den Gewinn-Einstellungen im Reiter Premises</t>
  </si>
  <si>
    <t>Fehler behoben: Fehler in der Formel zur Berechnung der Arbeitsstunden pro Jahr für produktspezifische Maschinen ($ vergessen)</t>
  </si>
  <si>
    <t>6.1.7.007</t>
  </si>
  <si>
    <t>CO2: Für per LKW zurückgelegte Strecken wird die Luftlinie x 1,3 veranschlagt</t>
  </si>
  <si>
    <t>6.1.7.008</t>
  </si>
  <si>
    <t>Implementieren des neuen Montageschnellrechners</t>
  </si>
  <si>
    <t>6.1.7.009</t>
  </si>
  <si>
    <t>6.1.8</t>
  </si>
  <si>
    <t>Export: Erweiterung Export to PowerPoint Funktion: Results Overview</t>
  </si>
  <si>
    <t>XX</t>
  </si>
  <si>
    <t>Hinzufügen und Verlinken der Spalte "Arbeitstage pro Jahr"</t>
  </si>
  <si>
    <t>Hinzufügen der Spalte ISO-Code</t>
  </si>
  <si>
    <t>01-01-03 Part 1.3</t>
  </si>
  <si>
    <t>01-01-02 Part 1.2</t>
  </si>
  <si>
    <t>01-01-01 Part 1.1</t>
  </si>
  <si>
    <t>manuell</t>
  </si>
  <si>
    <t>auto</t>
  </si>
  <si>
    <t>manual</t>
  </si>
  <si>
    <t>Analysis Zahlenformat</t>
  </si>
  <si>
    <t>btnLogSync</t>
  </si>
  <si>
    <t>ED&amp;T</t>
  </si>
  <si>
    <t>LogisticsCopyToCalc</t>
  </si>
  <si>
    <t>Verpackungsmaterial</t>
  </si>
  <si>
    <t>#.##0,00</t>
  </si>
  <si>
    <t>Analysis: Über die Einstellungen (Zahnrad oben rechts) kann jetzt das Zahlenformat (und damit die Anzahl an Nachkommastellen) angepasst werden</t>
  </si>
  <si>
    <t>6.1.8.5</t>
  </si>
  <si>
    <t>Implementierung des Logistik-Moduls (BETA)</t>
  </si>
  <si>
    <t>6.1.8.005</t>
  </si>
  <si>
    <t>Kraftstoff</t>
  </si>
  <si>
    <t>Lizenz</t>
  </si>
  <si>
    <t>Lizensierung aktiviert</t>
  </si>
  <si>
    <t>InfoInit</t>
  </si>
  <si>
    <t>CO₂ Fert.
[%-Zuschlag]</t>
  </si>
  <si>
    <t>StraßeEnergie</t>
  </si>
  <si>
    <t>StraßePersonal</t>
  </si>
  <si>
    <t>StraßeSonstige</t>
  </si>
  <si>
    <t>Transportkosten See</t>
  </si>
  <si>
    <t>Transportkosten Schiene</t>
  </si>
  <si>
    <t>Transportkosten Luft</t>
  </si>
  <si>
    <t>Transportkosten Straße</t>
  </si>
  <si>
    <t>Pro Bauteil anfallende Kraftstoffkosten inkl. AdBlue</t>
  </si>
  <si>
    <t>Summe aller durch den Transport auf der Straße anfallenden Kosten pro Bauteil.</t>
  </si>
  <si>
    <t>Pro Bauteil anfallende sonstige Kosten.
Enthalten sind Kosten für Be- und Entladetätigkeiten, Maut, Reifenverschleiß, Öl, Inspektion und Wartung sowie sämtliche leistungsunabhängigen zeitabhängigen Kosten (kalk. AfA, Zinsen, Steuern, Versicherung, HU/AU/SP).</t>
  </si>
  <si>
    <t>Pro Bauteil anfallende Personalkosten.
Enthalten sind neben der reinen Lenkzeit auch Pausen- und Ruhezeiten.</t>
  </si>
  <si>
    <t>Region</t>
  </si>
  <si>
    <t>Zuschlag 
2-S [%]</t>
  </si>
  <si>
    <t>Zuschlag 
3-S [%]</t>
  </si>
  <si>
    <t>M1S</t>
  </si>
  <si>
    <t>F1S</t>
  </si>
  <si>
    <t>M2S</t>
  </si>
  <si>
    <t>F2S</t>
  </si>
  <si>
    <t>M3S</t>
  </si>
  <si>
    <t>F3S</t>
  </si>
  <si>
    <t>Z2S</t>
  </si>
  <si>
    <t>Z3S</t>
  </si>
  <si>
    <t>ABC</t>
  </si>
  <si>
    <t>UserDomain</t>
  </si>
  <si>
    <t>UserName</t>
  </si>
  <si>
    <t>Liste von Admins</t>
  </si>
  <si>
    <t>CO₂-Modul ist geladen</t>
  </si>
  <si>
    <t>Logistik-Modul ist geladen</t>
  </si>
  <si>
    <t>Werkzeugkosten-Modul ist geladen</t>
  </si>
  <si>
    <t>Entwicklungskosten-Modul ist geladen</t>
  </si>
  <si>
    <t>UserRole</t>
  </si>
  <si>
    <t>dummy.dummy</t>
  </si>
  <si>
    <t>spectator</t>
  </si>
  <si>
    <t>6.1.9.001</t>
  </si>
  <si>
    <t>Lizenzierung und EULA aktualisiert (Lizenzierung ist standardmäßig nicht aktviert)</t>
  </si>
  <si>
    <t>SeeTransport</t>
  </si>
  <si>
    <t>SeeContainerPacken</t>
  </si>
  <si>
    <t>Laden und Entladen des Containers</t>
  </si>
  <si>
    <t>Aktualisierung des Logistik-Moduls (BETA)</t>
  </si>
  <si>
    <t>Diverse kleine Fehlerbehebungen und Anpassungen</t>
  </si>
  <si>
    <t>6.1.9-002</t>
  </si>
  <si>
    <t>Dünzl, Dennis</t>
  </si>
  <si>
    <t>Höhe UserForm an aktiven Bildschirm angepasst (sonst abgeschnitten)</t>
  </si>
  <si>
    <t>Anpassungen Handlingsmatrix (Unprecise = Standard-Handling, Precise = Bestücken Maschine inkl. Spannen)</t>
  </si>
  <si>
    <t>Aufnehmen und Platzieren</t>
  </si>
  <si>
    <t>Platzieren (höherer Kontrollaufwand)</t>
  </si>
  <si>
    <t>Gehen [m]</t>
  </si>
  <si>
    <t>Körperbewegungen
 (Beugen, Bücken, Knien)</t>
  </si>
  <si>
    <t>Reinigen (Druckluft)
oder Lappen</t>
  </si>
  <si>
    <t>Festspannen</t>
  </si>
  <si>
    <t>Gesamtdauer [s]</t>
  </si>
  <si>
    <t>Beispiel</t>
  </si>
  <si>
    <t>QTY</t>
  </si>
  <si>
    <t>Zeit [s]</t>
  </si>
  <si>
    <t>Code</t>
  </si>
  <si>
    <t>Dauer [s]</t>
  </si>
  <si>
    <t>AC3</t>
  </si>
  <si>
    <t>Bestücken Lackierrack oder Maschine ohne Spannung</t>
  </si>
  <si>
    <t>Körperbewegungen
 (Gehen, Beugen, Bücken, Knien)</t>
  </si>
  <si>
    <t>Bearbeitungsraum öffnen</t>
  </si>
  <si>
    <t>Manuell</t>
  </si>
  <si>
    <t>Laden Werkzeugmaschine</t>
  </si>
  <si>
    <t>0 - 0,5</t>
  </si>
  <si>
    <t>1 - 8</t>
  </si>
  <si>
    <t>8 - 22</t>
  </si>
  <si>
    <t>22 - 50</t>
  </si>
  <si>
    <t>Informativ (alter Stand)</t>
  </si>
  <si>
    <t>6.1.9-004</t>
  </si>
  <si>
    <t>Initiale Formulargröße angepasst</t>
  </si>
  <si>
    <t>6.1.9-006</t>
  </si>
  <si>
    <t>AssemblyTemplate und Übersetzung angepasst</t>
  </si>
  <si>
    <t>Christoph Regensburger</t>
  </si>
  <si>
    <t>Wiederholung Montageschritt</t>
  </si>
  <si>
    <t>Repetitions assembly step</t>
  </si>
  <si>
    <t>QTY BOM</t>
  </si>
  <si>
    <t>Anzahl BOM</t>
  </si>
  <si>
    <t>Length [mm]</t>
  </si>
  <si>
    <t>Width [mm]</t>
  </si>
  <si>
    <t>Heigth [mm]</t>
  </si>
  <si>
    <t>QTY Sub-parts</t>
  </si>
  <si>
    <t>Basic operation</t>
  </si>
  <si>
    <t>Subcategory 1</t>
  </si>
  <si>
    <t>Subcategory 2</t>
  </si>
  <si>
    <t>Annual volume</t>
  </si>
  <si>
    <t>Customer cycle [s]</t>
  </si>
  <si>
    <t>Utilization</t>
  </si>
  <si>
    <t>Cycle time [s]</t>
  </si>
  <si>
    <t>Cycle time calculator assembly</t>
  </si>
  <si>
    <t>Assembly group</t>
  </si>
  <si>
    <t>Modul Layout AWS Standard (LayoutReset) - Ausblenden Gitternetzlinien &amp; Nullen in Kalkulationsblatt aufgenommen</t>
  </si>
  <si>
    <t>6.1.9-007</t>
  </si>
  <si>
    <t>Emissionsfaktor Strom konventionell</t>
  </si>
  <si>
    <t>Emissionsfaktor grüner Strom</t>
  </si>
  <si>
    <t>Emissionsfaktor Strom (Auswahl)</t>
  </si>
  <si>
    <r>
      <t>Kategorie CO</t>
    </r>
    <r>
      <rPr>
        <vertAlign val="subscript"/>
        <sz val="10"/>
        <rFont val="Arial Narrow"/>
        <family val="2"/>
        <scheme val="minor"/>
      </rPr>
      <t>2</t>
    </r>
    <r>
      <rPr>
        <sz val="10"/>
        <rFont val="Arial Narrow"/>
        <family val="2"/>
        <scheme val="minor"/>
      </rPr>
      <t xml:space="preserve"> Zuschlag</t>
    </r>
  </si>
  <si>
    <r>
      <t>Category CO</t>
    </r>
    <r>
      <rPr>
        <vertAlign val="subscript"/>
        <sz val="10"/>
        <rFont val="Arial Narrow"/>
        <family val="2"/>
        <scheme val="minor"/>
      </rPr>
      <t>2</t>
    </r>
    <r>
      <rPr>
        <sz val="10"/>
        <rFont val="Arial Narrow"/>
        <family val="2"/>
        <scheme val="minor"/>
      </rPr>
      <t xml:space="preserve"> Overhead</t>
    </r>
  </si>
  <si>
    <t>Emission factor Electricity (Selected)</t>
  </si>
  <si>
    <t>Emission factor green electricity</t>
  </si>
  <si>
    <t xml:space="preserve">Emission factor conventional electricity </t>
  </si>
  <si>
    <t>Zellen für Emissionsfaktoren für konventionell und Ökostrom angefügt (Zeile 81+82) + Übersetzung</t>
  </si>
  <si>
    <t>Textfarbe in Spalte R auf neutral gestellt, sodass CO2 Kategorie nicht immer sichtbar ist + Anpassung Funktion "LoadModule", dass Spalte eingefärbt und Breite angepasst wird, wenn CO2 Addin geladen wird</t>
  </si>
  <si>
    <t>Energieverbrauch</t>
  </si>
  <si>
    <t>CO₂ Fertigungsprozess</t>
  </si>
  <si>
    <t>Wärme</t>
  </si>
  <si>
    <t>ind. Verb.</t>
  </si>
  <si>
    <t>Trans.</t>
  </si>
  <si>
    <t>Büro</t>
  </si>
  <si>
    <r>
      <rPr>
        <sz val="10"/>
        <rFont val="Symbol"/>
        <family val="1"/>
        <charset val="2"/>
      </rPr>
      <t>S</t>
    </r>
    <r>
      <rPr>
        <sz val="10"/>
        <rFont val="Arial Narrow"/>
        <family val="2"/>
      </rPr>
      <t xml:space="preserve"> OH</t>
    </r>
  </si>
  <si>
    <t>Spalten für CO2 Auswertung angelegt (ED bis EO)</t>
  </si>
  <si>
    <t>Namen CO2MfgOverhead_S + CO2MfgOverhead_M + CO2MfgOverhead_L angelegt
Namen CO2LowLimitL + CO2LowLimitM angelegt
Namen für CO2MfgOverhead Split angelegt</t>
  </si>
  <si>
    <t>CO₂ Material</t>
  </si>
  <si>
    <t>Rohmat.</t>
  </si>
  <si>
    <t>CO₂ Fert.</t>
  </si>
  <si>
    <t>CO2-Fert-Zuschlag</t>
  </si>
  <si>
    <t>6.1.9-008</t>
  </si>
  <si>
    <t>TemplateRow</t>
  </si>
  <si>
    <t>Tabellenkopf Spalte O (O6) umbenannt in 'CO2-Fert-Zuschlag'</t>
  </si>
  <si>
    <t>Energy consumption</t>
  </si>
  <si>
    <t>Heat energy</t>
  </si>
  <si>
    <t>Ind. Cons.</t>
  </si>
  <si>
    <t>Office</t>
  </si>
  <si>
    <t>Factor</t>
  </si>
  <si>
    <t>Raw Mat.</t>
  </si>
  <si>
    <t>CO₂ Mfg.</t>
  </si>
  <si>
    <t>Translation</t>
  </si>
  <si>
    <t>Übersetzungen erweitert um CO2 Auswertung Begrifflichkeiten</t>
  </si>
  <si>
    <t>CO₂ Manufacturing process</t>
  </si>
  <si>
    <t>Bereich Kalkulation angepasst um CO2 Spalten (von ":EK" zu ":EV")
Module in vba: AnalysisExtractData; SyncCalc; CalcInsertFormulas</t>
  </si>
  <si>
    <t>6.1.9-009</t>
  </si>
  <si>
    <t>∑ Fert.</t>
  </si>
  <si>
    <t>∑ Mat.</t>
  </si>
  <si>
    <t>∑ Mfg.</t>
  </si>
  <si>
    <t>kWh/Stk</t>
  </si>
  <si>
    <t>kWh/pcs</t>
  </si>
  <si>
    <t>Formeln aus Template für CO2 Spalten gelöscht (werden über Addin/ vba eingefügt)</t>
  </si>
  <si>
    <t>Formeln aus Calculation für CO2 Spalten gelöscht (werden über Addin/ vba eingefügt)</t>
  </si>
  <si>
    <t>6.1.9-010</t>
  </si>
  <si>
    <t>Zellen für Emissionsfaktoren für konventionell und Ökostrom gelöscht (Zeile 81+82)</t>
  </si>
  <si>
    <t>gCO₂eq</t>
  </si>
  <si>
    <t>Einheiten für CO2 Auswertung angepasst (ED bis ER) (von "/Stk" gelöscht, da in Formel für Stromverbrauch wird nun Anzahl berücksichtigt)</t>
  </si>
  <si>
    <t>btnValuesCO2ClusterAnalysis</t>
  </si>
  <si>
    <t>CO2RefreshCO2ClusterScenarios</t>
  </si>
  <si>
    <t>Berechnet den CO2-Split für ein rein konventionelles Szenario und ein rein Öko-Strom Szenario. Fügt anschließend diese Ergebnisse als Werte im CO2 Cluster ein.</t>
  </si>
  <si>
    <t>Calculates the CO2 split for a purely conventional scenario and a purely green electricity scenario. Then insert these results as values in the CO2 cluster.</t>
  </si>
  <si>
    <t>XML</t>
  </si>
  <si>
    <t>6.1.9-011</t>
  </si>
  <si>
    <t>Informationen für Knopf "Werteübertrag CO2 Szenario" eingetragen + entsprechenden Knopf im XML Code hinterlegt</t>
  </si>
  <si>
    <t>Werte aktualisieren</t>
  </si>
  <si>
    <t>Refresh values</t>
  </si>
  <si>
    <t>Werte erneuern Szenarien CO2 Cluster</t>
  </si>
  <si>
    <t>Refresh values Scenarios CO2 Cluster</t>
  </si>
  <si>
    <t>Formulare</t>
  </si>
  <si>
    <t>6.1.9-012</t>
  </si>
  <si>
    <t>ClusterCO2</t>
  </si>
  <si>
    <t>Cluster CO2</t>
  </si>
  <si>
    <t>Premises CO2</t>
  </si>
  <si>
    <t>Prämissen CO2</t>
  </si>
  <si>
    <t>Documentation</t>
  </si>
  <si>
    <t>Anlage Hilfebereich für Sheet CO2 und ClusterCO2</t>
  </si>
  <si>
    <t>6.1.9-013</t>
  </si>
  <si>
    <t>In the CO2 tab, it is possible to define project-specific data. In addition to the emission values for the transport, it is possible to set up a supplier-specific energy mix. Furthermore, the surcharge structure of the indirect CO2 emissions can be adjusted.</t>
  </si>
  <si>
    <t>Im Reiter CO2 besteht die Möglichkeit projektspezfische Daten zu hinterlegen. Neben den Emissionswerten für den Transport besteht die Möglichkeit einen Lieferantenspezifschen Energiemix zu hinterlegen. Desweiteren kann die Zuschlagsstruktur der indirekten CO2-Aufwände angepasst werden.</t>
  </si>
  <si>
    <t xml:space="preserve">The CO2 emissions listed in the calculation can be subdivided line-by-line or block-by-block within clusters into different groups.
Three clusters are available, which can be subdivided into any number of groups. Emissions can be assigned to several clusters (e.g. the injection molding group in the production cluster and the plastics group in the material cluster), but can only belong to one group within a cluster.
The groups are created in the 'ClusterC02' tab and the emissions are assigned to the corresponding group in the 'Calculation' tab. Via the menu [ACT - Calculation - Columns - Cluster] the cluster columns can be displayed in the tab 'Calculation'.
Cell 'B5' can be used to control how CO2 emissions are displayed. By default (the cell is empty), CO2 emissions are displayed as a tier structure across the entire calculation. 
If a supplier is selected, the CO2 emissions are displayed from the point of view of this supplier.
Additionally, there is the possibility of an evaluation on scope level. </t>
  </si>
  <si>
    <t xml:space="preserve">Die in der Kalkulation aufgeführten CO2 Emissionen lassen sich zeilen- oder blockweise innerhalb von Clustern in verschiedene Gruppen unterteilen.
Es stehen drei Cluster zur Verfügung, die in beliebig viele Gruppen unterteilt werden können. Emissionen können mehreren Clustern zugeordnet werden (bspw. der Gruppe Spritzguss im Cluster Produktion und der Gruppe Kunststoffe im Cluster Material), können innerhalb eines Clusters aber immer nur einer Gruppe angehören.
Die Gruppen werden im Reiter 'ClusterC02' angelegt und die Emissionen im Reiter 'Calculation' der entsprechenden Gruppe zugeordnet. Über das Menü [ACT - Kalkulation - Spalten - Cluster] lassen sich die Cluster-Spalten im Reiter 'Calculation' einblenden.
Über die Zelle 'B5' lässt sich steuern, wie CO2 Emissionen dargestellt werden. Standardmäßig (die Zelle ist leer) werden CO2 Emissionen über die komplette Kalkulation als Tier-Struktur dargestellt. 
Wird in ein Lieferant ausgewählt, stellen sich die CO2 Emissionen aus Sicht dieses Lieferanten dar.
Zusätzlich besteht die Möglichkeit einer Auswertung auf Scope Ebene. </t>
  </si>
  <si>
    <t>Detailinformation für Hilfe - Sheet CO2 und ClusterCO2</t>
  </si>
  <si>
    <t>6.1.9-014</t>
  </si>
  <si>
    <t>ED</t>
  </si>
  <si>
    <t>Here, the machine's power consumption is calculated using the machine's connected load and other information such as cycle time and parts per cycle.</t>
  </si>
  <si>
    <t xml:space="preserve">Hier wird mithilfe des Anschlusswertes der Maschine sowie weiterfürenden Informationen wie Zykluszeit und Teile pro Zyklus der Stromverbrauch der Maschine berechnet. </t>
  </si>
  <si>
    <t>EE</t>
  </si>
  <si>
    <t xml:space="preserve">Calculates the gas consumption of the machine using the connected load of the machine and other information such as cycle time and parts per cycle. </t>
  </si>
  <si>
    <t xml:space="preserve">Hier wird mithilfe des Anschlusswertes der Maschine sowie weiterfürenden Informationen wie Zykluszeit und Teile pro Zyklus der Gasverbrauch der Maschine berechnet. </t>
  </si>
  <si>
    <t>EF</t>
  </si>
  <si>
    <t>Machine gCO2-eq</t>
  </si>
  <si>
    <t>Maschine gCO2-eq</t>
  </si>
  <si>
    <t>EG</t>
  </si>
  <si>
    <t>Heat gCO2-eq</t>
  </si>
  <si>
    <t>Here the indirect CO2 emissions for heat are calculated.
Machine-specific indirect emissions x percentage share of heat in total emissions.
The matrix for the overhead structure can be found in the tab "CO2""</t>
  </si>
  <si>
    <t>Wärme gCO2-eq</t>
  </si>
  <si>
    <t>EH</t>
  </si>
  <si>
    <t>ind. Consumption gCO2-eq</t>
  </si>
  <si>
    <t>Here, the indirect CO2 emissions are calculated for indirect consumption
Machine-specific indirect emissions x percentage of indirect consumption in total emissions.
The matrix for the overhead structure can be found in the CO2" tab.</t>
  </si>
  <si>
    <t>ind. Verbr. gCO2-eq</t>
  </si>
  <si>
    <t>EI</t>
  </si>
  <si>
    <t>Transport gCO2-eq</t>
  </si>
  <si>
    <t>The indirect CO2 emissions for transport are calculated here
Machine-specific indirect emissions x percentage share of transport in total emissions.
The matrix for the overhead structure can be found in the "CO2" tab.</t>
  </si>
  <si>
    <t>EJ</t>
  </si>
  <si>
    <t>Office gCO2-eq</t>
  </si>
  <si>
    <t>The indirect CO2 emissions for office space are calculated here
Machine-specific indiect emissions x percentage of office space in total emissions.
The matrix for the overhead structure can be found in the "CO2" tab.</t>
  </si>
  <si>
    <t>Büro gCO2-eq</t>
  </si>
  <si>
    <t>EL</t>
  </si>
  <si>
    <t>Here the sum of the CO2 emissions of the production is calculated. 
Total manufacturing= machine gCO2-eq + overhead gCO2-eq</t>
  </si>
  <si>
    <t>Summe Fertigung gCO2-eq</t>
  </si>
  <si>
    <t>Hier wird die Summe der CO2 Emissionen der Fertigung berechnet. 
Summe Fertigung= Maschine gCO2-eq + Overhead gCO2-eq</t>
  </si>
  <si>
    <t>EM</t>
  </si>
  <si>
    <t>Factor gCO2-eq</t>
  </si>
  <si>
    <t>Shows the CO2 factor for the material used in the calculation.
Example: PP 2.87 CO₂ [kg/unit]</t>
  </si>
  <si>
    <t>Faktor gCO2-eq</t>
  </si>
  <si>
    <t>Zeigt den CO2 Faktor für das in der Kalkulation verwendete Material an.
Beispiel: PP 2,87 CO₂ [kg/Einheit]</t>
  </si>
  <si>
    <t>Rohmaterial gCO2-eq</t>
  </si>
  <si>
    <t>EO</t>
  </si>
  <si>
    <t>CO2 Fertigung gCO2-eq</t>
  </si>
  <si>
    <t>EP</t>
  </si>
  <si>
    <t>Summe Material gCO2-eq</t>
  </si>
  <si>
    <t>EQ</t>
  </si>
  <si>
    <t>CO2 Logistics gCO2-eq</t>
  </si>
  <si>
    <t>CO2 Logistik gCO2-eq</t>
  </si>
  <si>
    <t>ER</t>
  </si>
  <si>
    <t>CO2 Total gCO2-eq</t>
  </si>
  <si>
    <t>Emissionszuschlag für Fertigungsprozesse von Kaufteilen.</t>
  </si>
  <si>
    <t>Emission surcharge for manufacturing processes of purchased parts.</t>
  </si>
  <si>
    <t>Machine cost</t>
  </si>
  <si>
    <t>Machine costs incl. scrap</t>
  </si>
  <si>
    <t>"Machining cost" geändert in "Machine costs"</t>
  </si>
  <si>
    <t>6.1.9-015</t>
  </si>
  <si>
    <t>Reihenfolge englische Übersetzung LOC Kopfzeile aktualisiert - Skilled/ Unskilled mit 1/2/3 Shifts</t>
  </si>
  <si>
    <t>6.1.9-016</t>
  </si>
  <si>
    <t>EBOM</t>
  </si>
  <si>
    <t>PCB Typ</t>
  </si>
  <si>
    <t>Preis pro dm²</t>
  </si>
  <si>
    <t>Pin Dichte [pads/cm²]</t>
  </si>
  <si>
    <t>Lötzinn Verbrauch (Masse in g)</t>
  </si>
  <si>
    <t>Projekt-Faktor</t>
  </si>
  <si>
    <t>Ausnutzungsgrad (%)</t>
  </si>
  <si>
    <t>Klassifizierung</t>
  </si>
  <si>
    <t>Typ</t>
  </si>
  <si>
    <t>Bauteilbeschriftung</t>
  </si>
  <si>
    <t>Anzahl 
gesamt</t>
  </si>
  <si>
    <t>SMD/THT</t>
  </si>
  <si>
    <t>Hersteller</t>
  </si>
  <si>
    <t>Hersteller Teilenummer</t>
  </si>
  <si>
    <t>Referenz-Hersteller Teilenummer</t>
  </si>
  <si>
    <t>Anzahl der Pins</t>
  </si>
  <si>
    <t>Gehäuse / Dimension</t>
  </si>
  <si>
    <t>Einkaufsvolumen</t>
  </si>
  <si>
    <t>Toleranz</t>
  </si>
  <si>
    <t>Recherchierter Preis</t>
  </si>
  <si>
    <t>Recherche Datum</t>
  </si>
  <si>
    <t>faktorisierter Einzelpreis</t>
  </si>
  <si>
    <t>Preis Oberseite</t>
  </si>
  <si>
    <t>Preis Unterseite</t>
  </si>
  <si>
    <t>Kommentar</t>
  </si>
  <si>
    <t>Lötzinn, Pb-frei</t>
  </si>
  <si>
    <t>OBERSEITE</t>
  </si>
  <si>
    <t>Passiv</t>
  </si>
  <si>
    <t>Kondensator / Induktivität / Ferrit</t>
  </si>
  <si>
    <t>Kondensator</t>
  </si>
  <si>
    <t>SMD</t>
  </si>
  <si>
    <t>Induktivität / Ferrit</t>
  </si>
  <si>
    <t>Widerstand</t>
  </si>
  <si>
    <t>Halbleiter</t>
  </si>
  <si>
    <t>Diode / Transistor</t>
  </si>
  <si>
    <t>UNTERSEITE</t>
  </si>
  <si>
    <t>Gesamt / Summe</t>
  </si>
  <si>
    <t>THT-radial</t>
  </si>
  <si>
    <t>THT-axial</t>
  </si>
  <si>
    <t>THT-manuell</t>
  </si>
  <si>
    <t>sonstiges "Vogelfutter"</t>
  </si>
  <si>
    <t>größere Standardteile</t>
  </si>
  <si>
    <t>IC+Steckverbinder</t>
  </si>
  <si>
    <t>IC</t>
  </si>
  <si>
    <t>Steckverbinder</t>
  </si>
  <si>
    <t>Oszillator</t>
  </si>
  <si>
    <t>Elektromechanik</t>
  </si>
  <si>
    <t>Elektrolykondensator</t>
  </si>
  <si>
    <t>Optoelektronik</t>
  </si>
  <si>
    <t>Tantalkondensator</t>
  </si>
  <si>
    <t>Sensor</t>
  </si>
  <si>
    <t>Induktor</t>
  </si>
  <si>
    <t>Group</t>
  </si>
  <si>
    <t>Type</t>
  </si>
  <si>
    <t>Marking on component</t>
  </si>
  <si>
    <t>Quantity 
Top Side</t>
  </si>
  <si>
    <t>Quantity 
Total</t>
  </si>
  <si>
    <t>Manufacturer</t>
  </si>
  <si>
    <t>Manufacturer 
Part Number</t>
  </si>
  <si>
    <t>Reference 
Part Number</t>
  </si>
  <si>
    <t>No of Pins/Pads</t>
  </si>
  <si>
    <t>Package / Dimension</t>
  </si>
  <si>
    <t>Purchasing Volume</t>
  </si>
  <si>
    <t>Researched Price</t>
  </si>
  <si>
    <t>Factorized Single Price</t>
  </si>
  <si>
    <t>Price Top Side</t>
  </si>
  <si>
    <t>Price Bottom Side</t>
  </si>
  <si>
    <t>Comment</t>
  </si>
  <si>
    <t>TOP SIDE</t>
  </si>
  <si>
    <t>BOTTOM SIDE</t>
  </si>
  <si>
    <t>Annual Volume</t>
  </si>
  <si>
    <t>Total Price</t>
  </si>
  <si>
    <t>PCB type</t>
  </si>
  <si>
    <t>Price per dm²</t>
  </si>
  <si>
    <t>Pad density [pads/cm²]</t>
  </si>
  <si>
    <t>Solder tin usage (weight in g)</t>
  </si>
  <si>
    <t>Total / Sum</t>
  </si>
  <si>
    <t>Passive</t>
  </si>
  <si>
    <t>Semiconductor</t>
  </si>
  <si>
    <t>Connector</t>
  </si>
  <si>
    <t>Electromechanical</t>
  </si>
  <si>
    <t>Optoelectronic</t>
  </si>
  <si>
    <t>[andere]</t>
  </si>
  <si>
    <t>[other]</t>
  </si>
  <si>
    <t>Diode</t>
  </si>
  <si>
    <t>Transistor 3-4P</t>
  </si>
  <si>
    <t>Transistor 5-6P</t>
  </si>
  <si>
    <t>THT-manual</t>
  </si>
  <si>
    <t>Yield Rate</t>
  </si>
  <si>
    <t>other bead parts</t>
  </si>
  <si>
    <t>bigger standard components</t>
  </si>
  <si>
    <t>IC+Connectors</t>
  </si>
  <si>
    <t>Solder tin, Pb-free</t>
  </si>
  <si>
    <t>Project factor</t>
  </si>
  <si>
    <t>Search date</t>
  </si>
  <si>
    <t>Tolerance</t>
  </si>
  <si>
    <t>Capacitor / Inductance / Ferrite</t>
  </si>
  <si>
    <t>Capacitor</t>
  </si>
  <si>
    <t>Inductance / Ferrite</t>
  </si>
  <si>
    <t>Resistor</t>
  </si>
  <si>
    <t>Electrolytcapacitor</t>
  </si>
  <si>
    <t>Tantalcapacitor</t>
  </si>
  <si>
    <t>Inductor</t>
  </si>
  <si>
    <t>Oscillator</t>
  </si>
  <si>
    <t>Ausnutzungsgrad</t>
  </si>
  <si>
    <t>Begriffe der EBOM hinzugefügt</t>
  </si>
  <si>
    <t>6.1.9-017</t>
  </si>
  <si>
    <t>Erklärungen für EBOM hinzugefügt</t>
  </si>
  <si>
    <t>VBA Modul: Display</t>
  </si>
  <si>
    <t>Function DisplaySetHelp
IF-Abfrage hinzugefügt, ob es sich bei Ausgewählten Blatt um eine EBOM handelt
Wenn EBOM oder E-BOM im Namen enthalten ist, greif auf EBOM Hilfe-Texte auf Sheet Documentation zurück</t>
  </si>
  <si>
    <t>VBA Modul: Translation</t>
  </si>
  <si>
    <t>Sub TranslationInit
Hinzufügen einer Abfrage, ob es sich bei dem Blatt um eine EBOM handelt -&gt; wenn ja führe EBOM Übersetzung aus
Neues Sub: TranslateEBOM
Übersetzungslogik einer EBOM</t>
  </si>
  <si>
    <t>PCBLänge</t>
  </si>
  <si>
    <t>PCBBreite</t>
  </si>
  <si>
    <t>Flächenpreis</t>
  </si>
  <si>
    <t>PinDichte</t>
  </si>
  <si>
    <t>LötzinnVerbrauch</t>
  </si>
  <si>
    <t>SMD_THT</t>
  </si>
  <si>
    <t>Gehäuse_Dimension</t>
  </si>
  <si>
    <t>Quantity 
Bottom Side</t>
  </si>
  <si>
    <t>Anzahl 
Oberseite</t>
  </si>
  <si>
    <t>Anzahl 
Unterseite</t>
  </si>
  <si>
    <t>Hersteller 
Teilenummer</t>
  </si>
  <si>
    <t>Package_Dimension</t>
  </si>
  <si>
    <t>Yield Rate (%)</t>
  </si>
  <si>
    <t>PCBLength</t>
  </si>
  <si>
    <t>PCBWidth</t>
  </si>
  <si>
    <t>PCBType</t>
  </si>
  <si>
    <t>PCBPrice</t>
  </si>
  <si>
    <t>PinDensity</t>
  </si>
  <si>
    <t>Solder tin</t>
  </si>
  <si>
    <t>Pin Density [pads/cm²]</t>
  </si>
  <si>
    <t>Solder tin, Pb-free (mass in g)</t>
  </si>
  <si>
    <t>$C$3</t>
  </si>
  <si>
    <t>$H$3</t>
  </si>
  <si>
    <t>$J$3</t>
  </si>
  <si>
    <t>$K$3</t>
  </si>
  <si>
    <t>$L$3</t>
  </si>
  <si>
    <t>$M$3</t>
  </si>
  <si>
    <t>$N$3</t>
  </si>
  <si>
    <t>$O$3</t>
  </si>
  <si>
    <t>$T$3</t>
  </si>
  <si>
    <t>$W$3</t>
  </si>
  <si>
    <t>Die Klassifizierung des Bauteils in einer der Gruppen Passive, Halbleiter, IC, Oszillatoren, Steckverbinder, Elektromechanik, Optoelektronik, Sensor und Andere.
Klassifizeriung ist festgelegt und keine Abweichung von dieser möglich.</t>
  </si>
  <si>
    <t>Beschreibung des Bauteiltyps. Hier kann aus der Auswahl ein Wert verwendet werden oder selbst ein Bauteiltyp definiert werden. 
Die mögliche Auswahl ist lautet: Kondensator / Induktivität / Ferrit, Kondensator, Induktivität / Ferrit, Widerstand, Diode / Transistor, Elektrolykondensator, Tantalkondensator, Induktor und Oszillator.</t>
  </si>
  <si>
    <t>Die identifizierbare Bauteilbeschriftung wird hier eingetragen. Dies soll eine Zuordnung der EBOM Zeile zu der entsprechenden Komponente erleichtern.</t>
  </si>
  <si>
    <t>Die Anzahl an Komponenten, welche auf der Oberseite für ein bestimmten Bauteiltyp erkannt und gezählt wurde.</t>
  </si>
  <si>
    <t>Die Anzahl an Komponenten, welche auf der Unterseite für ein bestimmten Bauteiltyp erkannt und gezählt wurde.</t>
  </si>
  <si>
    <t>Gesamte Anzahl an Komponenten, welche auf der Oberseite und Unterseite für ein bestimmten Bauteiltyp erkannt und gezählt wurde.</t>
  </si>
  <si>
    <t>Kategorisierung, ob es sich um ein Bauteil handelt, welches per SMD- oder THT-Verfahren auf der Platine montiert wurde.
SMD = Surface mount Device (Oberflächenmontage)
THT = Through hole Technology (Durchlochmontage)</t>
  </si>
  <si>
    <t>Beschreibung des Bauteils. Hier können Informationen aus der Online-Recherche hinterlegt werden, die das Bauteil beschreiben. 
Beispielhaft können dies die Speichergröße oder die Rechenleistung eines ICs sein.</t>
  </si>
  <si>
    <t>WICHTIG: Zeile nur befüllen, wenn exakte Information für das Bauteil vorliegt! Keine Referenzkomponente hier notieren!
Hersteller der Bauteilkomponente.</t>
  </si>
  <si>
    <t>WICHTIG: Zeile nur befüllen, wenn exakte Information für das Bauteil vorliegt! Keine Referenzkomponente hier notieren!
Teilnenummer der Bauteilkomponente.</t>
  </si>
  <si>
    <t>Falls exakte Komponente nicht in der Recherche gefunden werden konnte, aber auf Basis vorliegender Informationen eine Referenz ausgewählt werden konnte, wird die Teilenummer der Referenz hier eingetragen.</t>
  </si>
  <si>
    <t>Anzahl der Pins der Komponente oder Anzahl der Verbindungspunkte zwischen Komponente und Platine.</t>
  </si>
  <si>
    <t>Gehäusetyp der Komponente. Mögliche Auswahlgrößen sind für die Standardkomponenten hinterlegt und können ausgewählt werden.
Eingabe von Länge/Breite der Komponente möglich oder des Codes für den Gehäusetyp.</t>
  </si>
  <si>
    <t>Preisquelle ist hier einzutragen. Im Falle einer Internetrecherche ist hier der Link einzutragen. Stammt der Preis aus der AWS Datenbank wird hier "Shortlist" oder "Standard" ausgewählt.
Preise aus der AWS Datenbank sind für hohe Stückzahlen hinterlegt. Eine Faktorisierung ist für diese Komponenten nicht vorgesehen (Faktor nimmt Wert 1 an)</t>
  </si>
  <si>
    <t>WICHTIG: Preisfaktorisierung beruht auf 1.000 Stk. Wenn möglich, immer Preise für eine angebotene Stückzahl von 1.000 Stk recherchieren.
Das Einkaufsvolumen, für welches die Komponente in der Internetrecherche angeboten wird. Basis für die Ermittlung des Preisfaktors.</t>
  </si>
  <si>
    <t>Grundsätzlich beruhen AWS Datenbankpreise auf eine Durchschnittliche Toleranzverteilung. Diese kann hier für die Standardkomponenten angepasst werden durch Eingabe des exakten Bauteiltoleranzwertes.</t>
  </si>
  <si>
    <t>Der Preis, welcher in der Internetrecherche gefunden wurde (Wenn möglich, immer Preise für eine angebotene Stückzahl von 1.000 Stk hier eintragen)</t>
  </si>
  <si>
    <t>Projekt-Faktor, welcher über das AWS Tool ermittelt wurde. Hängt von den Elementen Sourcing-Region, Gesamtvolumen, Firmengröße des Kunden, Branche, Projektattraktivität und Marktmacht ab.</t>
  </si>
  <si>
    <t>Degressionfaktor. Beruht auf einer Stückzahlfunktion, welche auf 1.000 Stk normiert ist.</t>
  </si>
  <si>
    <t>Multiplikation aus Projekt-Faktor, (Degressions-)Faktor und Preis</t>
  </si>
  <si>
    <t>Multiplikation aus Anzahl Oberseite mal den faktorisierten Preis</t>
  </si>
  <si>
    <t>Multiplikation aus Anzahl Unterseite mal den faktorisierten Preis</t>
  </si>
  <si>
    <t>Summe aus Preis Oberseite und Unterseite.</t>
  </si>
  <si>
    <t>Das Datum, an welchem der Preis recherchiert wurde.</t>
  </si>
  <si>
    <t>Kommentar, welcher hinterlegt werden kann. Hier sollte zum Beispiel erklärt werden, warum eine Referenzkomponente ausgewählt wurde.</t>
  </si>
  <si>
    <t>The classification of the component in one of the groups Passive, Semiconductor, IC, Oscillator, Connector, Electromechanical, Optoelectronic, Sensor and Other.
Classification is fixed and no deviation from it is possible.</t>
  </si>
  <si>
    <t>Description of the component type. Here you can use a value from the selection or define a component type yourself. 
The possible selection is: capacitor / inductor / ferrite, capacitor, inductor / ferrite, resistor, diode / transistor, electrolytic capacitor, tantalum capacitor, inductor and oscillator.</t>
  </si>
  <si>
    <t>The identifiable component label is entered here. This is to facilitate an assignment of the EBOM line to the corresponding component.</t>
  </si>
  <si>
    <t>The number of components identified and counted on the top for a given component type.</t>
  </si>
  <si>
    <t>The number of components that have been detected and counted on the bottom side for a specific component type.</t>
  </si>
  <si>
    <t>Total number of components detected and counted on the top and bottom for a given part type.</t>
  </si>
  <si>
    <t xml:space="preserve"> Categorization whether the component was mounted on the board by SMD or THT method.
SMD = Surface mount Device (Surface mount)
THT = Through hole Technology (through hole mounting).</t>
  </si>
  <si>
    <t>Description of the component. Information from the online search can be stored here that describes the component. 
For example, this can be the memory size or the computing power of an IC.</t>
  </si>
  <si>
    <t>IMPORTANT: Only fill in the line if exact information is available for the component! Do not write down a reference component here!
Manufacturer of the component part.</t>
  </si>
  <si>
    <t>IMPORTANT: Fill in line only if exact information for the component is available! Do not enter a reference component here!
Part number of the component.</t>
  </si>
  <si>
    <t>If exact component could not be found in the search, but a reference could be selected based on available information, the part number of the reference is entered here.</t>
  </si>
  <si>
    <t>Number of pins of the component or number of connection points between component and board.</t>
  </si>
  <si>
    <t xml:space="preserve"> Package type of the component. Possible selection sizes are stored for the standard components and can be selected.
Input of length/width of the component possible or the code for the package type.</t>
  </si>
  <si>
    <t>Price source is to be entered here. In case of internet research, the link is to be entered here. If the price comes from the AWS database, "Shortlist" or "Standard" is selected here.
Prices from the AWS database are stored for high quantities. Factorization is not provided for these components (factor takes value 1)</t>
  </si>
  <si>
    <t>IMPORTANT: Price factorization is based on 1,000 pcs. If possible, always research prices for an offered quantity of 1,000 pcs.
The purchase volume for which the component is offered in the Internet search. Basis for determining the price factor.</t>
  </si>
  <si>
    <t>Basically, AWS database prices are based on an average tolerance distribution. This can be adjusted here for the standard components by entering the exact component tolerance value.</t>
  </si>
  <si>
    <t>The price found in the internet search (If possible, always enter prices for an offered quantity of 1,000 pcs here).</t>
  </si>
  <si>
    <t>The date when the price was researched.</t>
  </si>
  <si>
    <t>Project factor, which was determined via the AWS tool. Depends on the elements sourcing region, total volume, company size of the customer, industry, project attractiveness and market power.</t>
  </si>
  <si>
    <t>Degression Factor. Based on a unit count function normalized to 1,000 pcs.</t>
  </si>
  <si>
    <t>Multiplication of project factor, (degression) factor and price.</t>
  </si>
  <si>
    <t>Multiplication of number of topsides times the factorized price.</t>
  </si>
  <si>
    <t>Multiplication of number of bottom side times the factorized price</t>
  </si>
  <si>
    <t>Sum of price top side and bottom side.</t>
  </si>
  <si>
    <t>Comment, which can be deposited. Here, for example, it should be explained why a reference component was selected.</t>
  </si>
  <si>
    <t>Gesamtpreis aller Komponenten aus der EBOM (Ober- und Unterseite). Auf diese Zelle wird der Materialpreis auf dem Blatt "MAT" verknüpft.</t>
  </si>
  <si>
    <t>Volumen, auf welches die Faktorisierung basiert. Kann auf die Stückzahl des entsprechenden Lieferanten auf dem Blatt Prämissen verknüpft werden.</t>
  </si>
  <si>
    <t>Länge der Platine in mm.</t>
  </si>
  <si>
    <t>Breite der Platine in mm.</t>
  </si>
  <si>
    <t>Typ der Platine. Handelt es sich um eine Standard Platine, um eine Alu-Kern Platine oder um eine Platine mit hoher Dichte (High Density Interconnect Board - HDI)</t>
  </si>
  <si>
    <t>Flächen Preis, welcher aus der AWS Datenbank stammt. Berechnung der Platinenkosten ohne Bestückung. Abhängig von der Kupferlagen-Anzahl.</t>
  </si>
  <si>
    <t>Errechneter Wert, welcher basiert auf der Fläche der Platine und der Anzahl an Lötkontakten (Spalte Anzahl der Pins multipliziert mit der Anzahl an Komponenten).</t>
  </si>
  <si>
    <t>Annahme für die Lötverbindung: jeweils 1mm für Länge und Breite. Dicke der Lötverbindung 0,2mm.
Dichte Lötstoff ist 8,4.
Errechneter Wert, welcher basiert auf den Annahmen, der Fläche der Platine und der Anzahl an Lötkontakten (Spalte Anzahl der Pins multipliziert mit der Anzahl an Komponenten).</t>
  </si>
  <si>
    <t>Zentrale Eingabe für den Projekt-Faktor.</t>
  </si>
  <si>
    <t>Prozentuale Ausnutzungsrate. Berücksichtigung des Verschnitt, der bei der Herstellung der Platine anfällt. Wird über den AWS Schnellrechner ermittelt.</t>
  </si>
  <si>
    <t>Total price of all components from the EBOM (top and bottom). To this cell is linked the material price on the sheet "MAT".</t>
  </si>
  <si>
    <t>Volume on which the factorization is based. Can be linked to the number of pieces of the corresponding supplier on the Premises sheet.</t>
  </si>
  <si>
    <t>Length of the board in mm.</t>
  </si>
  <si>
    <t>Width of the blank in mm.</t>
  </si>
  <si>
    <t>Type of the board. Is it a standard board, an aluminum core board or a high density interconnect board (HDI)?</t>
  </si>
  <si>
    <t>Area price, which is taken from the AWS database. Calculation of board cost without assembly. Depends on the number of copper layers.</t>
  </si>
  <si>
    <t>Calculated value, which is based on the area of the board and the number of solder contacts (column number of pins multiplied by the number of components).</t>
  </si>
  <si>
    <t xml:space="preserve"> Assumption for the solder joint: 1mm each for length and width. Thickness of the solder joint 0.2mm.
Density of solder is 8.4.
Calculated value, which is based on the assumptions, the area of the board and the number of solder contacts (column number of pins multiplied by the number of components).</t>
  </si>
  <si>
    <t>Central input for the project factor.</t>
  </si>
  <si>
    <t>Percentage utilization rate. Consideration of waste generated in the manufacture of the board. Determined via the AWS quick calculator.</t>
  </si>
  <si>
    <t>VBA Modul: Premisses</t>
  </si>
  <si>
    <t>Function PremisesAddNewSupplier, Suche der Endposition ("x") in Zeile 6 statt 5
Hinzufügen "x" auf Blatt MHR in Endposition Zeile 6</t>
  </si>
  <si>
    <t>6.1.9-018</t>
  </si>
  <si>
    <t>btnRefreshCO2SourceClusterAnalysis</t>
  </si>
  <si>
    <t>CO2UpdateClusterCO2ScenariosFormula</t>
  </si>
  <si>
    <t>Refresh link to Calculation</t>
  </si>
  <si>
    <t>Aktualisiere Verknüpfung zu Kalkulation</t>
  </si>
  <si>
    <t>Refresh link to calculation in CO2 Cluster</t>
  </si>
  <si>
    <t>Updates the link of all cells in the sheet CO2 Cluster and deposits in them the currently relevant range in the calculation.</t>
  </si>
  <si>
    <t>Link zur Kalkulation im CO2-Cluster aktualisieren</t>
  </si>
  <si>
    <t>Aktualisiert die Verknüpfung aller Zellen im Blatt CO2 Cluster und hinterlegt in diesen den aktuell relevanten Bereich in der Kalkulation.</t>
  </si>
  <si>
    <t>Hinzufügen Knopfbeschriftung CO2 Update Kalkulationsbereich</t>
  </si>
  <si>
    <t>6.1.9-019</t>
  </si>
  <si>
    <t>Hinzufügen Dokumentation für Beschreibung Logistik-Emissionen und Scope 1-3</t>
  </si>
  <si>
    <t>Absoulte Zuordnung je Scope</t>
  </si>
  <si>
    <t>ScopeMasch.</t>
  </si>
  <si>
    <t>ScopeWärme</t>
  </si>
  <si>
    <t>Scope_indVerb</t>
  </si>
  <si>
    <t>ScopeTrans.</t>
  </si>
  <si>
    <t>ScopeBüro</t>
  </si>
  <si>
    <t>Scope ∑ FOH</t>
  </si>
  <si>
    <t>Scope ∑ Fert.</t>
  </si>
  <si>
    <t>Scope Dmat</t>
  </si>
  <si>
    <t>Scope Fert. Z.</t>
  </si>
  <si>
    <t>Scope ∑ Mat.</t>
  </si>
  <si>
    <t>Scope Log.</t>
  </si>
  <si>
    <t>ScopeTotal</t>
  </si>
  <si>
    <t>ScopeTotalTier2</t>
  </si>
  <si>
    <t>ScopeTotalTier1</t>
  </si>
  <si>
    <t>ScopeSum</t>
  </si>
  <si>
    <t>Emissions generated for transporting goods between suppliers. Based on distance, required means of transport and weight of the component.
IMPORTANT: exWorks in case of the Tier-1 supplier, i.e. all emissions for logistics are attributed to the supplier supplied.</t>
  </si>
  <si>
    <t>Emissionen, die für den Transport der Ware zwischen den Lieferanten entsteht. Basierend auf Strecke, benötigtes Transportmittel und Gewicht des Bauteils.
WICHTIG: Annahme von exWorks im Falle des (Vor-)Lieferanten, d.h. alle Emissionen für die Logistik werden dem belieferten Lieferanten zugerechnet.</t>
  </si>
  <si>
    <t>Logistics emissions</t>
  </si>
  <si>
    <t>Logistik-Emissionen</t>
  </si>
  <si>
    <t>Emissions Scope Description</t>
  </si>
  <si>
    <t>Emissions Scope Erklärung</t>
  </si>
  <si>
    <t>Ribbon Code Bereich CO2</t>
  </si>
  <si>
    <t>Weiteren Knopf hinzugefügt, um CO2 Cluster an Kalkulation anzupassen</t>
  </si>
  <si>
    <t>XML Module</t>
  </si>
  <si>
    <t>GetVisible - Sichtbarkeit Knopf CO2 Cluster Anpassung Kalk hinzugefügt
OnActionButton - Verknüpfung zu Knopf hergestellt (btnRefreshCO2SourceClusterAnalysis)</t>
  </si>
  <si>
    <t>Übertrag MGK &amp; RFGK; wenn Wert 0 als Prämisse eingetragen, dann übertrage "", sonst übertrage den Eingegeben RFGK/MGK Wert in Kalkulation</t>
  </si>
  <si>
    <t>6.1.9-020</t>
  </si>
  <si>
    <t>Tier 2 Emissionen</t>
  </si>
  <si>
    <t>Tier 2 emissions</t>
  </si>
  <si>
    <t>Tier 1 emissions</t>
  </si>
  <si>
    <t>Tier 1 Emissionen</t>
  </si>
  <si>
    <t>TotalTier2</t>
  </si>
  <si>
    <t>TotalTier1</t>
  </si>
  <si>
    <t>Hinzufügen Dokumentation für Beschreibung der Tier-1 und Tier-2 Emissionen</t>
  </si>
  <si>
    <t>6.1.9-021</t>
  </si>
  <si>
    <t>Alle Emissionen, welche in der 2ten Tierstufe für die Fertigung und für den Materialeinsatz des Teils verursacht werden.
WICHTIG: Annahme von exWorks im Falle des Tier-2 Lieferanten, d.h. alle Emissionen für die Logistik (von Tierstufe 2 zu 1) werden von dem belieferten Lieferanten (Tier 1) getragen.
WICHTIG: Wenn ein Teil in der 2ten Tierstufe gefertigt wird und in der ersten Tierstufe ohne Bearbeitung anschließend nur weitergegeben wird (z.B. 3-2-1), werden die gesamten Logistik-Emissionen der 1ten Tierstufe zugerechnet.</t>
  </si>
  <si>
    <t>Alle Emissionen, welche in der 1ten Tierstufe verursacht werden sowie die Logistik-Emissionen, welche entstehen, wenn das Teil von der zweiten zu der ersten Tierstufe transportiert wird.
WICHTIG: Wenn ein Teil in der 2ten Tierstufe gefertigt wird und in der ersten Tierstufe ohne Bearbeitung anschließend nur weitergegeben wird (z.B. 3-2-1), werden die gesamten Logistik-Emissionen der 1ten Tierstufe zugerechnet.</t>
  </si>
  <si>
    <t>All emissions caused in the 2nd tier for the manufacturing and for the material use of the part.
IMPORTANT: Acceptance of exWorks in case of Tier 2 supplier, i.e. all emissions for logistics (from Tier 2 to 1) are borne by the supplied supplier (Tier 1).
IMPORTANT: If a part is manufactured in Tier 2 and is subsequently just passed on in Tier 1 without processing (e.g. 3-2-1), all logistics emissions are attributed to Tier 1.</t>
  </si>
  <si>
    <t>All emissions generated in the 1st tier plus the logistics emissions generated when the part is transported from the 2nd tier to the 1st tier.
IMPORTANT: If a part is manufactured in the 2nd tier and then only passed on in the 1st tier without processing (e.g. 3-2-1), the total logistics emissions are attributed to the 1st tier.</t>
  </si>
  <si>
    <t>Pfad POT</t>
  </si>
  <si>
    <t>Default-Pfad POT</t>
  </si>
  <si>
    <t>Hinzugefügt Parameter  8005, 8015 &amp; 8033 für AWS Potentialdatenbank</t>
  </si>
  <si>
    <t>6.1.9-022</t>
  </si>
  <si>
    <t>AssemblyData</t>
  </si>
  <si>
    <t>Anpassen Assembly-Datenbank bzgl. MTM-Codes</t>
  </si>
  <si>
    <t>6.1.9-023</t>
  </si>
  <si>
    <t>AssemblyTemplate</t>
  </si>
  <si>
    <t>Entfernen von Detail-Spalten Zykluszeit
Hinzufügen Worksheet_Change Makro, welches Zeiten einfügt, falls ACT-X aktiv ist</t>
  </si>
  <si>
    <t>VBA Modul: Assembly</t>
  </si>
  <si>
    <t>Hinzufügen der Logik um Zeiten ein Assembly-Sheet (A-Sheet) einzufügen</t>
  </si>
  <si>
    <t>Anpassung Formel Errechnung MSS. Hinzugefügt, dass die tatsächlichen Nutzungsstunden berücksichtigt werden, wenn die Auswahl SpezBEMI getätigt wurde</t>
  </si>
  <si>
    <t>Verb. Mat.</t>
  </si>
  <si>
    <t>CO₂ Logistik</t>
  </si>
  <si>
    <t>Schiff</t>
  </si>
  <si>
    <t>Flugzeug</t>
  </si>
  <si>
    <t>Zug</t>
  </si>
  <si>
    <t>Transportmittel</t>
  </si>
  <si>
    <t>Means of transport</t>
  </si>
  <si>
    <t>Ship</t>
  </si>
  <si>
    <t>Train</t>
  </si>
  <si>
    <t>CO₂ Logistics</t>
  </si>
  <si>
    <t>Truck</t>
  </si>
  <si>
    <t>Übersetzung der neuen CO2 Auswertungsspalten hinzugefügt</t>
  </si>
  <si>
    <t>Erklärungen für die CO2 Auswertungsspalten hinzugefügt</t>
  </si>
  <si>
    <t>6.1.9-024</t>
  </si>
  <si>
    <t>offen</t>
  </si>
  <si>
    <t>CO2_Wä</t>
  </si>
  <si>
    <t>CO2_Ma</t>
  </si>
  <si>
    <t>CO2_i. V.</t>
  </si>
  <si>
    <t>CO2_T</t>
  </si>
  <si>
    <t>CO2_B</t>
  </si>
  <si>
    <t>CO2_OH</t>
  </si>
  <si>
    <t>CO2_Fert.</t>
  </si>
  <si>
    <t>CO2_Fak</t>
  </si>
  <si>
    <t>CO2_Mat</t>
  </si>
  <si>
    <t>CO2 MatF</t>
  </si>
  <si>
    <t>CO2_V</t>
  </si>
  <si>
    <t>CO2_Mat.</t>
  </si>
  <si>
    <t>Transportart</t>
  </si>
  <si>
    <t>6.1.9-025</t>
  </si>
  <si>
    <t>Plane</t>
  </si>
  <si>
    <t>Erweitertung der CO2 Auswertungsspalten um 
(1) Material-Emissionen: Verbrauchsmaterialien
(2) Logistik-Emissionen: Split je Transportmittel
(3) Name für Dropdown (CO2Transportarten)</t>
  </si>
  <si>
    <t>Daten-Verknüpfung zu Routes gelöscht</t>
  </si>
  <si>
    <t>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t>
  </si>
  <si>
    <t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t>
  </si>
  <si>
    <t>Korrigiert 
[s]</t>
  </si>
  <si>
    <t>Einzelzeit 
[s]</t>
  </si>
  <si>
    <t>Corrected 
[s]</t>
  </si>
  <si>
    <t>Single time 
[s]</t>
  </si>
  <si>
    <t>Gesamtzeit
[s]</t>
  </si>
  <si>
    <t>Weight 
[kg]</t>
  </si>
  <si>
    <t>Anpassung vba Modul Translation - Übersetzungsroutine für Assembly-Blätter hinzugefügt</t>
  </si>
  <si>
    <t>Anpassungen vba Modul Assembly - Offset für Spalten in Datenquelle an jeweilige Spalte (DE/EN) angepasst</t>
  </si>
  <si>
    <t>6.1.9-026</t>
  </si>
  <si>
    <t>Dropdowns angepasst, sodass Werte aus jeweiliger Sprachenspalte angezogen werden</t>
  </si>
  <si>
    <t>Transponse Spaltenbereich erweitert bis Spalte "FL"</t>
  </si>
  <si>
    <t>VBA Modul: Sync</t>
  </si>
  <si>
    <t>6.1.9-027</t>
  </si>
  <si>
    <t>ACT-P</t>
  </si>
  <si>
    <t>ACT-P (Potential calculation)</t>
  </si>
  <si>
    <t>Loads the ACT-P Addin and provides the corresponding functions.</t>
  </si>
  <si>
    <t>ACT-P (Potentialerkennung)</t>
  </si>
  <si>
    <t>Lädt das ACT-P Addin und stellt die entsprechenden Funktionen bereit.</t>
  </si>
  <si>
    <t>grpPot</t>
  </si>
  <si>
    <t>mnuPot</t>
  </si>
  <si>
    <t>btnPotAnalysis</t>
  </si>
  <si>
    <t>Potential calculation</t>
  </si>
  <si>
    <t>Potentialkalkulation</t>
  </si>
  <si>
    <t>Starten den Potentialerkennungs und -kalkulationsprozess. 
Analysiert auf Basis der gespeicherten Potentialregeln, welche dieser Regeln in der aktuell vorliegenden Kalkulation anwendbar sind und ermittelt das erreichbare Potential.</t>
  </si>
  <si>
    <t>Start the potential recognition and calculation process. 
Based on the stored potential rules, analyzes which of these rules are applicable in the currently available calculation and determines the achievable potential.</t>
  </si>
  <si>
    <t>6.1.9-028</t>
  </si>
  <si>
    <t>Implementierung der Logiken, um das ACT-P zu starten
(1) Hinterlegen der Buttons und Gruppen für ACT-P Ladevorgang sowie iniitieren des Kalkulationsprozesses
(2) Hinterlegen der Informationen zu den Buttons und Gruppen für das ACT-P im XML Blatt</t>
  </si>
  <si>
    <t>VBA Modul: XML</t>
  </si>
  <si>
    <t>Hinzufügen der Funktionalitäten für die ACT-P Knöpfe</t>
  </si>
  <si>
    <t>\\wts\02 DATA\02 WD\01 Kalkulationstools\01 Teilekosten\01 ACT\POT\</t>
  </si>
  <si>
    <t>pinitPotCalcAndDetection</t>
  </si>
  <si>
    <t>ACT-P zulassen</t>
  </si>
  <si>
    <t>cbxAddinP</t>
  </si>
  <si>
    <t>6.1.9-029</t>
  </si>
  <si>
    <t>ACT-P Mindestrating</t>
  </si>
  <si>
    <t>btnOpenPotDb</t>
  </si>
  <si>
    <t>cbxPotLearning</t>
  </si>
  <si>
    <t>Cost Down Coach</t>
  </si>
  <si>
    <t>Open Potential database</t>
  </si>
  <si>
    <t>Öffne Potential-Datenbank</t>
  </si>
  <si>
    <t>Status Rückkopplung</t>
  </si>
  <si>
    <t>Opens an overview of the available potentials for the different technologies.</t>
  </si>
  <si>
    <t>Eröffnet einen Überblick über die verfügbaren Potentiale der verschiedenen Technologien.</t>
  </si>
  <si>
    <t>Status loopback</t>
  </si>
  <si>
    <t>Erlaubt das Zurückspielen der Ergebnisse in die Potential-Datenbank.</t>
  </si>
  <si>
    <t>Allows the results to be restored to the potential database.</t>
  </si>
  <si>
    <t>Settings &amp; XML</t>
  </si>
  <si>
    <t>Hinzufügen Parameter 8035: Mindest-Rating ACT-P &amp; Vorhalten Buttons in Ribbon für ACT-P Bedienung sowie Texte XML Sheet</t>
  </si>
  <si>
    <t>ACT-P Rückkopplung ermöglichen</t>
  </si>
  <si>
    <t>Premises &amp; TemplateColumn</t>
  </si>
  <si>
    <t>Änderungen an den Formeln für die Vorschlagewerte pro Lieferanten
Arbeitstage sowie kalk. Zins wurde mit Wechselkurs multipliziert -&gt; Multiplikation entfernt</t>
  </si>
  <si>
    <t>6.1.9-030</t>
  </si>
  <si>
    <t>Formel in Spalte variable Kosten angepasst -&gt; Instandhaltung &amp; Verbrauchsmaterialien im Verhältnis zwischen 4800 Stunden (Basis) und tatsächliche Stunden je Lieferant korrigiert</t>
  </si>
  <si>
    <t>6.1.9-031</t>
  </si>
  <si>
    <t>Bug "SporadischerVBA-Fehler beim Hinzufügen eines dritten Lieferanten" behoben</t>
  </si>
  <si>
    <t>Bug-Fixing: Formel in Spalte variable Kosten angepasst -&gt; Instandhaltung &amp; Verbrauchsmaterialien im Verhältnis zwischen 4800 Stunden (Basis) und tatsächliche Stunden je Lieferant korrigiert</t>
  </si>
  <si>
    <t>6.1.9-032</t>
  </si>
  <si>
    <t>Übersetzung "Visual check" zu "Visual control"</t>
  </si>
  <si>
    <t>6.1.9-033</t>
  </si>
  <si>
    <t>Bug "Sporadischer VBA-Fehler beim Hinzufügen eines dritten Lieferanten": Nach dem zweitem erfolglosem Versuch wird das Hinzufügen rückgängig gemacht und ein Hinweis ausgegeben, es nochmal zu versuchen</t>
  </si>
  <si>
    <t>VBA: Funktionen IsAdminDomain And IsAdminOrUser hinzugefügt, PathExists angepasst</t>
  </si>
  <si>
    <t>Analysis: Fehler behoben: Werden nachträglich Änderungen in der BOM vorgenommen und Synchronisiert, wird der Analysis-Dialog nun korrekt aktualisiert</t>
  </si>
  <si>
    <t>ACT-Q: Fehler behoben: Wird in der Spalte Material Extra ein fester Wert (ohne Formel) eingetragen, führt dies nun nicht mehr zu einem VBA-Fehler</t>
  </si>
  <si>
    <t>UserForms ACT, ACT-X. ACT-Q: Funktion GetUserFormZoom hinzugefügt, Breite und Höhe fixiert</t>
  </si>
  <si>
    <t>UserForms ACT, ACT-X: Maximale Höhe auf 90 % der Bildschirmhöhe festgelegt, UserForms entsprechend angepasst</t>
  </si>
  <si>
    <t>UserForms ACT, ACT-X: Anpassen der Position gleichzeitig mit der Höhe, wenn die UserForm eingeblendet wird</t>
  </si>
  <si>
    <t>Performance</t>
  </si>
  <si>
    <t>grpPerformance</t>
  </si>
  <si>
    <t>Update formulas</t>
  </si>
  <si>
    <t>Formeln aktualisieren</t>
  </si>
  <si>
    <t>tgbPerformance1</t>
  </si>
  <si>
    <t>Formulas in rows</t>
  </si>
  <si>
    <t>Formeln in Zeilen</t>
  </si>
  <si>
    <t>For each row, only those formulas are kept that are required according to the row type.
The following row types are distinguished and automatically recognized: Process, Material, Complete (Process + Material) and Empty.
Attention: If the row type changes by filling a cell, the formulas must be updated manually.</t>
  </si>
  <si>
    <t>Für jede Zeile werden nur die Formeln vorgehalten, die entsprechend des Zeilentypes benötigt werden.
Es werden folgende Zeilentypen unterschieden und automatisch erkannt: Prozess, Material, Komplett (Prozess + Material) und Leer.
Achtung: Ändert sich durch Befüllen einer Zelle der Zeilentyp, müssen die Formeln manuell aktualisiert werden.</t>
  </si>
  <si>
    <t>tgbPerformance2</t>
  </si>
  <si>
    <t>Formulas in columns</t>
  </si>
  <si>
    <t>Formeln in Spalten</t>
  </si>
  <si>
    <t xml:space="preserve">Formulas are only kept in the columns that are visible or required according to the current settings.
If columns are shown or hidden via the menu or settings (e.g. the SGnA calculation) are modified, the formulas are updated accordingly. </t>
  </si>
  <si>
    <t xml:space="preserve">Es werden nur in den Spalten Formeln vorgehalten, die sichtbar sind oder entsprechend der aktuellen Einstellungen benötigt werden.
Werden Spalten über das Menü ein- oder ausgeblendet oder Einstellungen  (bspw. die VVGK-Berechnung) verändert, werden die Formeln entsprechend aktualisiert. </t>
  </si>
  <si>
    <t>B0</t>
  </si>
  <si>
    <t>btnCalcUpdate</t>
  </si>
  <si>
    <t>sprCalcUpdate</t>
  </si>
  <si>
    <t>6.1.9-034</t>
  </si>
  <si>
    <t>ACT Performance implementiert: Steht zunächst nur Admins zum Testen zur Verfügung</t>
  </si>
  <si>
    <t>btn_sbtCalculate</t>
  </si>
  <si>
    <t>Calculate</t>
  </si>
  <si>
    <t>btnCalculateAlt</t>
  </si>
  <si>
    <t>tgbCalculate1</t>
  </si>
  <si>
    <t>tgbCalculate2</t>
  </si>
  <si>
    <t>Calculate this workbook</t>
  </si>
  <si>
    <t>Diese Arbeitsmappe neu berechnen</t>
  </si>
  <si>
    <t>btnCalculateAll</t>
  </si>
  <si>
    <t>Calculate all workbooks</t>
  </si>
  <si>
    <t>Automatisch</t>
  </si>
  <si>
    <t>Automatisch berechnen</t>
  </si>
  <si>
    <t>Manuell berechnen</t>
  </si>
  <si>
    <t>Berechnen</t>
  </si>
  <si>
    <t>CalculateAll</t>
  </si>
  <si>
    <t>Formeln</t>
  </si>
  <si>
    <t>Formulas</t>
  </si>
  <si>
    <t>tgbCalculate3</t>
  </si>
  <si>
    <t>Automatic</t>
  </si>
  <si>
    <t>Automatic (this workbook only)</t>
  </si>
  <si>
    <t>Automatisch (nur diese Arbeitsmappe)</t>
  </si>
  <si>
    <t>Automatisch berechnen (nur diese Arbeitsmappe)</t>
  </si>
  <si>
    <t>Manual</t>
  </si>
  <si>
    <t>Calculate this workbook only</t>
  </si>
  <si>
    <t>ACT Performance Teil 2 - Berechnung: Template sheets (RowTemplate etc.) werden gar nicht, sekundäre sheets (Analysis, Cluster) nur berechnet, wenn diese eingeblendet sind. EditMode wurde entfernt und eine neue Option zur Berechnung hinzugefügt: "Automatisch (nur diese Arbeitsmappe)".</t>
  </si>
  <si>
    <t>ACT Performance Teil 1 - Formeln: je Zeile werdenje nach Zeilentyp (Produktion, Material, komplett, leer) nur benötigte Formeln vorgehalten, in ausgeblendeten Spalten werden keine Formeln vorgehalten</t>
  </si>
  <si>
    <t>Anpassungen ACT-Ribbon: Button "Edit Mode" entfernt, Gruppe "Performance" erweitert, Menü "Export" in Gruppe "Erweitert" verschoben, Gruppe "Export" aufgelöst</t>
  </si>
  <si>
    <t>UpdateCalcRows</t>
  </si>
  <si>
    <t>Synchronisiert die Struktur der BOM und der Kalkulation miteinander.
Der Pfeil oben in der Mitte (&gt; bzw. &lt;) zeigt die Richtung an, in die synchronisiert wird. Durch Klicken auf diesen wird die Richtung umgekehrt. 
In der Regel sollte die BOM den Absprung bilden und die Kalkulation entsprechend dieser aufgebaut werden (&gt;).
Die farbliche Markierung zeigt an, was mit der BOM-Zeile bzw. dem Kalkulationsblock passiert:
orange: wird gelöscht und neu erstellt
schwarz: bleibt erhalten
grün: existiert nicht und wird neu erstellt
rot: wird gelöscht
blau: wird verschoben
grau: existiert nicht und wird nicht erstellt
Durch Doppelkilck auf einzelne Zeilen kann die Synchronisation für diese umgekehrt werden (grün wird zu rot bzw. rot zu grün) oder eine bereits vorhandene Zelle zum Überschreiben markiert werden (schwarz wird zu orange).
Durch Doppelklick auf 'redo' oder 'remain' werden die selektierten Zeilen entsprechend markiert. Sind weniger als zwei Zeilen ausgewählt, werden stattdessen alle Zeilen entsprechend markiert.
Wenn Auto-Backup aktiviert ist (ist standardmäßig der Fall), wird vor jeder Synchronisation eine Sicherheitskopie erstellt.</t>
  </si>
  <si>
    <t>Synchronizes the structure of the BOM and the calculation with each other.
The arrow at the top center (&gt; or &lt;) indicates the direction in which synchronization is performed. Clicking on it reverses the direction. 
As a rule, the BOM should form the take-off and the calculation should be built up according to it (&gt;).
The color marking shows what happens to the BOM line or the calculation block:
orange: is deleted and recreated
black: remains
green: does not exist and will be created again
red: will be deleted
blue: will be moved
gray: does not exist and will not be created
By double-clicking on individual rows, the synchronization for these can be reversed (green becomes red or red becomes green) or an already existing cell can be marked for overwriting (black becomes orange).
By double-clicking on 'redo' or 'remain' selected lines will be marked accordingly. If less than two lines are selected, all lines will be marked accordingly instead.
If auto-backup is enabled (it is by default), a backup copy is created before each synchronization.</t>
  </si>
  <si>
    <t>Export: Multi-Supplier-Template: Fehler behoben, bei dem VVGK und Gewinn nicht angezeigt wurden, wenn diese für Wertschöpfung und Material getrennt betrachtet werden.</t>
  </si>
  <si>
    <t>Sync: Synchronisation kann jetzt abgebrochen werden (ohne dass die Kalkulation Schaden nimmt), UserForm öffnet sich deutlich schneller, Synchronisation läuft für große Kalkulationen deutlich schneller</t>
  </si>
  <si>
    <t>Row type</t>
  </si>
  <si>
    <t>CalculateThisWorkbookOnlyCallback</t>
  </si>
  <si>
    <t>mnuPerformance</t>
  </si>
  <si>
    <t>btnPerformanceUpdate</t>
  </si>
  <si>
    <t>tgbPerformance3</t>
  </si>
  <si>
    <t>tgbPerformance21</t>
  </si>
  <si>
    <t>tgbPerformance22</t>
  </si>
  <si>
    <t>Alle Formeln</t>
  </si>
  <si>
    <t>Keine Formeln</t>
  </si>
  <si>
    <t>mnuPerformance2</t>
  </si>
  <si>
    <t>Nur notwendige Formeln</t>
  </si>
  <si>
    <t>All formulas</t>
  </si>
  <si>
    <t>No Formulas</t>
  </si>
  <si>
    <t>Only necessary formulas</t>
  </si>
  <si>
    <t>Calculation: Nur notwendige Formeln: Zeilen</t>
  </si>
  <si>
    <t>Calculation: Nur notwendige Formeln: Spalten</t>
  </si>
  <si>
    <t>Calculation: Formeln (A= alle Formeln, B = nur notwendige Formeln, C = keine Formeln)</t>
  </si>
  <si>
    <t>Es werden nur notwendige Formeln vorgehalten.
Für jede Zeile werden nur die Formeln vorgehalten, die entsprechend des Zeilentypes benötigt werden.
Es werden nur in den Spalten Formeln vorgehalten, die sichtbar sind oder entsprechend der aktuellen Einstellungen benötigt werden.
Achtung: Bei sehr großen Kalkulationen kann der Wechsel in diesen Modus einige Zeit in Anspruch nehmen!</t>
  </si>
  <si>
    <t>Sämtliche Formeln in den Formelzellen (grau) der Kalkulation werden entfernt. Von Hand eingetragene Werte und Formeln (weiße Zellen) bleiben erhalten.
Dadurch wird das Einfügen und Entfernen von Zeilen sowie das Befüllen der Kalkulation deutlich beschleunigt.
Achtung: Bei sehr großen Kalkulationen kann der Wechsel in diesen Modus einige Zeit in Anspruch nehmen!</t>
  </si>
  <si>
    <t>Sämtliche Formeln in Zeilen und Spalten werden vorgehalten.
Achtung: Bei sehr großen Kalkulationen kann der Wechsel in diesen Modus einige Zeit in Anspruch nehmen!</t>
  </si>
  <si>
    <t>Alles neu berechnen</t>
  </si>
  <si>
    <t>Alles und alle Arbeitsmappen neu berechnen</t>
  </si>
  <si>
    <t>Calculate everything and all workbooks</t>
  </si>
  <si>
    <t>Berechnet nur diese Arbeitsmappe neu.
Ausgehend vom aktiven Arbeitsblatt werden nur die Arbeitsblätter neu berechnet, die gemäß der Kalkulationslogik berechnet werden müssen.
Achtung: Bei abweichender individueller Logik kann es vorkommen, dass nicht alle Änderungen korrekt berechnet werden. Dies kann aber jederzeit über den Button "Alles neu berechnen" nachgeholt werden.</t>
  </si>
  <si>
    <t>Berechnet sämtliche offene Arbeitsmappen und sämtliche Arbeitsblätter neu.
Diese Funktion entspricht der Funkktion "Neu berechnen (F9)" im Reiter Daten.
Achtung: Bei sehr großen Kalkulationen kann dies einige Zeit in Anspruch nehmen!</t>
  </si>
  <si>
    <t>btnPicMoveToSubfolder</t>
  </si>
  <si>
    <t>PicturesMoveToSubfolder</t>
  </si>
  <si>
    <t>Move unused pictures to subfolder</t>
  </si>
  <si>
    <t>Unbenutze Bilder in Unterordner verschieben</t>
  </si>
  <si>
    <t>gCO₂eq/Eh</t>
  </si>
  <si>
    <t>gCO₂eq/Ut</t>
  </si>
  <si>
    <t>Verschiebt alle Bilder, die keinem Bauteil zugeordnet sind, in einen Unterordner innerhalb des Bilderordners.
Der Unterordner kann im Anschluss umbenannt werden.</t>
  </si>
  <si>
    <t>Moves all images that are not assigned to a component to a subfolder within the image folder.
The subfolder can be renamed afterwards.</t>
  </si>
  <si>
    <t>Reset folder path</t>
  </si>
  <si>
    <t>Change folder path</t>
  </si>
  <si>
    <t>Formel Auslastung und Formel Berechnung Stunden angepasst für Produkt Spez. (wenn mehrere Anlagen notwendig)</t>
  </si>
  <si>
    <t>Altuntas, Eray, Dünzl Dennis</t>
  </si>
  <si>
    <t>\\wts\02 DATA\02 WD\03 Materialdaten\</t>
  </si>
  <si>
    <t>Pfad Materialdatenbanken + Materialpreisrechner</t>
  </si>
  <si>
    <t>Zirkelbezug behoben</t>
  </si>
  <si>
    <t>6.2.1-000</t>
  </si>
  <si>
    <t>eray.altuntas@aws-ce.com</t>
  </si>
  <si>
    <t>dummy</t>
  </si>
  <si>
    <t>ExportToCbdInit</t>
  </si>
  <si>
    <t>btnExportToQaf</t>
  </si>
  <si>
    <t>ExportToQafInit</t>
  </si>
  <si>
    <t>Export to QAF …</t>
  </si>
  <si>
    <t>In QAF exportieren …</t>
  </si>
  <si>
    <t>btnExportToCbd</t>
  </si>
  <si>
    <t>$FJ:$FL</t>
  </si>
  <si>
    <t>Here, the total energy consumption for machine use is determined by adding the results from the calculations of electricity consumption and gas consumption. The direct CO2 emissions for the component are then calculated using the country-specific electricity emission factor.</t>
  </si>
  <si>
    <t>Hier wird der Gesamtenergieverbrauch für den Maschineneinsatz ermittelt, indem die Ergebnisse aus den Berechnungen des Stromverbrauchs und des Gasverbrauchs addiert werden. Anschließend wird mithilfe des länderspezifischen Strom-Emissionsfaktors der direkte CO2-Ausstoß für das Bauteil berechnet.</t>
  </si>
  <si>
    <t>Hier werden die indirekten CO2 Emissionen für Wärme berechnet
Maschinenspezifische indirekten Emissionen x prozentualer Anteil Wärme an Gesamtemissionen
Die Matrix zur Overhead-Struktur findet man im Reiter "CO2"</t>
  </si>
  <si>
    <t>Hier werden die indirekten CO2 Emissionen für den indirekten Verbrauch berechnet
Maschinenspezifische indirekten Emissionen x prozentualer Anteil indirekter Verbrauch an Gesamtemissionen
Die Matrix zur Overhead-Struktur findet man im Reiter "CO2"</t>
  </si>
  <si>
    <t>Hier werden die indirekten CO2 Emissionen für den Transport berechnet
Maschinenspezifische indirekten Emissionen x prozentualer Anteil Transport an Gesamtemissionen
Die Matrix zur Overhead-Struktur findet man im Reiter "CO2"</t>
  </si>
  <si>
    <t>Hier werden die indirekten CO2 Emissionen für Büroflächen berechnet
Maschinenspezifische indirekten Emissionen x prozentualer Anteil Büroflächen an Gesamtemissionen
Die Matrix zur Overhead-Struktur findet man im Reiter "CO2"</t>
  </si>
  <si>
    <t>Total Overhead gCO2-eq</t>
  </si>
  <si>
    <t>The total sum of indirect CO2 emissions is determined here. This total sum results from the addition of the indirect CO2 emissions for heat, indirect consumption, transport and office space.</t>
  </si>
  <si>
    <t>Summe Overhead gCO2-eq</t>
  </si>
  <si>
    <t xml:space="preserve">Hier wird die Gesamtsumme der indirekten CO2-Emissionen ermittelt. Diese Gesamtsumme ergibt sich aus der Addition der indirekten CO2-Emissionen für Wärme, den indirekten Verbrauch, den Transport und Büroflächen.
</t>
  </si>
  <si>
    <t>The CO2 value for the material used is calculated here. The basis for this is the material weight stored in the "Calculation" tab and the CO2 value for the material from our material database.</t>
  </si>
  <si>
    <t>Hier wird der CO2-Wert für das verwendete Material berechnet. Grundlage hierfür ist das im Reiter "Calculation" hinterlegte Materialgewicht sowie der CO2-Wert für das Material aus unserer Material-Datenbank.</t>
  </si>
  <si>
    <t>Emission surcharge for consumables.</t>
  </si>
  <si>
    <t xml:space="preserve">Emissionszuschlag für Verbauchsmaterialien. </t>
  </si>
  <si>
    <t>Total Material gCO2-eq</t>
  </si>
  <si>
    <t>The sum of the total emissions of the material is displayed here, which results from the addition of the CO2 values for the material used in the calculation, the emission surcharges for manufacturing processes of purchased parts and the emission surcharges for consumables.</t>
  </si>
  <si>
    <t>Hier wird die Summe der Gesamtemissionen des Materials angezeigt, die sich aus der Addition der CO2-Werte für das in der Kalkulation verwendete Material, den Emissionszuschlägen für Fertigungsprozesse von Kaufteilen und den Emissionszuschlägen für Verbrauchsmaterialien ergibt.</t>
  </si>
  <si>
    <t>Transportation</t>
  </si>
  <si>
    <t>Here, the emissions incurred for logistics are calculated. The basis for this is the distance between the coordinates stored for the suppliers involved in the 'Premises' tab.
If the transport takes place by sea due to the long distance, the distance to and from the port is also taken into account.
The premises on which the calculation is based are determined via the newly added tab 'CO₂' or supplier-specific via the tab 'Premises'.</t>
  </si>
  <si>
    <t>Hier werden die für die Logistik anfallenden Emissionen berechnet. Grundlage hierfür ist  die Entfernung zwischen den für die beteiligten Lieferanten im Reiter 'Premises' hinterlegten Koordinaten.
Erfolgt der Transport aufgrund der großen Entfernung über den Seeweg, wird zusätzlich die Strecke zum und vom Hafen berücksichtigt.
Die Prämissen, die der Berechnung zugrunde liegen, werden über den neu hinzugefügten Reiter 'CO₂' bzw. lieferantenspezifisch über den Reiter 'Premises' bestimmt.</t>
  </si>
  <si>
    <t>ES</t>
  </si>
  <si>
    <t xml:space="preserve">Hier werden die CO2 Emissionen für das Transportmittel LKW berechnet. 
Grundlage ist die zurückgelegte Strecke, Kraftstoff und Verbauch sowie der zugehörige CO2e Wert. </t>
  </si>
  <si>
    <t>ET</t>
  </si>
  <si>
    <t xml:space="preserve">Hier werden die CO2 Emissionen für das Transportmittel Schiff berechnet. 
Grundlage ist die zurückgelegte Strecke, Kraftstoff und Verbrauch sowie der zugehörige CO2e Wert. </t>
  </si>
  <si>
    <t>EU</t>
  </si>
  <si>
    <t>EV</t>
  </si>
  <si>
    <t>EW</t>
  </si>
  <si>
    <t>The total sum of emissions for the logistics sector is displayed here. This total results from the addition of the CO2 emissions for the means of transport truck, ship, plane and train.</t>
  </si>
  <si>
    <t>Hier wird die Gesamtsumme der Emissionen für den Logistikbereich angezeigt. Diese Summe ergibt sich aus der Addition der CO2-Emissionen für die Transportmittel LKW, Schiff, Flugzeug und Zug.</t>
  </si>
  <si>
    <t>EX</t>
  </si>
  <si>
    <t>This is the total sum of emissions caused for the product. This sum is obtained by adding up all the results from the previous steps.</t>
  </si>
  <si>
    <t>Hierbei handelt es sich um die Gesamtsumme der Emissionen, die für das Produkt verursacht werden. Diese Summe ergibt sich durch die Addition aller Ergebnisse aus den vorherigen Schritten.</t>
  </si>
  <si>
    <t>Raw Material gCO2-eq</t>
  </si>
  <si>
    <t>Total Manufacturing gCO2-eq</t>
  </si>
  <si>
    <t xml:space="preserve">CO2 Manufacturing gCO2-eq </t>
  </si>
  <si>
    <t>Consum. Material gCO2-eq</t>
  </si>
  <si>
    <t>Verb. Material gCO2-eq</t>
  </si>
  <si>
    <t>Truck gCO2-eq</t>
  </si>
  <si>
    <t>Ship gCO2-eq</t>
  </si>
  <si>
    <t>Airplane gCO2-eq</t>
  </si>
  <si>
    <t>Train gCO2-eq</t>
  </si>
  <si>
    <t>LKW gCO2-eq</t>
  </si>
  <si>
    <t>Schiff gCO2-eq</t>
  </si>
  <si>
    <t>Flugzeug gCO2-eq</t>
  </si>
  <si>
    <t>Zug gCO2-eq</t>
  </si>
  <si>
    <t>Dcumentation</t>
  </si>
  <si>
    <t>Hilfetext für CO2 angepasst bzw. ergänzt</t>
  </si>
  <si>
    <t>Altuntas, Eray</t>
  </si>
  <si>
    <t>Energy Consumption</t>
  </si>
  <si>
    <t>CO2 Logistic</t>
  </si>
  <si>
    <t>CO2 Logistik</t>
  </si>
  <si>
    <t>Here, the CO2 emissions for the means of transport truck are calculated. 
The basis is the distance traveled, fuel and the associated CO2e value.</t>
  </si>
  <si>
    <t>Here, the CO2 emissions for the means of transport ship are calculated. 
The basis is the distance traveled, fuel and the associated CO2e value.</t>
  </si>
  <si>
    <t>Here, the CO2 emissions for the means of transport airplane are calculated. 
The basis is the distance traveled, fuel and the associated CO2e value.</t>
  </si>
  <si>
    <t xml:space="preserve">Hier werden die CO2 Emissionen für das Transportmittel Flugzeug berechnet. 
Grundlage ist die zurückgelegte Strecke, Kraftstoff und der zugehörige CO2e Wert. </t>
  </si>
  <si>
    <t>Here, the CO2 emissions for the means of transport train are calculated. 
The basis is the distance traveled, fuel and the associated CO2e value.</t>
  </si>
  <si>
    <t xml:space="preserve">Hier werden die CO2 Emissionen für das Transportmittel Zug berechnet. 
Grundlage ist die zurückgelegte Strecke, Kraftstoff und Verbrauch sowie der zugehörige CO2e Wert. </t>
  </si>
  <si>
    <t>dennis.duenzl;eray.altuntas;max;mknoll</t>
  </si>
  <si>
    <t>btnSheetsVisibility</t>
  </si>
  <si>
    <t>Worksheets</t>
  </si>
  <si>
    <t>Arbeitsblätter</t>
  </si>
  <si>
    <t xml:space="preserve">Worksheets visibility </t>
  </si>
  <si>
    <t>Sichtbarkeit Arbeitsblätter</t>
  </si>
  <si>
    <t>SheetsVisibilityInit</t>
  </si>
  <si>
    <t>C:\Users\Max\Pictures\Test</t>
  </si>
  <si>
    <t>btnPic</t>
  </si>
  <si>
    <t>btnPicC</t>
  </si>
  <si>
    <t>tgbPicC</t>
  </si>
  <si>
    <t>btnPicP</t>
  </si>
  <si>
    <t>btnPicCOpenFolder</t>
  </si>
  <si>
    <t>HiSense High</t>
  </si>
  <si>
    <t>UI PCB HiSense High</t>
  </si>
  <si>
    <t>Big PCB</t>
  </si>
  <si>
    <t>Display Unit</t>
  </si>
  <si>
    <t>Front Outer Metal Cover</t>
  </si>
  <si>
    <t>Front Plastic Cover</t>
  </si>
  <si>
    <t>Display</t>
  </si>
  <si>
    <t>Flex PCB</t>
  </si>
  <si>
    <t>PCB Protection Film</t>
  </si>
  <si>
    <t>Black Film</t>
  </si>
  <si>
    <t>Rubber</t>
  </si>
  <si>
    <t>Screw</t>
  </si>
  <si>
    <t>Category CO2 Overhead</t>
  </si>
  <si>
    <t>China</t>
  </si>
  <si>
    <t>Industrie</t>
  </si>
  <si>
    <t>CNY</t>
  </si>
  <si>
    <t>SEA</t>
  </si>
  <si>
    <t>China9,1712,99,1712,99,6313,5400,0515,62Industrie3,030,080,027,16CNY300SEA31,440387114,919747251,131910,5893479,51411,6666666666667244523041,519,50,64620,00140,03330,04640,0540,17310,02980,0158002525</t>
  </si>
  <si>
    <t>05.06.2024</t>
  </si>
  <si>
    <t>Printed circuit board 6-ply, FR4, standard</t>
  </si>
  <si>
    <t>Printed circuit board 6-ply, FR4, standardStandard partsdm²1,574</t>
  </si>
  <si>
    <t>Printed circuit board 2-layer, FR4, standard</t>
  </si>
  <si>
    <t>Printed circuit board 2-layer, FR4, standardStandard partsdm²0,746</t>
  </si>
  <si>
    <t>inch to mm</t>
  </si>
  <si>
    <t>21x24 Inch</t>
  </si>
  <si>
    <t>18x21 Inch</t>
  </si>
  <si>
    <t>18x24 Inch</t>
  </si>
  <si>
    <t>12x18 inch</t>
  </si>
  <si>
    <t>9x12 inch</t>
  </si>
  <si>
    <t>parts per board</t>
  </si>
  <si>
    <t>Hilsspalte</t>
  </si>
  <si>
    <t>Yield Rate [%]</t>
  </si>
  <si>
    <t>parts per length (2)</t>
  </si>
  <si>
    <t>parts per width (2)</t>
  </si>
  <si>
    <t>parts per length (1)</t>
  </si>
  <si>
    <t>parts per width (1)</t>
  </si>
  <si>
    <t>Nutzbare Breite [mm]</t>
  </si>
  <si>
    <t>Nutzbare Länge [mm]</t>
  </si>
  <si>
    <t>Nutzbare Breite [inch]</t>
  </si>
  <si>
    <t>Nutzbare Länge [inch]</t>
  </si>
  <si>
    <t>Platinen-Breite [inch]</t>
  </si>
  <si>
    <t>Platinen-Länge [inch]</t>
  </si>
  <si>
    <t>Standardsize - PCB panel</t>
  </si>
  <si>
    <t>PCB - Nutzen-Berechnung</t>
  </si>
  <si>
    <t>Teile pro Nutzen</t>
  </si>
  <si>
    <t xml:space="preserve">Yield Rate </t>
  </si>
  <si>
    <t>Abstand zwischen den LP [mm]</t>
  </si>
  <si>
    <t>Länge PCB Panel [mm]</t>
  </si>
  <si>
    <t>Brutto Fläche pro Platine [mm²]</t>
  </si>
  <si>
    <t>Breite PCB Panel [mm]</t>
  </si>
  <si>
    <t>Verschnitt pro Platine [mm²]</t>
  </si>
  <si>
    <t>Nutzen mit größter Yield Rate
(Vorschlag aus Berechnung)</t>
  </si>
  <si>
    <t>Netto Fläche pro Platine [mm²]</t>
  </si>
  <si>
    <t>Gesamtfläche PCB panel [mm²]</t>
  </si>
  <si>
    <t/>
  </si>
  <si>
    <t>Material und Anzahl der Lagen</t>
  </si>
  <si>
    <t>Abmaße Leiterplatte</t>
  </si>
  <si>
    <t>Zusammenfassung</t>
  </si>
  <si>
    <t>Standard</t>
  </si>
  <si>
    <t>PCB</t>
  </si>
  <si>
    <t>SMD-Config</t>
  </si>
  <si>
    <t>hide</t>
  </si>
  <si>
    <t>--- do not delete ---</t>
  </si>
  <si>
    <t>Class</t>
  </si>
  <si>
    <t>0402</t>
  </si>
  <si>
    <t>DO-214AA / SMB</t>
  </si>
  <si>
    <t>0603</t>
  </si>
  <si>
    <t>DO-214AB / SMC</t>
  </si>
  <si>
    <t>0805</t>
  </si>
  <si>
    <t>DO-214AC / SMA</t>
  </si>
  <si>
    <t>1206</t>
  </si>
  <si>
    <t>DO-219AB / SMF</t>
  </si>
  <si>
    <t>1210</t>
  </si>
  <si>
    <t>SOD-123</t>
  </si>
  <si>
    <t>2010</t>
  </si>
  <si>
    <t>SOD-323</t>
  </si>
  <si>
    <t>2512</t>
  </si>
  <si>
    <t>SOT-223</t>
  </si>
  <si>
    <t>SOT-23</t>
  </si>
  <si>
    <t>SOT-23-3</t>
  </si>
  <si>
    <t>SOT-23-5</t>
  </si>
  <si>
    <t>SOT-23-6</t>
  </si>
  <si>
    <t>SOT-323</t>
  </si>
  <si>
    <t>SOT-363</t>
  </si>
  <si>
    <t>flexible Leiterplatte</t>
  </si>
  <si>
    <t>Electrolytic Capacitor
SMD, 2 Pins
21927
470
25V
Dia=10mm 
Height=10mm</t>
  </si>
  <si>
    <t>Electrolytic Capacitor
SMD, 2 Pins
474
3.5V
R4 S
Dia=10,7mm 
Height=7,5mm</t>
  </si>
  <si>
    <t>Oscillator
SMD
0130T
E 2829
Length=3mm 
Width=2,5mm</t>
  </si>
  <si>
    <t>Connector
SMD
40 Pins
Length=25mm 
Width=4,5mm
Height=1,7mm</t>
  </si>
  <si>
    <t>Integrated Chips
54 Pins
SMD
22,2*10 Size
ESMT
M12L2561616A-6TVA
AZS2P28QS       2221</t>
  </si>
  <si>
    <t>Integrated Chips
76-80 Pins
SMD
16*16 Size
TMPA910CRBXBG
JAPAN2228HAL
582635     ARM</t>
  </si>
  <si>
    <t>Integrated Chips
6 Pins
SMD
3*2 Size
FB2KB</t>
  </si>
  <si>
    <t>Integrated Chips
56 Pins
SMD
18,4*14 Size
2240              I-5
28EW256ABAIL
JS   e3   0 SITA
5RJ9</t>
  </si>
  <si>
    <t>Connector
SMD
30 Pins
Length=19mm 
Width=3,4mm
Height=9,6mm</t>
  </si>
  <si>
    <t>Integrated Chips
8 Pins
SMD
5*4 Size
95640WP
K322K</t>
  </si>
  <si>
    <t>Integrated Chips
14 Pins
SMD
14*5 Size
R8803
EN52     7B</t>
  </si>
  <si>
    <t>Connector
SMD
Board to Flex
4 Pins
Length=8,6mm 
Width=4,5mm
Height=2mm</t>
  </si>
  <si>
    <t>Light
SMD
Length=4,4mm 
Width=3,7mm
Quantity=6</t>
  </si>
  <si>
    <t>PCB-Standoffs
Length=17mm 
Dia=4,4mm</t>
  </si>
  <si>
    <t>Female Connector
SMD
30 Pins
Length=19,6mm 
Width=3mm
Height=4,5mm</t>
  </si>
  <si>
    <t>Speaker</t>
  </si>
  <si>
    <t>Speaker
SMD
4 Pins
Length=42,5mm 
Width=39,5mm
Thickness=2,5mm
Height=11,5mm</t>
  </si>
  <si>
    <t>Integrated Chips
4 Pins
SMD
5*4 Size
78L33A
MZ233</t>
  </si>
  <si>
    <t>Integrated Chips
48 Pins
SMD
7*7 Size
Atmei
ATSAMD20
G15A-U
2233E ARM
2233YE1 TH</t>
  </si>
  <si>
    <t>Light Cover</t>
  </si>
  <si>
    <t>Light Cover
No SMD or THT
Length=59mm 
Width=16mm
Height=14,4mm</t>
  </si>
  <si>
    <t>Switch
SMD
5 Pins, 2Pins Cover
Length=13,5mm 
Width=11,5mm
Height=25mm</t>
  </si>
  <si>
    <t>Switch</t>
  </si>
  <si>
    <t>Light
SMD
Length=4mm 
Width=1,5mm
Quantity=4</t>
  </si>
  <si>
    <t>SMD
4R7
Length=4mm 
Width=4mm
Quantity=2</t>
  </si>
  <si>
    <t>Integrated Chips
12 Pins
SMD
3*3Size
1541A
T023
2035</t>
  </si>
  <si>
    <t>Aluminum Base Film</t>
  </si>
  <si>
    <t>Back Outer Metal Cover</t>
  </si>
  <si>
    <t>06.06.2024</t>
  </si>
  <si>
    <t>Schraube M3x6</t>
  </si>
  <si>
    <t>Schraube M3x6C-TeilStk.0,006</t>
  </si>
  <si>
    <t>Aluminium sheet AlMg4, 5Mn0,7</t>
  </si>
  <si>
    <t>Aluminium</t>
  </si>
  <si>
    <t>Aluminium sheet AlMg4, 5Mn0,7Metal coilkg2,096</t>
  </si>
  <si>
    <t>01</t>
  </si>
  <si>
    <t>01-01</t>
  </si>
  <si>
    <t>01-01-01</t>
  </si>
  <si>
    <t>01-01-02</t>
  </si>
  <si>
    <t>01-01-03</t>
  </si>
  <si>
    <t>01-01-03-01</t>
  </si>
  <si>
    <t>01-01-03-02</t>
  </si>
  <si>
    <t>01-01-03-03</t>
  </si>
  <si>
    <t>01-01-03-04</t>
  </si>
  <si>
    <t>01-01-03-05</t>
  </si>
  <si>
    <t>01-01-03-06</t>
  </si>
  <si>
    <t>01-01-03-07</t>
  </si>
  <si>
    <t>01-01-03-08</t>
  </si>
  <si>
    <t>01-01-03-09</t>
  </si>
  <si>
    <t>01-01-03-10</t>
  </si>
  <si>
    <t>01-01-03-11</t>
  </si>
  <si>
    <t>01-01-03-12</t>
  </si>
  <si>
    <t>01-01-03-13</t>
  </si>
  <si>
    <t>01-01-03-14</t>
  </si>
  <si>
    <t>01-01-03-15</t>
  </si>
  <si>
    <t>https://www.digikey.de/en/products/detail/w%C3%BCrth-elektronik/701512500/9488168</t>
  </si>
  <si>
    <t>SNAP-ON KEYSLOT SPACER ARRESTING</t>
  </si>
  <si>
    <t>Würth Elektronik</t>
  </si>
  <si>
    <t>Bag</t>
  </si>
  <si>
    <t>https://www.digikey.de/en/products/detail/american-bright-optoelectronics-corporation/BL-HBGJAGRM132N-EP/9678128</t>
  </si>
  <si>
    <t>American Bright Optoelectronics Corporation</t>
  </si>
  <si>
    <t>BL-HBGJAGRM132N-EP</t>
  </si>
  <si>
    <t>LED RGB CLEAR 3528 SMD</t>
  </si>
  <si>
    <t>4.08mm L x 2.80mm W</t>
  </si>
  <si>
    <t>470 µF 25 V Aluminum Electrolytic Capacitors Radial, Can - SMD 19.9 Ohm 2000 Hrs @ 105°C</t>
  </si>
  <si>
    <t>NIC Components Corp</t>
  </si>
  <si>
    <t>NACZ471M25V10X10.5TR15F</t>
  </si>
  <si>
    <t>0.394" Dia x 0.413" L (10.00mm x 10.50mm)</t>
  </si>
  <si>
    <t>Electrolytic Capacitor
SMD 
12412
470
25V
Dia=10mm 
Height=10,5mm</t>
  </si>
  <si>
    <t>https://www.digikey.de/en/products/detail/nic-components-corp/NACZ471M25V10X10-5TR15F/22320436?s=N4IgjCBcoCwGxVAYygMwIYBsDOBTANCAPZQDaIAHGGAAxgDMIAuoQA4AuUIAyuwE4BLAHYBzEAF9CAJhoB2AJyIQKSBhwFiZEFICsAAgBqzNp0ggAqkIHsA8qgCyudNgCufXBPHigA</t>
  </si>
  <si>
    <t>https://www.mouser.de/ProductDetail/STMicroelectronics/L78L33ABD-TR?qs=yIs9YiJLO4fccdnNfUSH5Q%3D%3D</t>
  </si>
  <si>
    <t xml:space="preserve">L78L33ABD-TR </t>
  </si>
  <si>
    <t xml:space="preserve">STMicroelectronics </t>
  </si>
  <si>
    <t xml:space="preserve">Linear Voltage Regulators 3.3V 0.1A Positive </t>
  </si>
  <si>
    <t xml:space="preserve">Package/Case: 	SOIC-8 
Length: 	5 mm 
Width: 	4 mm </t>
  </si>
  <si>
    <t>https://www.digikey.de/en/products/detail/microchip-technology/ATSAMD20G15A-AU/4431287</t>
  </si>
  <si>
    <t>Microchip Technology</t>
  </si>
  <si>
    <t>ATSAMD20G15A-AU</t>
  </si>
  <si>
    <t>IC MCU 32BIT 32KB FLASH 48TQFP</t>
  </si>
  <si>
    <t>48-TQFP (7x7)</t>
  </si>
  <si>
    <t>Integrated Chips
16 Pins
SMD
10*3,9 Size
74HC4094D
C1C10001
TXD2216C</t>
  </si>
  <si>
    <t>https://www.digikey.de/en/products/detail/nexperia-usa-inc/74HC4094D-653/946655</t>
  </si>
  <si>
    <t>Nexperia USA Inc.</t>
  </si>
  <si>
    <t>74HC4094D,653</t>
  </si>
  <si>
    <t>IC REGISTER BUS 8STAGE 16SOIC</t>
  </si>
  <si>
    <t>16-SOIC (0.154", 3.90mm Width)</t>
  </si>
  <si>
    <t>https://www.digikey.de/en/products/detail/inolux/IN-S63AT5UW/7604931</t>
  </si>
  <si>
    <t>LED WHITE CLEAR 0603 SMD</t>
  </si>
  <si>
    <t>Inolux</t>
  </si>
  <si>
    <t>IN-S63AT5UW</t>
  </si>
  <si>
    <t>1.60mm L x 0.80mm W</t>
  </si>
  <si>
    <t>Taiyo Yuden</t>
  </si>
  <si>
    <t>NRS4018T4R7MDGJ</t>
  </si>
  <si>
    <t>FIXED IND 4.7UH 1.7A 84 MOHM SMD</t>
  </si>
  <si>
    <t>0.157" L x 0.157" W (4.00mm x 4.00mm)</t>
  </si>
  <si>
    <t>https://www.digikey.de/en/products/detail/taiyo-yuden/NRS4018T4R7MDGJ/2648971</t>
  </si>
  <si>
    <t>LED Indication - Discrete</t>
  </si>
  <si>
    <t>Fixed Inductors</t>
  </si>
  <si>
    <t>Aluminum Electrolytic Capacitors</t>
  </si>
  <si>
    <t>Board Supports</t>
  </si>
  <si>
    <t>Power Management ICs</t>
  </si>
  <si>
    <t>Logic
Shift Registers</t>
  </si>
  <si>
    <t>Embedded 
Microcontrollers</t>
  </si>
  <si>
    <t>https://www.digikey.de/en/products/detail/te-connectivity-amp-connectors/1-2328702-0/9565577</t>
  </si>
  <si>
    <t>TE Connectivity AMP Connectors</t>
  </si>
  <si>
    <t>CONN FPC 10POS 0.5MM R/A</t>
  </si>
  <si>
    <t>1-2328702-0</t>
  </si>
  <si>
    <t>https://www.digikey.de/en/products/detail/samtec-inc/FW-11-03-G-D-200-200-P-TR/7480741</t>
  </si>
  <si>
    <t>Samtec Inc.</t>
  </si>
  <si>
    <t>CONN HDR 22POS 0.05 STACK SMD</t>
  </si>
  <si>
    <t>FW-11-03-G-D-200-200-P-TR</t>
  </si>
  <si>
    <t>Row Spacing 0.050" (1.27mm)
Length - Overall Pin 0.400" (10.160mm)</t>
  </si>
  <si>
    <t>https://www.digikey.de/en/products/detail/te-connectivity-erni/244629-E/18693896</t>
  </si>
  <si>
    <t>Box</t>
  </si>
  <si>
    <t>26-PIN, SMT/IDC</t>
  </si>
  <si>
    <t>TE Connectivity Erni</t>
  </si>
  <si>
    <t>244629-E</t>
  </si>
  <si>
    <t>Board In, Direct Wire to Board</t>
  </si>
  <si>
    <t>Tape &amp; Reel (TR)
Cut Tape (CT)
Digi-Reel®</t>
  </si>
  <si>
    <t>TE Connectivity ALCOSWITCH Switches</t>
  </si>
  <si>
    <t>SWITCH NAVIGATION DGTL 50MA 12V</t>
  </si>
  <si>
    <t>2425755-1</t>
  </si>
  <si>
    <t>https://www.digikey.de/en/products/detail/te-connectivity-alcoswitch-switches/2425755-1/17829533</t>
  </si>
  <si>
    <t>Small PCB</t>
  </si>
  <si>
    <t>Big PCB Material</t>
  </si>
  <si>
    <t>Small PCB Material</t>
  </si>
  <si>
    <t>Flex PCB Material</t>
  </si>
  <si>
    <t>07.06.2024</t>
  </si>
  <si>
    <t>Reflective foil Stamped</t>
  </si>
  <si>
    <t>Reflective foil Unstamped</t>
  </si>
  <si>
    <t xml:space="preserve">Light Guide </t>
  </si>
  <si>
    <t>Diffusion Foil</t>
  </si>
  <si>
    <t xml:space="preserve">Light Enhancement Foil </t>
  </si>
  <si>
    <t>PE-LD Folienqualitäten</t>
  </si>
  <si>
    <t>PE-LD FolienqualitätenPlasticskg1,58</t>
  </si>
  <si>
    <t>10.06.2024</t>
  </si>
  <si>
    <t>PA Natur Standard</t>
  </si>
  <si>
    <t>PA Automobil natur/schwarz bis GF 30</t>
  </si>
  <si>
    <t>PA Natur StandardKunststoffkg3,864</t>
  </si>
  <si>
    <t>PC Natur Standard</t>
  </si>
  <si>
    <t>PC glasklar</t>
  </si>
  <si>
    <t>PC Natur StandardKunststoffkg3,84</t>
  </si>
  <si>
    <t>SPEAKER 8OHM 1W TOP PORT 88DB</t>
  </si>
  <si>
    <t>Soberton Inc.</t>
  </si>
  <si>
    <t>SP-4005Y</t>
  </si>
  <si>
    <t>Durchm.: 1,575" (40,00mm)</t>
  </si>
  <si>
    <t>https://www.digikey.de/de/products/detail/soberton-inc/SP-4005Y/9924431</t>
  </si>
  <si>
    <t>CONN COVER FOR DISTRIBUTOR</t>
  </si>
  <si>
    <t>293587-1</t>
  </si>
  <si>
    <t>https://www.digikey.de/de/products/detail/te-connectivity-amp-connectors/293587-1/3879127</t>
  </si>
  <si>
    <t>Texas Instruments</t>
  </si>
  <si>
    <t>IC IND TO DGTL 12B 13.3K 12WSON</t>
  </si>
  <si>
    <t>LDC1312QDNTRQ1</t>
  </si>
  <si>
    <t>12-WSON (4x4)</t>
  </si>
  <si>
    <t>https://www.digikey.de/de/products/detail/texas-instruments/LDC1312QDNTRQ1/6100246</t>
  </si>
  <si>
    <t>STMicroelectronics</t>
  </si>
  <si>
    <t>M95640-WMN6TP</t>
  </si>
  <si>
    <t>IC EEPROM 64KBIT SPI 20MHZ 8SOIC</t>
  </si>
  <si>
    <t>8-SOIC (0,154", 3,90mm Breite)</t>
  </si>
  <si>
    <t>https://www.digikey.de/de/products/detail/stmicroelectronics/M95640-WMN6TP/1664212</t>
  </si>
  <si>
    <t>EPSON</t>
  </si>
  <si>
    <t>RX-8803SA:UB3 PURE SN</t>
  </si>
  <si>
    <t>14-SOIC (0,197", 5,00mm Breite)</t>
  </si>
  <si>
    <t>https://www.digikey.de/de/products/detail/epson/RX-8803SA-UB3-PURE-SN/5175011</t>
  </si>
  <si>
    <t xml:space="preserve">M12L2561616A-6T </t>
  </si>
  <si>
    <t>Elite Semiconductor Memory Technology</t>
  </si>
  <si>
    <t>https://hyper-source.net/p/M12L2561616A-6T</t>
  </si>
  <si>
    <t>Tape &amp; Reel (TR)</t>
  </si>
  <si>
    <t>Rubber (n.I. )</t>
  </si>
  <si>
    <t>Naturstoffe</t>
  </si>
  <si>
    <t>Rubber (n.I. )Naturstoffekg2</t>
  </si>
  <si>
    <t>Durchm.: 0,394" (10,00mm)</t>
  </si>
  <si>
    <t>CAP ALUM 470UF 20% 25V SMD</t>
  </si>
  <si>
    <t>Aillen</t>
  </si>
  <si>
    <t>UE477M025HGKTA</t>
  </si>
  <si>
    <t>https://www.digikey.de/de/products/detail/nextgen-components/UE477M025HGKTA/16730221</t>
  </si>
  <si>
    <t>Nichicon</t>
  </si>
  <si>
    <t>CAP ALUM POLY 470UF 20% 4V SMD</t>
  </si>
  <si>
    <t>https://www.digikey.de/de/products/detail/nichicon/RPS0G471MCN1GS/2242466</t>
  </si>
  <si>
    <t>RPS0G471MCN1GS</t>
  </si>
  <si>
    <t>https://www.win-source.net/products/detail/toshiba-semiconductor-and-storage/tmpa910crbxbg.html</t>
  </si>
  <si>
    <t>Toshiba Semiconductor and Storage</t>
  </si>
  <si>
    <t>TMPA910CRBXBG</t>
  </si>
  <si>
    <t>https://www.digikey.de/de/products/detail/25AA02E64T-I-OT/25AA02E64T-I-OTCT-ND/4292624?curr=eur&amp;utm_campaign=buynow&amp;utm_medium=aggregator&amp;utm_source=octopart</t>
  </si>
  <si>
    <t>25AA02E64T-I/OT</t>
  </si>
  <si>
    <t>IC EEPROM 2KBIT SPI SOT23-6</t>
  </si>
  <si>
    <t>Memory</t>
  </si>
  <si>
    <t>Misc Products</t>
  </si>
  <si>
    <t>Integrated Chips
12 Pins
SMD
3*2,6 Size
AGR
P44
836</t>
  </si>
  <si>
    <t>https://www.mouser.de/ProductDetail/Monolithic-Power-Systems-MPS/MP4436AGR-P?qs=GedFDFLaBXHuU8J%252BvoXGbA%3D%3D&amp;utm_campaign=enhanced_listing&amp;utm_content=Monolithic%20Power%20Systems%20(MPS)&amp;utm_medium=display&amp;utm_source=octopart</t>
  </si>
  <si>
    <t>MP4436AGR-P</t>
  </si>
  <si>
    <t>Monolithic Power Systems (MPS)</t>
  </si>
  <si>
    <t>Schaltspannungsregler 45V, 6A, Low IQ, Synchronous Step-Down Converter</t>
  </si>
  <si>
    <t>Reel</t>
  </si>
  <si>
    <t>Switching Voltage Regulators</t>
  </si>
  <si>
    <t>Clock/Timing</t>
  </si>
  <si>
    <t>https://www.digikey.de/de/products/detail/micron-technology-inc/MT28EW256ABA1LJS-0SIT/6595670</t>
  </si>
  <si>
    <t>56-TFSOP (0.724", 18.40mm Width)</t>
  </si>
  <si>
    <t>Micron Technology Inc.</t>
  </si>
  <si>
    <t>MT28EW256ABA1LJS-0SIT</t>
  </si>
  <si>
    <t>IC FLASH 256MBIT PARALLEL 56TSOP</t>
  </si>
  <si>
    <t>220
SMD
2 Pins
Size=10mm 
Height=2,6mm</t>
  </si>
  <si>
    <t>ECS Inc.</t>
  </si>
  <si>
    <t>CRYSTAL 25.0000MHZ 18PF SMD</t>
  </si>
  <si>
    <t>ECS-250-18-33-JGN-TR3</t>
  </si>
  <si>
    <t>0.126" L x 0.098" W (3.20mm x 2.50mm)</t>
  </si>
  <si>
    <t>https://www.digikey.de/en/products/detail/ecs-inc/ECS-250-18-33-JGN-TR3/14825156</t>
  </si>
  <si>
    <t>Amphenol ICC (FCI)</t>
  </si>
  <si>
    <t>62684-402100ALF</t>
  </si>
  <si>
    <t>CONN FPC TOP 40POS 0.5MM R/A</t>
  </si>
  <si>
    <t>Tape &amp; Reel (TR)
Cut Tape (CT)
Digi-Reel</t>
  </si>
  <si>
    <t>https://www.digikey.de/en/products/detail/amphenol-cs-fci/62684-402100ALF/1001514</t>
  </si>
  <si>
    <t>Eaton - Electronics Division</t>
  </si>
  <si>
    <t>INDUCT ARRAY 2 COIL 1.07UH SMD</t>
  </si>
  <si>
    <t>CTX1-1P-R</t>
  </si>
  <si>
    <t>https://www.digikey.de/en/products/detail/eaton-electronics-division/CTX1-1P-R/667326</t>
  </si>
  <si>
    <t xml:space="preserve">Ethylene Propylene Diene Rubber </t>
  </si>
  <si>
    <t>NR</t>
  </si>
  <si>
    <t>Ethylene Propylene Diene Rubber Plasticskg3,94</t>
  </si>
  <si>
    <t>Injection Molding</t>
  </si>
  <si>
    <t>Injection moulding machine 35 t Krauss Maffei KM 35 CX 180</t>
  </si>
  <si>
    <t>SR-0001</t>
  </si>
  <si>
    <t>IM</t>
  </si>
  <si>
    <t>Injection moulding machine 35 t Krauss Maffei KM 35 CX 18060604721,50,5250,00140,03829338485541,514600,405</t>
  </si>
  <si>
    <t>PA 6 schwarz</t>
  </si>
  <si>
    <t>PA 6 schwarzPlasticskg3,05</t>
  </si>
  <si>
    <t>SMD Assembly</t>
  </si>
  <si>
    <t>SMD Top Side</t>
  </si>
  <si>
    <t>SMD Bottom Side</t>
  </si>
  <si>
    <t>Depanelling</t>
  </si>
  <si>
    <t>ICT (In-Circuit Test)</t>
  </si>
  <si>
    <t>Testing (ICT) Seica Compact SL</t>
  </si>
  <si>
    <t>Testing (ICT) Seica Compact SL107500750,5200,020,03814453891450,69001,14</t>
  </si>
  <si>
    <t>11.06.2024</t>
  </si>
  <si>
    <t>PCB separator inline / offline milling Schunk ILR-2200-B</t>
  </si>
  <si>
    <t>PCB separator inline / offline milling Schunk ILR-2200-B1800007250,550,030,0348050041450,212000,059</t>
  </si>
  <si>
    <t>Circumference of Board = 622 mm , 14  boards per panel</t>
  </si>
  <si>
    <t>SMD-Line_1x_Placement platform_CS+CP,Lmax40mm,52800cph</t>
  </si>
  <si>
    <t>SR-0013</t>
  </si>
  <si>
    <t>SMD-Line_1x_Placement platform_CS+CP,Lmax40mm,52800cph13789001069,10,5133,680,02190,038164822563721215,337200,482</t>
  </si>
  <si>
    <t>Circumference of Board = 292 mm , 42  boards per panel</t>
  </si>
  <si>
    <t>Circumference of Board = 323,2 mm , 36  boards per panel</t>
  </si>
  <si>
    <t>SMD glue</t>
  </si>
  <si>
    <t>SMD glueConsumable materials liquidkg600</t>
  </si>
  <si>
    <t>Extrusion PE</t>
  </si>
  <si>
    <t>Extrusion Layer 2</t>
  </si>
  <si>
    <t>Extrusion Layer 3</t>
  </si>
  <si>
    <t xml:space="preserve">Lamination </t>
  </si>
  <si>
    <t>450m/min</t>
  </si>
  <si>
    <t>Foil Laminationmaschine Super Simplex SL 1300 mm</t>
  </si>
  <si>
    <t>Foil Laminationmaschine Super Simplex SL 1300 mm380000101500,5580,020,0385286291714833,817400,134</t>
  </si>
  <si>
    <t>Three-Layer Cast Film Line Maxtrusion MX C3120</t>
  </si>
  <si>
    <t>Three-Layer Cast Film Line Maxtrusion MX C31201237500101500,51200,020,0385287732914835,317400,167</t>
  </si>
  <si>
    <t>300kg/h, 50m/min</t>
  </si>
  <si>
    <t>Assembly with Aluminum Base Film</t>
  </si>
  <si>
    <t>Robot cell automated 1 OP glue (ACT-Q)</t>
  </si>
  <si>
    <t>Robot cell automated 1 OP glue (ACT-Q)184670,98898237378,60,500250,020,038715,787918732694354,56829884615654621,5443,2103735576950,725</t>
  </si>
  <si>
    <t>Servo press 63 to table 710x710 SCHAAL DeltaV630 automated</t>
  </si>
  <si>
    <t>Servo press 63 to table 710x710 SCHAAL DeltaV630 automated41950012560,5520,020,038287528136332,25000,135</t>
  </si>
  <si>
    <t>Press</t>
  </si>
  <si>
    <t>01-01-03-05 Aluminum Base Film</t>
  </si>
  <si>
    <t>Refund Aluminum</t>
  </si>
  <si>
    <t>01-01-03-07 Back Outer Metal Cover</t>
  </si>
  <si>
    <t>01-01-03-01 Front Outer Metal Cover</t>
  </si>
  <si>
    <t>Log:2+IndirectCosts:0+Handling:0+TemplateColumn:2+TemplateRow:2+Temp:2+Documentation:2+Translation:2+Tutorial:2+XML:2+AssemblyData:2+AssemblyTemplate:2+Settings:2+</t>
  </si>
  <si>
    <t>Pick and Place Back Outer Metal Cover</t>
  </si>
  <si>
    <t>Paste all foils together and place it</t>
  </si>
  <si>
    <t>Pick and place Front Plastic Cover</t>
  </si>
  <si>
    <t>Pick and place display and paste Display with PCB</t>
  </si>
  <si>
    <t>Pick and Place Outer Metal cover</t>
  </si>
  <si>
    <t>Rotate display</t>
  </si>
  <si>
    <t xml:space="preserve">Screw the metal covers </t>
  </si>
  <si>
    <t>Paste PCB protection film</t>
  </si>
  <si>
    <t>Pick and Place Light guide</t>
  </si>
  <si>
    <t>Paste Black Film</t>
  </si>
  <si>
    <t>Paste 2 rubbers</t>
  </si>
  <si>
    <t>Linear-Transfer automated 12 OP Display</t>
  </si>
  <si>
    <t>Pick and Place Big PCB with standofffs</t>
  </si>
  <si>
    <t>Pick and place Flex PCB LED</t>
  </si>
  <si>
    <t>Pick and Paste Display on rubber</t>
  </si>
  <si>
    <t>Pick and Place small PCB on standofffs</t>
  </si>
  <si>
    <t>Linear-Transfer automated 3 OP UI High Sense High</t>
  </si>
  <si>
    <t>SMD Assemblies</t>
  </si>
  <si>
    <t>Display Gen 7</t>
  </si>
  <si>
    <t>17.06.2024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</si>
</sst>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6">
    <numFmt numFmtId="43" formatCode="_-* #,##0.00_-;\-* #,##0.00_-;_-* &quot;-&quot;??_-;_-@_-"/>
    <numFmt numFmtId="164" formatCode="_(&quot;€&quot;* #,##0.00_);_(&quot;€&quot;* \(#,##0.00\);_(&quot;€&quot;* &quot;-&quot;??_);_(@_)"/>
    <numFmt numFmtId="165" formatCode="_(* #,##0.00_);_(* \(#,##0.00\);_(* &quot;-&quot;??_);_(@_)"/>
    <numFmt numFmtId="166" formatCode="_-* #,##0.00\ _€_-;\-* #,##0.00\ _€_-;_-* &quot;-&quot;??\ _€_-;_-@_-"/>
    <numFmt numFmtId="167" formatCode="#,##0.0"/>
    <numFmt numFmtId="168" formatCode="0.0"/>
    <numFmt numFmtId="169" formatCode="0.0%"/>
    <numFmt numFmtId="170" formatCode="#,##0.000"/>
    <numFmt numFmtId="171" formatCode="0.000"/>
    <numFmt numFmtId="172" formatCode="#,##0.00\ &quot;[€/Stk.]&quot;"/>
    <numFmt numFmtId="173" formatCode="0000"/>
    <numFmt numFmtId="174" formatCode="&quot;&gt;&quot;\ #,##0\ &quot;Stk/Jahr&quot;"/>
    <numFmt numFmtId="175" formatCode="#,##0_ ;\-#,##0\ "/>
    <numFmt numFmtId="176" formatCode="00"/>
    <numFmt numFmtId="177" formatCode="#,##0.00\ &quot;€&quot;"/>
    <numFmt numFmtId="178" formatCode="0.0000"/>
    <numFmt numFmtId="179" formatCode="0.00\ &quot;€/Jahr&quot;"/>
    <numFmt numFmtId="180" formatCode="0.0000\ &quot;€/EH&quot;"/>
    <numFmt numFmtId="181" formatCode="0\ &quot;Seiten&quot;"/>
    <numFmt numFmtId="182" formatCode="#,##0\ &quot;Zeichen&quot;"/>
    <numFmt numFmtId="183" formatCode="0.000000"/>
    <numFmt numFmtId="184" formatCode="#,##0\ &quot;km&quot;"/>
    <numFmt numFmtId="185" formatCode="#,##0.0000"/>
    <numFmt numFmtId="186" formatCode="m/d/yyyy"/>
    <numFmt numFmtId="187" formatCode="#,##0.0000\ &quot;€&quot;"/>
    <numFmt numFmtId="188" formatCode="#,##0.00000"/>
  </numFmts>
  <fonts count="151">
    <font>
      <sz val="10"/>
      <name val="Arial"/>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0"/>
      <name val="Arial"/>
      <family val="2"/>
    </font>
    <font>
      <sz val="10"/>
      <name val="Arial"/>
      <family val="2"/>
    </font>
    <font>
      <sz val="11"/>
      <color indexed="9"/>
      <name val="Calibri"/>
      <family val="2"/>
    </font>
    <font>
      <b/>
      <sz val="11"/>
      <color indexed="63"/>
      <name val="Calibri"/>
      <family val="2"/>
    </font>
    <font>
      <b/>
      <sz val="11"/>
      <color indexed="10"/>
      <name val="Calibri"/>
      <family val="2"/>
    </font>
    <font>
      <sz val="11"/>
      <color indexed="62"/>
      <name val="Calibri"/>
      <family val="2"/>
    </font>
    <font>
      <i/>
      <sz val="11"/>
      <color indexed="23"/>
      <name val="Calibri"/>
      <family val="2"/>
    </font>
    <font>
      <sz val="11"/>
      <color indexed="17"/>
      <name val="Calibri"/>
      <family val="2"/>
    </font>
    <font>
      <sz val="11"/>
      <color indexed="19"/>
      <name val="Calibri"/>
      <family val="2"/>
    </font>
    <font>
      <sz val="11"/>
      <color indexed="20"/>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sz val="11"/>
      <color indexed="10"/>
      <name val="Calibri"/>
      <family val="2"/>
    </font>
    <font>
      <b/>
      <sz val="11"/>
      <color indexed="9"/>
      <name val="Calibri"/>
      <family val="2"/>
    </font>
    <font>
      <sz val="10"/>
      <name val="Arial"/>
      <family val="2"/>
    </font>
    <font>
      <sz val="9"/>
      <color indexed="81"/>
      <name val="Segoe UI"/>
      <family val="2"/>
    </font>
    <font>
      <sz val="10"/>
      <name val="Arial"/>
      <family val="2"/>
    </font>
    <font>
      <sz val="10"/>
      <name val="Wingdings 3"/>
      <family val="1"/>
      <charset val="2"/>
    </font>
    <font>
      <sz val="10"/>
      <name val="Wingdings 2"/>
      <family val="1"/>
      <charset val="2"/>
    </font>
    <font>
      <sz val="8"/>
      <name val="Arial"/>
      <family val="2"/>
    </font>
    <font>
      <sz val="8"/>
      <name val="Arial"/>
      <family val="2"/>
    </font>
    <font>
      <sz val="8"/>
      <name val="Arial"/>
      <family val="2"/>
    </font>
    <font>
      <u/>
      <sz val="10"/>
      <color theme="10"/>
      <name val="Arial"/>
      <family val="2"/>
    </font>
    <font>
      <sz val="8"/>
      <name val="Arial"/>
      <family val="2"/>
    </font>
    <font>
      <sz val="8"/>
      <name val="Arial"/>
      <family val="2"/>
    </font>
    <font>
      <sz val="10"/>
      <name val="MS Sans Serif"/>
      <family val="2"/>
    </font>
    <font>
      <sz val="10"/>
      <name val="Arial"/>
      <family val="2"/>
    </font>
    <font>
      <sz val="10"/>
      <name val="Arial Narrow"/>
      <family val="2"/>
      <scheme val="minor"/>
    </font>
    <font>
      <b/>
      <sz val="10"/>
      <color theme="0"/>
      <name val="Arial Narrow"/>
      <family val="2"/>
      <scheme val="minor"/>
    </font>
    <font>
      <sz val="10"/>
      <color rgb="FFFF0000"/>
      <name val="Arial Narrow"/>
      <family val="2"/>
      <scheme val="minor"/>
    </font>
    <font>
      <sz val="10"/>
      <color theme="1"/>
      <name val="Arial Narrow"/>
      <family val="2"/>
      <scheme val="minor"/>
    </font>
    <font>
      <sz val="10"/>
      <name val="Roboto Condensed"/>
    </font>
    <font>
      <b/>
      <sz val="10"/>
      <name val="Arial Narrow"/>
      <family val="2"/>
      <scheme val="minor"/>
    </font>
    <font>
      <b/>
      <sz val="14"/>
      <name val="Arial Narrow"/>
      <family val="2"/>
      <scheme val="minor"/>
    </font>
    <font>
      <sz val="10"/>
      <color theme="0"/>
      <name val="Arial Narrow"/>
      <family val="2"/>
      <scheme val="minor"/>
    </font>
    <font>
      <sz val="8"/>
      <color theme="5"/>
      <name val="Arial Narrow"/>
      <family val="2"/>
      <scheme val="minor"/>
    </font>
    <font>
      <sz val="8"/>
      <name val="Arial Narrow"/>
      <family val="2"/>
      <scheme val="minor"/>
    </font>
    <font>
      <sz val="8"/>
      <color rgb="FFFF0000"/>
      <name val="Arial Narrow"/>
      <family val="2"/>
      <scheme val="minor"/>
    </font>
    <font>
      <sz val="10"/>
      <color theme="5"/>
      <name val="Arial Narrow"/>
      <family val="2"/>
      <scheme val="minor"/>
    </font>
    <font>
      <b/>
      <sz val="10"/>
      <color theme="9"/>
      <name val="Arial Narrow"/>
      <family val="2"/>
      <scheme val="major"/>
    </font>
    <font>
      <sz val="10"/>
      <name val="Arial Narrow"/>
      <family val="2"/>
      <scheme val="major"/>
    </font>
    <font>
      <sz val="10"/>
      <color theme="8"/>
      <name val="Arial Narrow"/>
      <family val="2"/>
      <scheme val="major"/>
    </font>
    <font>
      <b/>
      <sz val="10"/>
      <color theme="8"/>
      <name val="Arial Narrow"/>
      <family val="2"/>
      <scheme val="major"/>
    </font>
    <font>
      <sz val="10"/>
      <color rgb="FFFF0000"/>
      <name val="Arial Narrow"/>
      <family val="2"/>
      <scheme val="major"/>
    </font>
    <font>
      <b/>
      <sz val="10"/>
      <name val="Arial Narrow"/>
      <family val="2"/>
      <scheme val="major"/>
    </font>
    <font>
      <sz val="10"/>
      <color theme="0"/>
      <name val="Arial Narrow"/>
      <family val="2"/>
      <scheme val="major"/>
    </font>
    <font>
      <b/>
      <sz val="10"/>
      <color rgb="FFFF0000"/>
      <name val="Arial Narrow"/>
      <family val="2"/>
      <scheme val="major"/>
    </font>
    <font>
      <sz val="10"/>
      <color theme="9"/>
      <name val="Arial Narrow"/>
      <family val="2"/>
      <scheme val="major"/>
    </font>
    <font>
      <sz val="10"/>
      <color theme="0" tint="-0.499984740745262"/>
      <name val="Arial Narrow"/>
      <family val="2"/>
      <scheme val="major"/>
    </font>
    <font>
      <sz val="10"/>
      <color theme="6"/>
      <name val="Arial Narrow"/>
      <family val="2"/>
      <scheme val="major"/>
    </font>
    <font>
      <b/>
      <sz val="18"/>
      <color theme="0"/>
      <name val="Arial Narrow"/>
      <family val="2"/>
      <scheme val="minor"/>
    </font>
    <font>
      <sz val="10"/>
      <color theme="7"/>
      <name val="Arial Narrow"/>
      <family val="2"/>
      <scheme val="minor"/>
    </font>
    <font>
      <sz val="10"/>
      <color theme="4"/>
      <name val="Arial Narrow"/>
      <family val="2"/>
      <scheme val="minor"/>
    </font>
    <font>
      <b/>
      <sz val="10"/>
      <color theme="8"/>
      <name val="Arial Narrow"/>
      <family val="2"/>
      <scheme val="minor"/>
    </font>
    <font>
      <i/>
      <sz val="10"/>
      <color theme="0"/>
      <name val="Arial Narrow"/>
      <family val="2"/>
      <scheme val="minor"/>
    </font>
    <font>
      <b/>
      <sz val="10"/>
      <color theme="1"/>
      <name val="Arial Narrow"/>
      <family val="2"/>
      <scheme val="minor"/>
    </font>
    <font>
      <i/>
      <sz val="10"/>
      <name val="Arial Narrow"/>
      <family val="2"/>
      <scheme val="minor"/>
    </font>
    <font>
      <b/>
      <sz val="10"/>
      <color rgb="FFFF0000"/>
      <name val="Arial Narrow"/>
      <family val="2"/>
      <scheme val="minor"/>
    </font>
    <font>
      <sz val="10"/>
      <color theme="8"/>
      <name val="Arial Narrow"/>
      <family val="2"/>
      <scheme val="minor"/>
    </font>
    <font>
      <u/>
      <sz val="10"/>
      <color theme="10"/>
      <name val="Arial Narrow"/>
      <family val="2"/>
      <scheme val="minor"/>
    </font>
    <font>
      <b/>
      <sz val="10"/>
      <color theme="7"/>
      <name val="Arial Narrow"/>
      <family val="2"/>
      <scheme val="minor"/>
    </font>
    <font>
      <sz val="10"/>
      <color rgb="FF00B050"/>
      <name val="Arial Narrow"/>
      <family val="2"/>
      <scheme val="minor"/>
    </font>
    <font>
      <b/>
      <u/>
      <sz val="10"/>
      <color theme="0"/>
      <name val="Arial Narrow"/>
      <family val="2"/>
      <scheme val="minor"/>
    </font>
    <font>
      <i/>
      <sz val="10"/>
      <color rgb="FFFFC000"/>
      <name val="Arial Narrow"/>
      <family val="2"/>
      <scheme val="minor"/>
    </font>
    <font>
      <sz val="10"/>
      <color theme="0" tint="-0.249977111117893"/>
      <name val="Arial Narrow"/>
      <family val="2"/>
      <scheme val="minor"/>
    </font>
    <font>
      <sz val="10"/>
      <color rgb="FFFFFF00"/>
      <name val="Arial Narrow"/>
      <family val="2"/>
      <scheme val="minor"/>
    </font>
    <font>
      <sz val="10"/>
      <name val="Arial Narrow"/>
      <family val="2"/>
      <scheme val="minor"/>
    </font>
    <font>
      <b/>
      <sz val="10"/>
      <color theme="0"/>
      <name val="Arial Narrow"/>
      <family val="2"/>
      <scheme val="major"/>
    </font>
    <font>
      <b/>
      <sz val="10"/>
      <color theme="9" tint="0.79998168889431442"/>
      <name val="Arial Narrow"/>
      <family val="2"/>
      <scheme val="minor"/>
    </font>
    <font>
      <sz val="10"/>
      <color theme="9" tint="0.39997558519241921"/>
      <name val="Arial Narrow"/>
      <family val="2"/>
      <scheme val="minor"/>
    </font>
    <font>
      <b/>
      <sz val="10"/>
      <color rgb="FFFFC000"/>
      <name val="Arial Narrow"/>
      <family val="2"/>
      <scheme val="major"/>
    </font>
    <font>
      <b/>
      <sz val="10"/>
      <color theme="9"/>
      <name val="Arial Narrow"/>
      <family val="2"/>
    </font>
    <font>
      <b/>
      <sz val="10"/>
      <color theme="1"/>
      <name val="Arial Narrow"/>
      <family val="2"/>
    </font>
    <font>
      <b/>
      <sz val="10"/>
      <name val="Arial Narrow"/>
      <family val="2"/>
    </font>
    <font>
      <sz val="10"/>
      <name val="Arial Narrow"/>
      <family val="2"/>
    </font>
    <font>
      <b/>
      <sz val="10"/>
      <color rgb="FFFF0000"/>
      <name val="Arial Narrow"/>
      <family val="2"/>
    </font>
    <font>
      <sz val="10"/>
      <color rgb="FFFF0000"/>
      <name val="Arial Narrow"/>
      <family val="2"/>
    </font>
    <font>
      <i/>
      <sz val="10"/>
      <name val="Arial Narrow"/>
      <family val="2"/>
    </font>
    <font>
      <b/>
      <sz val="13"/>
      <name val="Arial Narrow"/>
      <family val="2"/>
      <scheme val="major"/>
    </font>
    <font>
      <sz val="10"/>
      <color theme="8"/>
      <name val="Arial Narrow"/>
      <family val="2"/>
      <scheme val="minor"/>
    </font>
    <font>
      <sz val="10"/>
      <name val="Arial Narrow"/>
      <family val="2"/>
      <scheme val="minor"/>
    </font>
    <font>
      <sz val="10"/>
      <name val="Arial Narrow"/>
      <family val="2"/>
      <scheme val="minor"/>
    </font>
    <font>
      <b/>
      <sz val="10"/>
      <name val="Wingdings 3"/>
      <family val="1"/>
      <charset val="2"/>
    </font>
    <font>
      <sz val="10"/>
      <name val="Arial Narrow"/>
      <family val="2"/>
      <scheme val="minor"/>
    </font>
    <font>
      <sz val="10"/>
      <name val="Arial Narrow"/>
      <family val="2"/>
      <scheme val="minor"/>
    </font>
    <font>
      <b/>
      <sz val="10"/>
      <color theme="9" tint="0.39997558519241921"/>
      <name val="Arial Narrow"/>
      <family val="2"/>
      <scheme val="minor"/>
    </font>
    <font>
      <b/>
      <sz val="9"/>
      <color theme="9" tint="0.39997558519241921"/>
      <name val="Roboto Light"/>
    </font>
    <font>
      <sz val="10"/>
      <color theme="9" tint="0.79998168889431442"/>
      <name val="Arial Narrow"/>
      <family val="2"/>
      <scheme val="minor"/>
    </font>
    <font>
      <sz val="10"/>
      <color theme="9" tint="0.39997558519241921"/>
      <name val="Arial Narrow"/>
      <family val="2"/>
    </font>
    <font>
      <b/>
      <sz val="9"/>
      <name val="Arial Narrow"/>
      <family val="2"/>
    </font>
    <font>
      <sz val="9"/>
      <name val="Wingdings 2"/>
      <family val="1"/>
      <charset val="2"/>
    </font>
    <font>
      <b/>
      <sz val="10"/>
      <color theme="0"/>
      <name val="Arial"/>
      <family val="2"/>
    </font>
    <font>
      <sz val="18"/>
      <name val="Arial"/>
      <family val="2"/>
    </font>
    <font>
      <sz val="10"/>
      <color theme="0"/>
      <name val="Arial"/>
      <family val="2"/>
    </font>
    <font>
      <sz val="10"/>
      <name val="Arial Narrow"/>
      <family val="2"/>
      <scheme val="minor"/>
    </font>
    <font>
      <sz val="10"/>
      <name val="Arial Narrow"/>
      <family val="2"/>
      <scheme val="minor"/>
    </font>
    <font>
      <sz val="10"/>
      <color theme="0"/>
      <name val="Arial Narrow"/>
      <family val="2"/>
      <scheme val="minor"/>
    </font>
    <font>
      <sz val="8"/>
      <name val="Arial"/>
      <family val="2"/>
    </font>
    <font>
      <sz val="10"/>
      <name val="Arial Narrow"/>
      <family val="2"/>
      <scheme val="minor"/>
    </font>
    <font>
      <vertAlign val="subscript"/>
      <sz val="10"/>
      <name val="Arial Narrow"/>
      <family val="2"/>
      <scheme val="minor"/>
    </font>
    <font>
      <sz val="10"/>
      <name val="Symbol"/>
      <family val="1"/>
      <charset val="2"/>
    </font>
    <font>
      <sz val="10"/>
      <name val="Arial Narrow"/>
      <family val="1"/>
      <charset val="2"/>
    </font>
    <font>
      <b/>
      <sz val="10"/>
      <name val="Arial Narrow"/>
      <family val="1"/>
      <charset val="2"/>
    </font>
    <font>
      <sz val="10"/>
      <name val="Arial Narrow"/>
      <family val="1"/>
      <charset val="2"/>
      <scheme val="minor"/>
    </font>
    <font>
      <sz val="10"/>
      <name val="Arial Narrow"/>
      <family val="2"/>
      <scheme val="minor"/>
    </font>
    <font>
      <sz val="10"/>
      <name val="Arial Narrow"/>
      <family val="2"/>
      <scheme val="minor"/>
    </font>
    <font>
      <sz val="10"/>
      <name val="Arial Narrow"/>
      <family val="2"/>
      <scheme val="minor"/>
    </font>
    <font>
      <sz val="10"/>
      <name val="Arial Narrow"/>
      <family val="2"/>
      <scheme val="minor"/>
    </font>
    <font>
      <sz val="10"/>
      <name val="Arial Narrow"/>
      <family val="2"/>
      <scheme val="minor"/>
    </font>
    <font>
      <sz val="10"/>
      <color theme="1"/>
      <name val="Arial Narrow"/>
      <family val="2"/>
      <scheme val="minor"/>
    </font>
    <font>
      <sz val="10"/>
      <color theme="4"/>
      <name val="Arial Narrow"/>
      <family val="2"/>
      <scheme val="minor"/>
    </font>
    <font>
      <sz val="10"/>
      <color theme="0" tint="-0.499984740745262"/>
      <name val="Arial Narrow"/>
      <family val="2"/>
      <scheme val="minor"/>
    </font>
    <font>
      <i/>
      <sz val="10"/>
      <name val="Arial Narrow"/>
      <family val="2"/>
      <scheme val="minor"/>
    </font>
    <font>
      <sz val="10"/>
      <name val="Arial Narrow"/>
      <family val="2"/>
      <scheme val="minor"/>
    </font>
    <font>
      <sz val="10"/>
      <color theme="9" tint="0.79998168889431442"/>
      <name val="Arial Narrow"/>
      <family val="2"/>
      <scheme val="minor"/>
    </font>
    <font>
      <sz val="10"/>
      <color theme="0"/>
      <name val="Arial Narrow"/>
      <family val="2"/>
      <scheme val="minor"/>
    </font>
    <font>
      <sz val="11"/>
      <color theme="1"/>
      <name val="Roboto Light"/>
    </font>
    <font>
      <b/>
      <sz val="11"/>
      <color theme="1"/>
      <name val="Roboto Light"/>
    </font>
    <font>
      <b/>
      <sz val="11"/>
      <color theme="0"/>
      <name val="Roboto Light"/>
    </font>
    <font>
      <sz val="10"/>
      <name val="Roboto Light"/>
    </font>
    <font>
      <sz val="11"/>
      <name val="Roboto Light"/>
    </font>
    <font>
      <b/>
      <sz val="11"/>
      <name val="Roboto Light"/>
    </font>
    <font>
      <b/>
      <sz val="14"/>
      <color theme="0"/>
      <name val="Roboto Light"/>
    </font>
    <font>
      <b/>
      <sz val="9"/>
      <color indexed="81"/>
      <name val="Segoe UI"/>
      <family val="2"/>
    </font>
    <font>
      <sz val="8"/>
      <name val="Roboto Light"/>
    </font>
    <font>
      <b/>
      <sz val="8"/>
      <name val="Roboto Light"/>
    </font>
    <font>
      <u/>
      <sz val="8"/>
      <name val="Roboto Light"/>
    </font>
    <font>
      <b/>
      <sz val="8"/>
      <color theme="0"/>
      <name val="Roboto Light"/>
    </font>
    <font>
      <b/>
      <u/>
      <sz val="8"/>
      <name val="Roboto Light"/>
    </font>
    <font>
      <i/>
      <sz val="8"/>
      <name val="Roboto Light"/>
    </font>
    <font>
      <sz val="8"/>
      <color theme="0"/>
      <name val="Roboto Light"/>
    </font>
  </fonts>
  <fills count="59">
    <fill>
      <patternFill patternType="none"/>
    </fill>
    <fill>
      <patternFill patternType="gray125"/>
    </fill>
    <fill>
      <patternFill patternType="solid">
        <fgColor indexed="26"/>
      </patternFill>
    </fill>
    <fill>
      <patternFill patternType="solid">
        <fgColor indexed="27"/>
      </patternFill>
    </fill>
    <fill>
      <patternFill patternType="solid">
        <fgColor indexed="8"/>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9"/>
      </patternFill>
    </fill>
    <fill>
      <patternFill patternType="solid">
        <fgColor indexed="46"/>
      </patternFill>
    </fill>
    <fill>
      <patternFill patternType="solid">
        <fgColor indexed="55"/>
      </patternFill>
    </fill>
    <fill>
      <patternFill patternType="solid">
        <fgColor theme="0"/>
        <bgColor indexed="64"/>
      </patternFill>
    </fill>
    <fill>
      <patternFill patternType="solid">
        <fgColor theme="9"/>
        <bgColor indexed="64"/>
      </patternFill>
    </fill>
    <fill>
      <patternFill patternType="solid">
        <fgColor theme="4"/>
        <bgColor indexed="64"/>
      </patternFill>
    </fill>
    <fill>
      <patternFill patternType="solid">
        <fgColor theme="7" tint="0.79998168889431442"/>
        <bgColor indexed="64"/>
      </patternFill>
    </fill>
    <fill>
      <patternFill patternType="solid">
        <fgColor theme="8"/>
        <bgColor indexed="64"/>
      </patternFill>
    </fill>
    <fill>
      <patternFill patternType="solid">
        <fgColor theme="8"/>
        <bgColor indexed="26"/>
      </patternFill>
    </fill>
    <fill>
      <patternFill patternType="solid">
        <fgColor theme="9" tint="0.79998168889431442"/>
        <bgColor rgb="FF000000"/>
      </patternFill>
    </fill>
    <fill>
      <patternFill patternType="gray125">
        <fgColor auto="1"/>
        <bgColor theme="8"/>
      </patternFill>
    </fill>
    <fill>
      <patternFill patternType="gray125">
        <fgColor auto="1"/>
        <bgColor theme="9" tint="0.79998168889431442"/>
      </patternFill>
    </fill>
    <fill>
      <patternFill patternType="solid">
        <fgColor theme="6"/>
        <bgColor indexed="64"/>
      </patternFill>
    </fill>
    <fill>
      <patternFill patternType="solid">
        <fgColor rgb="FF448E5B"/>
        <bgColor indexed="64"/>
      </patternFill>
    </fill>
    <fill>
      <patternFill patternType="solid">
        <fgColor rgb="FFC00000"/>
        <bgColor indexed="64"/>
      </patternFill>
    </fill>
    <fill>
      <patternFill patternType="solid">
        <fgColor rgb="FF92D050"/>
        <bgColor indexed="64"/>
      </patternFill>
    </fill>
    <fill>
      <patternFill patternType="solid">
        <fgColor theme="9" tint="0.79998168889431442"/>
        <bgColor theme="9" tint="0.79998168889431442"/>
      </patternFill>
    </fill>
    <fill>
      <patternFill patternType="solid">
        <fgColor theme="9" tint="0.39997558519241921"/>
        <bgColor rgb="FF000000"/>
      </patternFill>
    </fill>
    <fill>
      <patternFill patternType="gray125">
        <fgColor auto="1"/>
        <bgColor theme="9" tint="0.39997558519241921"/>
      </patternFill>
    </fill>
    <fill>
      <patternFill patternType="solid">
        <fgColor theme="5" tint="0.59999389629810485"/>
        <bgColor rgb="FF000000"/>
      </patternFill>
    </fill>
    <fill>
      <patternFill patternType="gray125">
        <fgColor auto="1"/>
        <bgColor theme="5" tint="0.59999389629810485"/>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C000"/>
        <bgColor indexed="64"/>
      </patternFill>
    </fill>
    <fill>
      <gradientFill>
        <stop position="0">
          <color theme="0"/>
        </stop>
        <stop position="1">
          <color theme="9" tint="0.80001220740379042"/>
        </stop>
      </gradientFill>
    </fill>
    <fill>
      <patternFill patternType="solid">
        <fgColor theme="8" tint="0.249977111117893"/>
        <bgColor rgb="FF000000"/>
      </patternFill>
    </fill>
    <fill>
      <patternFill patternType="gray125">
        <fgColor auto="1"/>
        <bgColor theme="8" tint="0.89999084444715716"/>
      </patternFill>
    </fill>
    <fill>
      <patternFill patternType="solid">
        <fgColor theme="8" tint="0.89999084444715716"/>
        <bgColor rgb="FF000000"/>
      </patternFill>
    </fill>
    <fill>
      <patternFill patternType="gray125">
        <fgColor auto="1"/>
        <bgColor theme="8" tint="0.749992370372631"/>
      </patternFill>
    </fill>
    <fill>
      <patternFill patternType="solid">
        <fgColor theme="8" tint="0.749992370372631"/>
        <bgColor rgb="FF000000"/>
      </patternFill>
    </fill>
    <fill>
      <patternFill patternType="gray125">
        <fgColor auto="1"/>
        <bgColor theme="5"/>
      </patternFill>
    </fill>
    <fill>
      <patternFill patternType="solid">
        <fgColor theme="5"/>
        <bgColor rgb="FF000000"/>
      </patternFill>
    </fill>
    <fill>
      <patternFill patternType="gray125">
        <fgColor auto="1"/>
        <bgColor theme="8" tint="0.249977111117893"/>
      </patternFill>
    </fill>
    <fill>
      <patternFill patternType="solid">
        <fgColor theme="8" tint="0.249977111117893"/>
        <bgColor indexed="64"/>
      </patternFill>
    </fill>
    <fill>
      <patternFill patternType="solid">
        <fgColor theme="8" tint="0.749992370372631"/>
        <bgColor indexed="64"/>
      </patternFill>
    </fill>
    <fill>
      <patternFill patternType="solid">
        <fgColor theme="4"/>
        <bgColor theme="4"/>
      </patternFill>
    </fill>
    <fill>
      <patternFill patternType="solid">
        <fgColor theme="0" tint="-4.9989318521683403E-2"/>
        <bgColor indexed="64"/>
      </patternFill>
    </fill>
    <fill>
      <patternFill patternType="solid">
        <fgColor rgb="FFD4FAE1"/>
        <bgColor indexed="64"/>
      </patternFill>
    </fill>
    <fill>
      <patternFill patternType="solid">
        <fgColor rgb="FFFDFCC0"/>
        <bgColor indexed="64"/>
      </patternFill>
    </fill>
    <fill>
      <patternFill patternType="solid">
        <fgColor rgb="FFF8F0F5"/>
        <bgColor indexed="64"/>
      </patternFill>
    </fill>
    <fill>
      <patternFill patternType="solid">
        <fgColor theme="5" tint="0.79998168889431442"/>
        <bgColor indexed="64"/>
      </patternFill>
    </fill>
    <fill>
      <patternFill patternType="solid">
        <fgColor theme="8" tint="0.89999084444715716"/>
        <bgColor indexed="64"/>
      </patternFill>
    </fill>
    <fill>
      <patternFill patternType="solid">
        <fgColor theme="4" tint="0.59999389629810485"/>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002060"/>
        <bgColor indexed="64"/>
      </patternFill>
    </fill>
    <fill>
      <patternFill patternType="solid">
        <fgColor theme="8"/>
        <bgColor theme="8"/>
      </patternFill>
    </fill>
  </fills>
  <borders count="133">
    <border>
      <left/>
      <right/>
      <top/>
      <bottom/>
      <diagonal/>
    </border>
    <border>
      <left/>
      <right/>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56"/>
      </top>
      <bottom style="double">
        <color indexed="56"/>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double">
        <color indexed="63"/>
      </left>
      <right style="double">
        <color indexed="63"/>
      </right>
      <top style="double">
        <color indexed="63"/>
      </top>
      <bottom style="double">
        <color indexed="63"/>
      </bottom>
      <diagonal/>
    </border>
    <border>
      <left style="thin">
        <color indexed="64"/>
      </left>
      <right/>
      <top/>
      <bottom/>
      <diagonal/>
    </border>
    <border>
      <left/>
      <right style="thin">
        <color indexed="64"/>
      </right>
      <top/>
      <bottom/>
      <diagonal/>
    </border>
    <border>
      <left/>
      <right/>
      <top style="medium">
        <color indexed="64"/>
      </top>
      <bottom/>
      <diagonal/>
    </border>
    <border>
      <left style="thin">
        <color indexed="64"/>
      </left>
      <right style="thin">
        <color indexed="64"/>
      </right>
      <top/>
      <bottom/>
      <diagonal/>
    </border>
    <border>
      <left/>
      <right style="hair">
        <color indexed="64"/>
      </right>
      <top/>
      <bottom style="hair">
        <color indexed="64"/>
      </bottom>
      <diagonal/>
    </border>
    <border>
      <left style="thin">
        <color indexed="64"/>
      </left>
      <right/>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thin">
        <color indexed="64"/>
      </top>
      <bottom style="thin">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style="thin">
        <color indexed="64"/>
      </left>
      <right style="hair">
        <color indexed="64"/>
      </right>
      <top/>
      <bottom style="thin">
        <color indexed="64"/>
      </bottom>
      <diagonal/>
    </border>
    <border>
      <left/>
      <right/>
      <top/>
      <bottom style="medium">
        <color auto="1"/>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hair">
        <color indexed="64"/>
      </right>
      <top/>
      <bottom/>
      <diagonal/>
    </border>
    <border>
      <left style="hair">
        <color indexed="64"/>
      </left>
      <right style="thin">
        <color indexed="64"/>
      </right>
      <top/>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diagonal/>
    </border>
    <border>
      <left/>
      <right style="medium">
        <color indexed="64"/>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hair">
        <color indexed="64"/>
      </bottom>
      <diagonal/>
    </border>
    <border>
      <left/>
      <right/>
      <top style="hair">
        <color indexed="64"/>
      </top>
      <bottom style="hair">
        <color indexed="64"/>
      </bottom>
      <diagonal/>
    </border>
    <border>
      <left/>
      <right style="medium">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right/>
      <top style="medium">
        <color indexed="64"/>
      </top>
      <bottom style="thin">
        <color indexed="64"/>
      </bottom>
      <diagonal/>
    </border>
    <border>
      <left/>
      <right style="hair">
        <color indexed="64"/>
      </right>
      <top style="medium">
        <color indexed="64"/>
      </top>
      <bottom style="thin">
        <color indexed="64"/>
      </bottom>
      <diagonal/>
    </border>
    <border>
      <left style="medium">
        <color indexed="64"/>
      </left>
      <right style="hair">
        <color indexed="64"/>
      </right>
      <top style="medium">
        <color indexed="64"/>
      </top>
      <bottom style="thin">
        <color indexed="64"/>
      </bottom>
      <diagonal/>
    </border>
    <border>
      <left/>
      <right style="thin">
        <color indexed="64"/>
      </right>
      <top style="hair">
        <color indexed="64"/>
      </top>
      <bottom style="medium">
        <color indexed="64"/>
      </bottom>
      <diagonal/>
    </border>
    <border>
      <left/>
      <right style="thin">
        <color indexed="64"/>
      </right>
      <top style="medium">
        <color indexed="64"/>
      </top>
      <bottom style="thin">
        <color indexed="64"/>
      </bottom>
      <diagonal/>
    </border>
    <border>
      <left style="hair">
        <color indexed="64"/>
      </left>
      <right/>
      <top/>
      <bottom style="hair">
        <color indexed="64"/>
      </bottom>
      <diagonal/>
    </border>
    <border>
      <left/>
      <right/>
      <top style="thin">
        <color theme="8" tint="0.39994506668294322"/>
      </top>
      <bottom/>
      <diagonal/>
    </border>
    <border>
      <left style="thin">
        <color indexed="64"/>
      </left>
      <right/>
      <top style="thin">
        <color theme="8" tint="0.39994506668294322"/>
      </top>
      <bottom/>
      <diagonal/>
    </border>
    <border>
      <left/>
      <right style="thin">
        <color indexed="64"/>
      </right>
      <top style="thin">
        <color theme="8" tint="0.39994506668294322"/>
      </top>
      <bottom/>
      <diagonal/>
    </border>
    <border>
      <left style="thin">
        <color theme="8" tint="0.39991454817346722"/>
      </left>
      <right/>
      <top style="thin">
        <color theme="8" tint="0.39994506668294322"/>
      </top>
      <bottom/>
      <diagonal/>
    </border>
    <border>
      <left style="thin">
        <color theme="9" tint="0.39997558519241921"/>
      </left>
      <right/>
      <top style="thin">
        <color theme="9" tint="0.39997558519241921"/>
      </top>
      <bottom style="thin">
        <color theme="9" tint="0.39997558519241921"/>
      </bottom>
      <diagonal/>
    </border>
    <border>
      <left/>
      <right style="thin">
        <color theme="8" tint="0.39988402966399123"/>
      </right>
      <top style="thin">
        <color theme="8" tint="0.39994506668294322"/>
      </top>
      <bottom/>
      <diagonal/>
    </border>
    <border>
      <left style="thin">
        <color theme="8" tint="0.39991454817346722"/>
      </left>
      <right style="thin">
        <color theme="8" tint="0.39991454817346722"/>
      </right>
      <top/>
      <bottom/>
      <diagonal/>
    </border>
    <border>
      <left style="thin">
        <color theme="8" tint="0.39991454817346722"/>
      </left>
      <right style="thin">
        <color theme="8" tint="0.39991454817346722"/>
      </right>
      <top style="thin">
        <color theme="8" tint="0.39988402966399123"/>
      </top>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top style="thin">
        <color theme="8" tint="0.39988402966399123"/>
      </top>
      <bottom style="thin">
        <color theme="8" tint="0.39988402966399123"/>
      </bottom>
      <diagonal/>
    </border>
    <border>
      <left/>
      <right style="thin">
        <color theme="8" tint="0.39985351115451523"/>
      </right>
      <top style="thin">
        <color theme="8" tint="0.39988402966399123"/>
      </top>
      <bottom style="thin">
        <color theme="8" tint="0.39988402966399123"/>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diagonal/>
    </border>
    <border>
      <left style="thick">
        <color indexed="64"/>
      </left>
      <right style="thin">
        <color indexed="64"/>
      </right>
      <top style="thin">
        <color indexed="64"/>
      </top>
      <bottom/>
      <diagonal/>
    </border>
    <border>
      <left style="thin">
        <color indexed="64"/>
      </left>
      <right style="thin">
        <color theme="8" tint="0.39991454817346722"/>
      </right>
      <top style="thin">
        <color theme="8" tint="0.39988402966399123"/>
      </top>
      <bottom/>
      <diagonal/>
    </border>
    <border>
      <left style="thin">
        <color theme="8" tint="0.39991454817346722"/>
      </left>
      <right style="thin">
        <color indexed="64"/>
      </right>
      <top style="thin">
        <color theme="8" tint="0.39988402966399123"/>
      </top>
      <bottom/>
      <diagonal/>
    </border>
    <border>
      <left style="thin">
        <color theme="8" tint="0.39991454817346722"/>
      </left>
      <right style="thin">
        <color indexed="64"/>
      </right>
      <top/>
      <bottom/>
      <diagonal/>
    </border>
    <border>
      <left style="thin">
        <color theme="9" tint="0.39997558519241921"/>
      </left>
      <right/>
      <top style="thin">
        <color theme="9" tint="0.39997558519241921"/>
      </top>
      <bottom/>
      <diagonal/>
    </border>
    <border>
      <left/>
      <right style="hair">
        <color indexed="64"/>
      </right>
      <top/>
      <bottom style="thin">
        <color indexed="64"/>
      </bottom>
      <diagonal/>
    </border>
    <border>
      <left style="thin">
        <color rgb="FFFF0000"/>
      </left>
      <right style="thin">
        <color rgb="FFFF0000"/>
      </right>
      <top/>
      <bottom/>
      <diagonal/>
    </border>
    <border>
      <left/>
      <right style="thin">
        <color rgb="FFFF0000"/>
      </right>
      <top/>
      <bottom/>
      <diagonal/>
    </border>
    <border>
      <left style="thin">
        <color rgb="FFFF0000"/>
      </left>
      <right/>
      <top/>
      <bottom/>
      <diagonal/>
    </border>
    <border>
      <left/>
      <right style="thin">
        <color theme="0"/>
      </right>
      <top/>
      <bottom/>
      <diagonal/>
    </border>
    <border>
      <left style="thin">
        <color theme="0"/>
      </left>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top style="thin">
        <color theme="8" tint="0.39988402966399123"/>
      </top>
      <bottom style="thin">
        <color theme="8" tint="0.39988402966399123"/>
      </bottom>
      <diagonal/>
    </border>
    <border>
      <left style="thin">
        <color theme="8" tint="0.39985351115451523"/>
      </left>
      <right/>
      <top style="thin">
        <color theme="8" tint="0.39988402966399123"/>
      </top>
      <bottom style="thin">
        <color theme="8" tint="0.39988402966399123"/>
      </bottom>
      <diagonal/>
    </border>
    <border>
      <left/>
      <right/>
      <top/>
      <bottom style="medium">
        <color indexed="64"/>
      </bottom>
      <diagonal/>
    </border>
    <border>
      <left style="thin">
        <color theme="0"/>
      </left>
      <right/>
      <top/>
      <bottom style="thin">
        <color theme="0"/>
      </bottom>
      <diagonal/>
    </border>
    <border>
      <left/>
      <right/>
      <top style="medium">
        <color auto="1"/>
      </top>
      <bottom/>
      <diagonal/>
    </border>
    <border>
      <left/>
      <right/>
      <top/>
      <bottom style="hair">
        <color indexed="64"/>
      </bottom>
      <diagonal/>
    </border>
    <border>
      <left style="hair">
        <color indexed="64"/>
      </left>
      <right style="thin">
        <color indexed="64"/>
      </right>
      <top style="hair">
        <color indexed="64"/>
      </top>
      <bottom style="hair">
        <color indexed="64"/>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style="medium">
        <color indexed="64"/>
      </left>
      <right/>
      <top style="medium">
        <color indexed="64"/>
      </top>
      <bottom style="dashed">
        <color indexed="64"/>
      </bottom>
      <diagonal/>
    </border>
    <border>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top/>
      <bottom style="medium">
        <color indexed="64"/>
      </bottom>
      <diagonal/>
    </border>
    <border>
      <left style="dashed">
        <color indexed="64"/>
      </left>
      <right style="medium">
        <color indexed="64"/>
      </right>
      <top style="dashed">
        <color indexed="64"/>
      </top>
      <bottom style="medium">
        <color indexed="64"/>
      </bottom>
      <diagonal/>
    </border>
    <border>
      <left style="medium">
        <color indexed="64"/>
      </left>
      <right style="dashed">
        <color indexed="64"/>
      </right>
      <top style="dashed">
        <color indexed="64"/>
      </top>
      <bottom style="medium">
        <color indexed="64"/>
      </bottom>
      <diagonal/>
    </border>
    <border>
      <left style="medium">
        <color indexed="64"/>
      </left>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style="thin">
        <color indexed="64"/>
      </top>
      <bottom/>
      <diagonal/>
    </border>
    <border>
      <left style="thin">
        <color indexed="64"/>
      </left>
      <right style="hair">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rgb="FFFF0000"/>
      </left>
      <right style="thin">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theme="8"/>
      </left>
      <right style="thin">
        <color theme="8"/>
      </right>
      <top style="thin">
        <color theme="8"/>
      </top>
      <bottom/>
      <diagonal/>
    </border>
    <border>
      <left style="thin">
        <color theme="8"/>
      </left>
      <right style="thin">
        <color theme="8"/>
      </right>
      <top style="thin">
        <color theme="8"/>
      </top>
      <bottom style="thin">
        <color theme="8"/>
      </bottom>
      <diagonal/>
    </border>
  </borders>
  <cellStyleXfs count="72">
    <xf numFmtId="0" fontId="0" fillId="0" borderId="0"/>
    <xf numFmtId="0" fontId="20" fillId="7"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1" fillId="11" borderId="2" applyNumberFormat="0" applyAlignment="0" applyProtection="0"/>
    <xf numFmtId="0" fontId="22" fillId="11" borderId="3" applyNumberFormat="0" applyAlignment="0" applyProtection="0"/>
    <xf numFmtId="0" fontId="23" fillId="4" borderId="3" applyNumberFormat="0" applyAlignment="0" applyProtection="0"/>
    <xf numFmtId="0" fontId="21" fillId="0" borderId="4" applyNumberFormat="0" applyFill="0" applyAlignment="0" applyProtection="0"/>
    <xf numFmtId="0" fontId="24" fillId="0" borderId="0" applyNumberFormat="0" applyFill="0" applyBorder="0" applyAlignment="0" applyProtection="0"/>
    <xf numFmtId="0" fontId="25" fillId="3" borderId="0" applyNumberFormat="0" applyBorder="0" applyAlignment="0" applyProtection="0"/>
    <xf numFmtId="0" fontId="26" fillId="4" borderId="0" applyNumberFormat="0" applyBorder="0" applyAlignment="0" applyProtection="0"/>
    <xf numFmtId="0" fontId="19" fillId="2" borderId="7" applyNumberFormat="0" applyFont="0" applyAlignment="0" applyProtection="0"/>
    <xf numFmtId="0" fontId="27" fillId="12" borderId="0" applyNumberFormat="0" applyBorder="0" applyAlignment="0" applyProtection="0"/>
    <xf numFmtId="0" fontId="28" fillId="0" borderId="0" applyNumberFormat="0" applyFill="0" applyBorder="0" applyAlignment="0" applyProtection="0"/>
    <xf numFmtId="0" fontId="29" fillId="0" borderId="8" applyNumberFormat="0" applyFill="0" applyAlignment="0" applyProtection="0"/>
    <xf numFmtId="0" fontId="30" fillId="0" borderId="9" applyNumberFormat="0" applyFill="0" applyAlignment="0" applyProtection="0"/>
    <xf numFmtId="0" fontId="31" fillId="0" borderId="10" applyNumberFormat="0" applyFill="0" applyAlignment="0" applyProtection="0"/>
    <xf numFmtId="0" fontId="31" fillId="0" borderId="0" applyNumberFormat="0" applyFill="0" applyBorder="0" applyAlignment="0" applyProtection="0"/>
    <xf numFmtId="0" fontId="32" fillId="0" borderId="11" applyNumberFormat="0" applyFill="0" applyAlignment="0" applyProtection="0"/>
    <xf numFmtId="0" fontId="32" fillId="0" borderId="0" applyNumberFormat="0" applyFill="0" applyBorder="0" applyAlignment="0" applyProtection="0"/>
    <xf numFmtId="0" fontId="33" fillId="13" borderId="12" applyNumberFormat="0" applyAlignment="0" applyProtection="0"/>
    <xf numFmtId="9" fontId="34" fillId="0" borderId="0" applyFont="0" applyFill="0" applyBorder="0" applyAlignment="0" applyProtection="0"/>
    <xf numFmtId="166" fontId="36" fillId="0" borderId="0" applyFont="0" applyFill="0" applyBorder="0" applyAlignment="0" applyProtection="0"/>
    <xf numFmtId="0" fontId="42" fillId="0" borderId="0" applyNumberFormat="0" applyFill="0" applyBorder="0" applyAlignment="0" applyProtection="0"/>
    <xf numFmtId="0" fontId="18" fillId="0" borderId="0"/>
    <xf numFmtId="9" fontId="18" fillId="0" borderId="0" applyFont="0" applyFill="0" applyBorder="0" applyAlignment="0" applyProtection="0"/>
    <xf numFmtId="0" fontId="18" fillId="0" borderId="0"/>
    <xf numFmtId="0" fontId="17"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164" fontId="18" fillId="0" borderId="0" applyFont="0" applyFill="0" applyBorder="0" applyAlignment="0" applyProtection="0"/>
    <xf numFmtId="0" fontId="45" fillId="0" borderId="0"/>
    <xf numFmtId="165" fontId="18" fillId="0" borderId="0" applyFont="0" applyFill="0" applyBorder="0" applyAlignment="0" applyProtection="0"/>
    <xf numFmtId="0" fontId="16" fillId="0" borderId="0"/>
    <xf numFmtId="0" fontId="15" fillId="0" borderId="0"/>
    <xf numFmtId="0" fontId="46" fillId="0" borderId="0"/>
    <xf numFmtId="0" fontId="14" fillId="0" borderId="0"/>
    <xf numFmtId="0" fontId="13" fillId="0" borderId="0"/>
    <xf numFmtId="0" fontId="18" fillId="2" borderId="7" applyNumberFormat="0" applyFont="0" applyAlignment="0" applyProtection="0"/>
    <xf numFmtId="166" fontId="18" fillId="0" borderId="0" applyFont="0" applyFill="0" applyBorder="0" applyAlignment="0" applyProtection="0"/>
    <xf numFmtId="0" fontId="12" fillId="0" borderId="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5" fontId="18" fillId="0" borderId="0" applyFont="0" applyFill="0" applyBorder="0" applyAlignment="0" applyProtection="0"/>
    <xf numFmtId="0" fontId="12" fillId="0" borderId="0"/>
    <xf numFmtId="0" fontId="12" fillId="0" borderId="0"/>
    <xf numFmtId="0" fontId="18" fillId="0" borderId="0"/>
    <xf numFmtId="0" fontId="12" fillId="0" borderId="0"/>
    <xf numFmtId="0" fontId="12" fillId="0" borderId="0"/>
    <xf numFmtId="9" fontId="12" fillId="0" borderId="0" applyFont="0" applyFill="0" applyBorder="0" applyAlignment="0" applyProtection="0"/>
    <xf numFmtId="0" fontId="12" fillId="0" borderId="0"/>
    <xf numFmtId="9" fontId="11" fillId="0" borderId="0" applyFont="0" applyFill="0" applyBorder="0" applyAlignment="0" applyProtection="0"/>
    <xf numFmtId="9" fontId="10" fillId="0" borderId="0" applyFont="0" applyFill="0" applyBorder="0" applyAlignment="0" applyProtection="0"/>
    <xf numFmtId="9" fontId="9" fillId="0" borderId="0" applyFont="0" applyFill="0" applyBorder="0" applyAlignment="0" applyProtection="0"/>
    <xf numFmtId="9" fontId="8" fillId="0" borderId="0" applyFont="0" applyFill="0" applyBorder="0" applyAlignment="0" applyProtection="0"/>
    <xf numFmtId="0" fontId="42" fillId="0" borderId="0" applyNumberFormat="0" applyFill="0" applyBorder="0" applyAlignment="0" applyProtection="0"/>
    <xf numFmtId="9" fontId="7" fillId="0" borderId="0" applyFont="0" applyFill="0" applyBorder="0" applyAlignment="0" applyProtection="0"/>
    <xf numFmtId="0" fontId="7" fillId="0" borderId="0"/>
    <xf numFmtId="9" fontId="6" fillId="0" borderId="0" applyFont="0" applyFill="0" applyBorder="0" applyAlignment="0" applyProtection="0"/>
    <xf numFmtId="9" fontId="5" fillId="0" borderId="0" applyFont="0" applyFill="0" applyBorder="0" applyAlignment="0" applyProtection="0"/>
    <xf numFmtId="0" fontId="4" fillId="0" borderId="0"/>
    <xf numFmtId="9" fontId="4" fillId="0" borderId="0" applyFont="0" applyFill="0" applyBorder="0" applyAlignment="0" applyProtection="0"/>
    <xf numFmtId="0" fontId="18" fillId="0" borderId="0"/>
    <xf numFmtId="43" fontId="4" fillId="0" borderId="0" applyFont="0" applyFill="0" applyBorder="0" applyAlignment="0" applyProtection="0"/>
    <xf numFmtId="9" fontId="3"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1489">
    <xf numFmtId="0" fontId="0" fillId="0" borderId="0" xfId="0"/>
    <xf numFmtId="0" fontId="0" fillId="0" borderId="0" xfId="0" applyAlignment="1">
      <alignment horizontal="center"/>
    </xf>
    <xf numFmtId="0" fontId="47" fillId="0" borderId="0" xfId="0" applyFont="1" applyAlignment="1">
      <alignment horizontal="center" vertical="center"/>
    </xf>
    <xf numFmtId="0" fontId="47" fillId="0" borderId="0" xfId="0" applyFont="1" applyAlignment="1">
      <alignment horizontal="left" indent="2"/>
    </xf>
    <xf numFmtId="0" fontId="47" fillId="0" borderId="0" xfId="0" applyFont="1" applyAlignment="1">
      <alignment horizontal="center"/>
    </xf>
    <xf numFmtId="0" fontId="47" fillId="0" borderId="0" xfId="0" applyFont="1"/>
    <xf numFmtId="0" fontId="47" fillId="0" borderId="0" xfId="0" applyFont="1" applyAlignment="1">
      <alignment horizontal="center" vertical="center" wrapText="1"/>
    </xf>
    <xf numFmtId="0" fontId="47" fillId="0" borderId="0" xfId="0" applyFont="1" applyAlignment="1">
      <alignment horizontal="left" wrapText="1" indent="1"/>
    </xf>
    <xf numFmtId="0" fontId="47" fillId="0" borderId="0" xfId="0" applyFont="1" applyAlignment="1">
      <alignment horizontal="center" wrapText="1"/>
    </xf>
    <xf numFmtId="173" fontId="47" fillId="0" borderId="0" xfId="0" applyNumberFormat="1" applyFont="1" applyAlignment="1">
      <alignment horizontal="center" vertical="center" wrapText="1"/>
    </xf>
    <xf numFmtId="0" fontId="47" fillId="0" borderId="0" xfId="0" applyFont="1" applyAlignment="1">
      <alignment horizontal="left" vertical="center" wrapText="1" indent="1"/>
    </xf>
    <xf numFmtId="0" fontId="47" fillId="0" borderId="0" xfId="0" quotePrefix="1" applyFont="1" applyAlignment="1">
      <alignment horizontal="center" vertical="center" wrapText="1"/>
    </xf>
    <xf numFmtId="14" fontId="47" fillId="0" borderId="0" xfId="0" applyNumberFormat="1" applyFont="1" applyAlignment="1">
      <alignment horizontal="center" vertical="center" wrapText="1"/>
    </xf>
    <xf numFmtId="0" fontId="47" fillId="0" borderId="0" xfId="0" applyFont="1" applyAlignment="1">
      <alignment vertical="center"/>
    </xf>
    <xf numFmtId="0" fontId="51" fillId="0" borderId="0" xfId="0" applyFont="1" applyAlignment="1">
      <alignment horizontal="center" vertical="center" wrapText="1"/>
    </xf>
    <xf numFmtId="0" fontId="52" fillId="0" borderId="29" xfId="0" applyFont="1" applyBorder="1" applyAlignment="1">
      <alignment vertical="center"/>
    </xf>
    <xf numFmtId="171" fontId="52" fillId="0" borderId="29" xfId="0" applyNumberFormat="1" applyFont="1" applyBorder="1" applyAlignment="1">
      <alignment horizontal="center" vertical="center" wrapText="1"/>
    </xf>
    <xf numFmtId="0" fontId="52" fillId="0" borderId="28" xfId="0" applyFont="1" applyBorder="1" applyAlignment="1">
      <alignment vertical="center"/>
    </xf>
    <xf numFmtId="1" fontId="47" fillId="0" borderId="28" xfId="0" applyNumberFormat="1" applyFont="1" applyBorder="1" applyAlignment="1">
      <alignment horizontal="center" vertical="center"/>
    </xf>
    <xf numFmtId="0" fontId="47" fillId="0" borderId="0" xfId="0" applyFont="1" applyAlignment="1">
      <alignment vertical="center" wrapText="1"/>
    </xf>
    <xf numFmtId="1" fontId="54" fillId="21" borderId="6" xfId="0" applyNumberFormat="1" applyFont="1" applyFill="1" applyBorder="1" applyAlignment="1" applyProtection="1">
      <alignment horizontal="left"/>
      <protection locked="0"/>
    </xf>
    <xf numFmtId="0" fontId="54" fillId="18" borderId="6" xfId="0" applyFont="1" applyFill="1" applyBorder="1" applyAlignment="1">
      <alignment horizontal="center"/>
    </xf>
    <xf numFmtId="49" fontId="54" fillId="19" borderId="6" xfId="0" applyNumberFormat="1" applyFont="1" applyFill="1" applyBorder="1" applyAlignment="1" applyProtection="1">
      <alignment horizontal="left"/>
      <protection locked="0"/>
    </xf>
    <xf numFmtId="49" fontId="54" fillId="19" borderId="6" xfId="0" applyNumberFormat="1" applyFont="1" applyFill="1" applyBorder="1" applyAlignment="1" applyProtection="1">
      <alignment horizontal="center"/>
      <protection locked="0"/>
    </xf>
    <xf numFmtId="1" fontId="54" fillId="19" borderId="6" xfId="0" applyNumberFormat="1" applyFont="1" applyFill="1" applyBorder="1" applyAlignment="1" applyProtection="1">
      <alignment horizontal="center"/>
      <protection locked="0"/>
    </xf>
    <xf numFmtId="171" fontId="54" fillId="19" borderId="5" xfId="0" applyNumberFormat="1" applyFont="1" applyFill="1" applyBorder="1" applyAlignment="1" applyProtection="1">
      <alignment horizontal="center"/>
      <protection locked="0"/>
    </xf>
    <xf numFmtId="1" fontId="54" fillId="21" borderId="6" xfId="0" applyNumberFormat="1" applyFont="1" applyFill="1" applyBorder="1" applyAlignment="1" applyProtection="1">
      <alignment horizontal="center"/>
      <protection locked="0"/>
    </xf>
    <xf numFmtId="3" fontId="54" fillId="21" borderId="6" xfId="0" applyNumberFormat="1" applyFont="1" applyFill="1" applyBorder="1" applyAlignment="1" applyProtection="1">
      <alignment horizontal="center"/>
      <protection locked="0"/>
    </xf>
    <xf numFmtId="0" fontId="54" fillId="19" borderId="6" xfId="0" applyFont="1" applyFill="1" applyBorder="1" applyProtection="1">
      <protection locked="0"/>
    </xf>
    <xf numFmtId="173" fontId="54" fillId="19" borderId="6" xfId="0" applyNumberFormat="1" applyFont="1" applyFill="1" applyBorder="1" applyAlignment="1" applyProtection="1">
      <alignment horizontal="left"/>
      <protection locked="0"/>
    </xf>
    <xf numFmtId="0" fontId="55" fillId="0" borderId="0" xfId="0" applyFont="1"/>
    <xf numFmtId="0" fontId="56" fillId="0" borderId="0" xfId="0" applyFont="1"/>
    <xf numFmtId="0" fontId="57" fillId="0" borderId="0" xfId="0" applyFont="1"/>
    <xf numFmtId="0" fontId="58" fillId="0" borderId="0" xfId="0" applyFont="1" applyAlignment="1">
      <alignment horizontal="left"/>
    </xf>
    <xf numFmtId="0" fontId="47" fillId="0" borderId="0" xfId="0" applyFont="1" applyAlignment="1">
      <alignment horizontal="left"/>
    </xf>
    <xf numFmtId="1" fontId="47" fillId="0" borderId="0" xfId="0" applyNumberFormat="1" applyFont="1" applyAlignment="1">
      <alignment horizontal="left"/>
    </xf>
    <xf numFmtId="2" fontId="47" fillId="0" borderId="0" xfId="0" applyNumberFormat="1" applyFont="1" applyAlignment="1">
      <alignment horizontal="left"/>
    </xf>
    <xf numFmtId="0" fontId="55" fillId="0" borderId="0" xfId="0" applyFont="1" applyAlignment="1">
      <alignment horizontal="left"/>
    </xf>
    <xf numFmtId="0" fontId="56" fillId="0" borderId="0" xfId="0" applyFont="1" applyAlignment="1">
      <alignment horizontal="left"/>
    </xf>
    <xf numFmtId="1" fontId="56" fillId="0" borderId="0" xfId="0" applyNumberFormat="1" applyFont="1" applyAlignment="1">
      <alignment horizontal="left"/>
    </xf>
    <xf numFmtId="2" fontId="56" fillId="0" borderId="0" xfId="0" applyNumberFormat="1" applyFont="1" applyAlignment="1">
      <alignment horizontal="left"/>
    </xf>
    <xf numFmtId="171" fontId="47" fillId="0" borderId="0" xfId="0" applyNumberFormat="1" applyFont="1" applyAlignment="1">
      <alignment horizontal="center"/>
    </xf>
    <xf numFmtId="2" fontId="47" fillId="0" borderId="0" xfId="0" applyNumberFormat="1" applyFont="1" applyAlignment="1">
      <alignment horizontal="center"/>
    </xf>
    <xf numFmtId="1" fontId="47" fillId="0" borderId="0" xfId="0" applyNumberFormat="1" applyFont="1" applyAlignment="1">
      <alignment horizontal="center"/>
    </xf>
    <xf numFmtId="0" fontId="59" fillId="0" borderId="0" xfId="0" applyFont="1" applyAlignment="1" applyProtection="1">
      <alignment horizontal="center" vertical="center"/>
      <protection locked="0"/>
    </xf>
    <xf numFmtId="0" fontId="60" fillId="18" borderId="0" xfId="0" applyFont="1" applyFill="1" applyProtection="1">
      <protection locked="0"/>
    </xf>
    <xf numFmtId="1" fontId="60" fillId="18" borderId="0" xfId="0" applyNumberFormat="1" applyFont="1" applyFill="1" applyProtection="1">
      <protection locked="0"/>
    </xf>
    <xf numFmtId="0" fontId="60" fillId="18" borderId="0" xfId="0" applyFont="1" applyFill="1" applyAlignment="1" applyProtection="1">
      <alignment horizontal="center"/>
      <protection locked="0"/>
    </xf>
    <xf numFmtId="0" fontId="61" fillId="18" borderId="0" xfId="0" applyFont="1" applyFill="1" applyProtection="1">
      <protection locked="0"/>
    </xf>
    <xf numFmtId="0" fontId="61" fillId="18" borderId="0" xfId="0" applyFont="1" applyFill="1" applyAlignment="1" applyProtection="1">
      <alignment horizontal="center"/>
      <protection locked="0"/>
    </xf>
    <xf numFmtId="9" fontId="61" fillId="18" borderId="0" xfId="24" applyFont="1" applyFill="1" applyProtection="1">
      <protection locked="0"/>
    </xf>
    <xf numFmtId="0" fontId="62" fillId="18" borderId="0" xfId="0" applyFont="1" applyFill="1" applyProtection="1">
      <protection locked="0"/>
    </xf>
    <xf numFmtId="0" fontId="63" fillId="18" borderId="0" xfId="0" applyFont="1" applyFill="1" applyProtection="1">
      <protection locked="0"/>
    </xf>
    <xf numFmtId="0" fontId="60" fillId="18" borderId="0" xfId="0" applyFont="1" applyFill="1" applyAlignment="1">
      <alignment horizontal="center" vertical="center"/>
    </xf>
    <xf numFmtId="1" fontId="63" fillId="18" borderId="0" xfId="0" applyNumberFormat="1" applyFont="1" applyFill="1" applyAlignment="1">
      <alignment horizontal="center"/>
    </xf>
    <xf numFmtId="0" fontId="63" fillId="18" borderId="0" xfId="0" applyFont="1" applyFill="1" applyAlignment="1">
      <alignment horizontal="center"/>
    </xf>
    <xf numFmtId="0" fontId="63" fillId="18" borderId="0" xfId="0" applyFont="1" applyFill="1" applyAlignment="1" applyProtection="1">
      <alignment horizontal="center"/>
      <protection locked="0"/>
    </xf>
    <xf numFmtId="169" fontId="63" fillId="18" borderId="0" xfId="25" applyNumberFormat="1" applyFont="1" applyFill="1" applyAlignment="1" applyProtection="1">
      <alignment horizontal="center"/>
      <protection locked="0"/>
    </xf>
    <xf numFmtId="166" fontId="63" fillId="18" borderId="0" xfId="25" applyFont="1" applyFill="1" applyAlignment="1" applyProtection="1">
      <alignment horizontal="center"/>
      <protection locked="0"/>
    </xf>
    <xf numFmtId="168" fontId="63" fillId="18" borderId="0" xfId="25" applyNumberFormat="1" applyFont="1" applyFill="1" applyAlignment="1" applyProtection="1">
      <alignment horizontal="center"/>
      <protection locked="0"/>
    </xf>
    <xf numFmtId="1" fontId="63" fillId="18" borderId="0" xfId="25" applyNumberFormat="1" applyFont="1" applyFill="1" applyAlignment="1" applyProtection="1">
      <alignment horizontal="center"/>
      <protection locked="0"/>
    </xf>
    <xf numFmtId="0" fontId="64" fillId="18" borderId="0" xfId="0" applyFont="1" applyFill="1" applyAlignment="1" applyProtection="1">
      <alignment horizontal="center"/>
      <protection locked="0"/>
    </xf>
    <xf numFmtId="2" fontId="60" fillId="18" borderId="0" xfId="0" applyNumberFormat="1" applyFont="1" applyFill="1" applyAlignment="1" applyProtection="1">
      <alignment horizontal="center"/>
      <protection locked="0"/>
    </xf>
    <xf numFmtId="2" fontId="64" fillId="18" borderId="0" xfId="0" applyNumberFormat="1" applyFont="1" applyFill="1" applyAlignment="1" applyProtection="1">
      <alignment horizontal="center"/>
      <protection locked="0"/>
    </xf>
    <xf numFmtId="0" fontId="60" fillId="0" borderId="0" xfId="0" applyFont="1" applyProtection="1">
      <protection locked="0"/>
    </xf>
    <xf numFmtId="0" fontId="65" fillId="0" borderId="0" xfId="0" applyFont="1" applyAlignment="1" applyProtection="1">
      <alignment horizontal="center" vertical="center"/>
      <protection locked="0"/>
    </xf>
    <xf numFmtId="1" fontId="65" fillId="0" borderId="0" xfId="0" applyNumberFormat="1" applyFont="1" applyAlignment="1" applyProtection="1">
      <alignment horizontal="center" vertical="center"/>
      <protection locked="0"/>
    </xf>
    <xf numFmtId="1" fontId="65" fillId="0" borderId="0" xfId="0" applyNumberFormat="1" applyFont="1" applyAlignment="1">
      <alignment horizontal="center" vertical="center"/>
    </xf>
    <xf numFmtId="0" fontId="65" fillId="0" borderId="0" xfId="0" applyFont="1" applyAlignment="1">
      <alignment horizontal="center" vertical="center"/>
    </xf>
    <xf numFmtId="2" fontId="65" fillId="0" borderId="0" xfId="0" applyNumberFormat="1" applyFont="1" applyAlignment="1" applyProtection="1">
      <alignment horizontal="center" vertical="center"/>
      <protection locked="0"/>
    </xf>
    <xf numFmtId="0" fontId="63" fillId="0" borderId="0" xfId="0" applyFont="1" applyAlignment="1" applyProtection="1">
      <alignment horizontal="center" vertical="center"/>
      <protection locked="0"/>
    </xf>
    <xf numFmtId="0" fontId="60" fillId="0" borderId="0" xfId="0" applyFont="1" applyAlignment="1" applyProtection="1">
      <alignment horizontal="center" vertical="center"/>
      <protection locked="0"/>
    </xf>
    <xf numFmtId="0" fontId="64" fillId="0" borderId="0" xfId="0" applyFont="1" applyAlignment="1" applyProtection="1">
      <alignment horizontal="center"/>
      <protection locked="0"/>
    </xf>
    <xf numFmtId="0" fontId="60" fillId="0" borderId="0" xfId="0" applyFont="1" applyAlignment="1" applyProtection="1">
      <alignment horizontal="center"/>
      <protection locked="0"/>
    </xf>
    <xf numFmtId="0" fontId="63" fillId="0" borderId="84" xfId="0" applyFont="1" applyBorder="1" applyAlignment="1" applyProtection="1">
      <alignment horizontal="center" vertical="center"/>
      <protection locked="0"/>
    </xf>
    <xf numFmtId="0" fontId="63" fillId="0" borderId="83" xfId="0" applyFont="1" applyBorder="1" applyAlignment="1" applyProtection="1">
      <alignment horizontal="center" vertical="center"/>
      <protection locked="0"/>
    </xf>
    <xf numFmtId="1" fontId="60" fillId="0" borderId="0" xfId="0" applyNumberFormat="1" applyFont="1" applyProtection="1">
      <protection locked="0"/>
    </xf>
    <xf numFmtId="0" fontId="61" fillId="0" borderId="0" xfId="0" applyFont="1" applyProtection="1">
      <protection locked="0"/>
    </xf>
    <xf numFmtId="0" fontId="61" fillId="0" borderId="0" xfId="0" applyFont="1" applyAlignment="1" applyProtection="1">
      <alignment horizontal="center"/>
      <protection locked="0"/>
    </xf>
    <xf numFmtId="9" fontId="61" fillId="0" borderId="0" xfId="24" applyFont="1" applyProtection="1">
      <protection locked="0"/>
    </xf>
    <xf numFmtId="0" fontId="62" fillId="0" borderId="0" xfId="0" applyFont="1" applyProtection="1">
      <protection locked="0"/>
    </xf>
    <xf numFmtId="0" fontId="63" fillId="0" borderId="0" xfId="0" applyFont="1" applyProtection="1">
      <protection locked="0"/>
    </xf>
    <xf numFmtId="0" fontId="60" fillId="0" borderId="16" xfId="0" applyFont="1" applyBorder="1" applyAlignment="1">
      <alignment horizontal="center" vertical="center"/>
    </xf>
    <xf numFmtId="1" fontId="63" fillId="0" borderId="0" xfId="0" applyNumberFormat="1" applyFont="1" applyAlignment="1">
      <alignment horizontal="center"/>
    </xf>
    <xf numFmtId="0" fontId="63" fillId="0" borderId="0" xfId="0" applyFont="1" applyAlignment="1">
      <alignment horizontal="center"/>
    </xf>
    <xf numFmtId="0" fontId="63" fillId="0" borderId="0" xfId="0" applyFont="1" applyAlignment="1" applyProtection="1">
      <alignment horizontal="center"/>
      <protection locked="0"/>
    </xf>
    <xf numFmtId="0" fontId="63" fillId="0" borderId="84" xfId="0" applyFont="1" applyBorder="1" applyAlignment="1" applyProtection="1">
      <alignment horizontal="center"/>
      <protection locked="0"/>
    </xf>
    <xf numFmtId="0" fontId="63" fillId="0" borderId="83" xfId="0" applyFont="1" applyBorder="1" applyAlignment="1" applyProtection="1">
      <alignment horizontal="center"/>
      <protection locked="0"/>
    </xf>
    <xf numFmtId="169" fontId="63" fillId="0" borderId="83" xfId="25" applyNumberFormat="1" applyFont="1" applyBorder="1" applyAlignment="1" applyProtection="1">
      <alignment horizontal="center"/>
      <protection locked="0"/>
    </xf>
    <xf numFmtId="166" fontId="63" fillId="0" borderId="84" xfId="25" applyFont="1" applyBorder="1" applyAlignment="1" applyProtection="1">
      <alignment horizontal="center"/>
      <protection locked="0"/>
    </xf>
    <xf numFmtId="168" fontId="63" fillId="0" borderId="83" xfId="25" applyNumberFormat="1" applyFont="1" applyBorder="1" applyAlignment="1" applyProtection="1">
      <alignment horizontal="center"/>
      <protection locked="0"/>
    </xf>
    <xf numFmtId="1" fontId="63" fillId="0" borderId="83" xfId="25" applyNumberFormat="1" applyFont="1" applyBorder="1" applyAlignment="1" applyProtection="1">
      <alignment horizontal="center"/>
      <protection locked="0"/>
    </xf>
    <xf numFmtId="2" fontId="60" fillId="0" borderId="0" xfId="0" applyNumberFormat="1" applyFont="1" applyAlignment="1" applyProtection="1">
      <alignment horizontal="center"/>
      <protection locked="0"/>
    </xf>
    <xf numFmtId="2" fontId="64" fillId="0" borderId="0" xfId="0" applyNumberFormat="1" applyFont="1" applyAlignment="1" applyProtection="1">
      <alignment horizontal="center"/>
      <protection locked="0"/>
    </xf>
    <xf numFmtId="0" fontId="60" fillId="0" borderId="0" xfId="0" applyFont="1" applyAlignment="1" applyProtection="1">
      <alignment horizontal="left"/>
      <protection locked="0"/>
    </xf>
    <xf numFmtId="4" fontId="64" fillId="0" borderId="0" xfId="0" applyNumberFormat="1" applyFont="1" applyAlignment="1" applyProtection="1">
      <alignment vertical="center" wrapText="1"/>
      <protection locked="0"/>
    </xf>
    <xf numFmtId="0" fontId="60" fillId="0" borderId="0" xfId="0" applyFont="1" applyAlignment="1">
      <alignment horizontal="center" vertical="center"/>
    </xf>
    <xf numFmtId="0" fontId="61" fillId="0" borderId="0" xfId="0" applyFont="1" applyAlignment="1" applyProtection="1">
      <alignment horizontal="center" vertical="center"/>
      <protection locked="0"/>
    </xf>
    <xf numFmtId="9" fontId="61" fillId="0" borderId="0" xfId="24" applyFont="1" applyAlignment="1" applyProtection="1">
      <alignment horizontal="center" vertical="center"/>
      <protection locked="0"/>
    </xf>
    <xf numFmtId="0" fontId="62" fillId="0" borderId="0" xfId="0" applyFont="1" applyAlignment="1" applyProtection="1">
      <alignment horizontal="center" vertical="center"/>
      <protection locked="0"/>
    </xf>
    <xf numFmtId="0" fontId="62" fillId="0" borderId="0" xfId="0" applyFont="1" applyAlignment="1" applyProtection="1">
      <alignment vertical="center"/>
      <protection locked="0"/>
    </xf>
    <xf numFmtId="0" fontId="66" fillId="0" borderId="0" xfId="0" applyFont="1" applyAlignment="1" applyProtection="1">
      <alignment vertical="center"/>
      <protection locked="0"/>
    </xf>
    <xf numFmtId="1" fontId="63" fillId="0" borderId="0" xfId="0" applyNumberFormat="1" applyFont="1" applyAlignment="1">
      <alignment horizontal="center" vertical="center"/>
    </xf>
    <xf numFmtId="0" fontId="63" fillId="0" borderId="0" xfId="0" applyFont="1" applyAlignment="1">
      <alignment horizontal="center" vertical="center"/>
    </xf>
    <xf numFmtId="169" fontId="63" fillId="0" borderId="83" xfId="25" applyNumberFormat="1" applyFont="1" applyFill="1" applyBorder="1" applyAlignment="1" applyProtection="1">
      <alignment horizontal="center" vertical="center"/>
      <protection locked="0"/>
    </xf>
    <xf numFmtId="166" fontId="63" fillId="0" borderId="84" xfId="25" applyFont="1" applyFill="1" applyBorder="1" applyAlignment="1" applyProtection="1">
      <alignment horizontal="center" vertical="center"/>
      <protection locked="0"/>
    </xf>
    <xf numFmtId="168" fontId="63" fillId="0" borderId="83" xfId="25" applyNumberFormat="1" applyFont="1" applyFill="1" applyBorder="1" applyAlignment="1" applyProtection="1">
      <alignment horizontal="center" vertical="center"/>
      <protection locked="0"/>
    </xf>
    <xf numFmtId="1" fontId="63" fillId="0" borderId="83" xfId="25" applyNumberFormat="1" applyFont="1" applyFill="1" applyBorder="1" applyAlignment="1" applyProtection="1">
      <alignment horizontal="center" vertical="center"/>
      <protection locked="0"/>
    </xf>
    <xf numFmtId="0" fontId="64" fillId="0" borderId="0" xfId="0" applyFont="1" applyAlignment="1" applyProtection="1">
      <alignment vertical="center"/>
      <protection locked="0"/>
    </xf>
    <xf numFmtId="170" fontId="61" fillId="0" borderId="0" xfId="0" applyNumberFormat="1" applyFont="1" applyAlignment="1" applyProtection="1">
      <alignment vertical="center"/>
      <protection locked="0"/>
    </xf>
    <xf numFmtId="2" fontId="64" fillId="0" borderId="0" xfId="0" applyNumberFormat="1" applyFont="1" applyAlignment="1" applyProtection="1">
      <alignment horizontal="right" vertical="center"/>
      <protection locked="0"/>
    </xf>
    <xf numFmtId="0" fontId="64" fillId="0" borderId="0" xfId="0" applyFont="1" applyAlignment="1" applyProtection="1">
      <alignment horizontal="center" vertical="center" wrapText="1"/>
      <protection locked="0"/>
    </xf>
    <xf numFmtId="9" fontId="61" fillId="0" borderId="0" xfId="24" applyFont="1" applyFill="1" applyAlignment="1" applyProtection="1">
      <alignment horizontal="center" vertical="center"/>
      <protection locked="0"/>
    </xf>
    <xf numFmtId="0" fontId="64" fillId="0" borderId="16" xfId="0" applyFont="1" applyBorder="1" applyAlignment="1">
      <alignment horizontal="center" vertical="center"/>
    </xf>
    <xf numFmtId="0" fontId="64" fillId="0" borderId="0" xfId="0" applyFont="1" applyAlignment="1" applyProtection="1">
      <alignment horizontal="center" vertical="center"/>
      <protection locked="0"/>
    </xf>
    <xf numFmtId="2" fontId="60" fillId="0" borderId="0" xfId="0" applyNumberFormat="1" applyFont="1" applyAlignment="1" applyProtection="1">
      <alignment horizontal="center" vertical="center"/>
      <protection locked="0"/>
    </xf>
    <xf numFmtId="2" fontId="64" fillId="0" borderId="0" xfId="0" applyNumberFormat="1" applyFont="1" applyAlignment="1" applyProtection="1">
      <alignment horizontal="center" vertical="center"/>
      <protection locked="0"/>
    </xf>
    <xf numFmtId="2" fontId="64" fillId="0" borderId="0" xfId="0" applyNumberFormat="1" applyFont="1" applyAlignment="1" applyProtection="1">
      <alignment vertical="center"/>
      <protection locked="0"/>
    </xf>
    <xf numFmtId="4" fontId="64" fillId="0" borderId="0" xfId="0" applyNumberFormat="1" applyFont="1" applyAlignment="1" applyProtection="1">
      <alignment horizontal="center" vertical="center" wrapText="1"/>
      <protection locked="0"/>
    </xf>
    <xf numFmtId="0" fontId="60" fillId="0" borderId="0" xfId="0" applyFont="1" applyAlignment="1" applyProtection="1">
      <alignment vertical="center"/>
      <protection locked="0"/>
    </xf>
    <xf numFmtId="1" fontId="60" fillId="0" borderId="0" xfId="0" applyNumberFormat="1" applyFont="1" applyAlignment="1" applyProtection="1">
      <alignment vertical="center"/>
      <protection locked="0"/>
    </xf>
    <xf numFmtId="0" fontId="61" fillId="0" borderId="0" xfId="0" applyFont="1" applyAlignment="1" applyProtection="1">
      <alignment vertical="center"/>
      <protection locked="0"/>
    </xf>
    <xf numFmtId="9" fontId="61" fillId="0" borderId="0" xfId="24" applyFont="1" applyAlignment="1" applyProtection="1">
      <alignment vertical="center"/>
      <protection locked="0"/>
    </xf>
    <xf numFmtId="0" fontId="63" fillId="0" borderId="0" xfId="0" applyFont="1" applyAlignment="1" applyProtection="1">
      <alignment vertical="center"/>
      <protection locked="0"/>
    </xf>
    <xf numFmtId="0" fontId="60" fillId="0" borderId="0" xfId="0" applyFont="1" applyAlignment="1" applyProtection="1">
      <alignment horizontal="left" vertical="center"/>
      <protection locked="0"/>
    </xf>
    <xf numFmtId="169" fontId="63" fillId="0" borderId="0" xfId="25" applyNumberFormat="1" applyFont="1" applyAlignment="1" applyProtection="1">
      <alignment horizontal="center" vertical="center"/>
      <protection locked="0"/>
    </xf>
    <xf numFmtId="166" fontId="63" fillId="0" borderId="0" xfId="25" applyFont="1" applyAlignment="1" applyProtection="1">
      <alignment horizontal="center" vertical="center"/>
      <protection locked="0"/>
    </xf>
    <xf numFmtId="168" fontId="63" fillId="0" borderId="0" xfId="25" applyNumberFormat="1" applyFont="1" applyAlignment="1" applyProtection="1">
      <alignment horizontal="center" vertical="center"/>
      <protection locked="0"/>
    </xf>
    <xf numFmtId="1" fontId="63" fillId="0" borderId="0" xfId="25" applyNumberFormat="1" applyFont="1" applyAlignment="1" applyProtection="1">
      <alignment horizontal="center" vertical="center"/>
      <protection locked="0"/>
    </xf>
    <xf numFmtId="2" fontId="61" fillId="0" borderId="0" xfId="0" applyNumberFormat="1" applyFont="1" applyAlignment="1" applyProtection="1">
      <alignment horizontal="center" vertical="center"/>
      <protection locked="0"/>
    </xf>
    <xf numFmtId="2" fontId="62" fillId="0" borderId="0" xfId="0" applyNumberFormat="1" applyFont="1" applyAlignment="1" applyProtection="1">
      <alignment horizontal="center" vertical="center"/>
      <protection locked="0"/>
    </xf>
    <xf numFmtId="0" fontId="67" fillId="0" borderId="0" xfId="0" applyFont="1" applyAlignment="1" applyProtection="1">
      <alignment horizontal="center" vertical="center"/>
      <protection locked="0"/>
    </xf>
    <xf numFmtId="22" fontId="61" fillId="0" borderId="0" xfId="0" applyNumberFormat="1" applyFont="1" applyAlignment="1" applyProtection="1">
      <alignment vertical="center"/>
      <protection locked="0"/>
    </xf>
    <xf numFmtId="170" fontId="60" fillId="0" borderId="0" xfId="0" applyNumberFormat="1" applyFont="1" applyAlignment="1" applyProtection="1">
      <alignment vertical="center"/>
      <protection locked="0"/>
    </xf>
    <xf numFmtId="171" fontId="60" fillId="0" borderId="0" xfId="0" applyNumberFormat="1" applyFont="1" applyAlignment="1" applyProtection="1">
      <alignment vertical="center"/>
      <protection locked="0"/>
    </xf>
    <xf numFmtId="0" fontId="66" fillId="0" borderId="0" xfId="0" applyFont="1" applyAlignment="1" applyProtection="1">
      <alignment horizontal="center" vertical="center"/>
      <protection locked="0"/>
    </xf>
    <xf numFmtId="2" fontId="63" fillId="0" borderId="0" xfId="0" applyNumberFormat="1" applyFont="1" applyAlignment="1" applyProtection="1">
      <alignment horizontal="center" vertical="center"/>
      <protection locked="0"/>
    </xf>
    <xf numFmtId="2" fontId="66" fillId="0" borderId="0" xfId="0" applyNumberFormat="1" applyFont="1" applyAlignment="1" applyProtection="1">
      <alignment horizontal="center" vertical="center"/>
      <protection locked="0"/>
    </xf>
    <xf numFmtId="169" fontId="63" fillId="0" borderId="0" xfId="25" applyNumberFormat="1" applyFont="1" applyAlignment="1" applyProtection="1">
      <alignment horizontal="center"/>
      <protection locked="0"/>
    </xf>
    <xf numFmtId="166" fontId="63" fillId="0" borderId="0" xfId="25" applyFont="1" applyAlignment="1" applyProtection="1">
      <alignment horizontal="center"/>
      <protection locked="0"/>
    </xf>
    <xf numFmtId="168" fontId="63" fillId="0" borderId="0" xfId="25" applyNumberFormat="1" applyFont="1" applyAlignment="1" applyProtection="1">
      <alignment horizontal="center"/>
      <protection locked="0"/>
    </xf>
    <xf numFmtId="1" fontId="63" fillId="0" borderId="0" xfId="25" applyNumberFormat="1" applyFont="1" applyAlignment="1" applyProtection="1">
      <alignment horizontal="center"/>
      <protection locked="0"/>
    </xf>
    <xf numFmtId="0" fontId="47" fillId="0" borderId="0" xfId="0" applyFont="1" applyAlignment="1">
      <alignment horizontal="right" indent="1"/>
    </xf>
    <xf numFmtId="0" fontId="48" fillId="18" borderId="6" xfId="0" applyFont="1" applyFill="1" applyBorder="1" applyAlignment="1">
      <alignment horizontal="left" vertical="center" indent="1"/>
    </xf>
    <xf numFmtId="2" fontId="71" fillId="16" borderId="6" xfId="0" applyNumberFormat="1" applyFont="1" applyFill="1" applyBorder="1" applyAlignment="1">
      <alignment horizontal="center" vertical="center"/>
    </xf>
    <xf numFmtId="2" fontId="47" fillId="0" borderId="0" xfId="0" applyNumberFormat="1" applyFont="1" applyAlignment="1">
      <alignment horizontal="center" vertical="center"/>
    </xf>
    <xf numFmtId="2" fontId="47" fillId="14" borderId="6" xfId="0" applyNumberFormat="1" applyFont="1" applyFill="1" applyBorder="1" applyAlignment="1">
      <alignment horizontal="center" vertical="center"/>
    </xf>
    <xf numFmtId="2" fontId="47" fillId="14" borderId="0" xfId="0" applyNumberFormat="1" applyFont="1" applyFill="1" applyAlignment="1">
      <alignment horizontal="center" vertical="center"/>
    </xf>
    <xf numFmtId="2" fontId="47" fillId="14" borderId="0" xfId="0" applyNumberFormat="1" applyFont="1" applyFill="1" applyAlignment="1">
      <alignment horizontal="right" vertical="center" indent="1"/>
    </xf>
    <xf numFmtId="0" fontId="47" fillId="0" borderId="0" xfId="0" applyFont="1" applyAlignment="1">
      <alignment horizontal="right" vertical="center" indent="1"/>
    </xf>
    <xf numFmtId="0" fontId="47" fillId="0" borderId="0" xfId="0" applyFont="1" applyAlignment="1">
      <alignment horizontal="right" vertical="center"/>
    </xf>
    <xf numFmtId="1" fontId="47" fillId="0" borderId="26" xfId="0" applyNumberFormat="1" applyFont="1" applyBorder="1" applyAlignment="1">
      <alignment horizontal="center" vertical="center"/>
    </xf>
    <xf numFmtId="2" fontId="52" fillId="14" borderId="6" xfId="0" applyNumberFormat="1" applyFont="1" applyFill="1" applyBorder="1" applyAlignment="1">
      <alignment horizontal="center" vertical="center"/>
    </xf>
    <xf numFmtId="2" fontId="52" fillId="0" borderId="6" xfId="0" applyNumberFormat="1" applyFont="1" applyBorder="1" applyAlignment="1">
      <alignment horizontal="center" vertical="center"/>
    </xf>
    <xf numFmtId="2" fontId="47" fillId="0" borderId="6" xfId="0" applyNumberFormat="1" applyFont="1" applyBorder="1" applyAlignment="1">
      <alignment horizontal="center" vertical="center"/>
    </xf>
    <xf numFmtId="3" fontId="47" fillId="14" borderId="6" xfId="0" applyNumberFormat="1" applyFont="1" applyFill="1" applyBorder="1" applyAlignment="1">
      <alignment horizontal="center" vertical="center"/>
    </xf>
    <xf numFmtId="1" fontId="47" fillId="14" borderId="6" xfId="0" applyNumberFormat="1" applyFont="1" applyFill="1" applyBorder="1" applyAlignment="1">
      <alignment horizontal="center" vertical="center"/>
    </xf>
    <xf numFmtId="0" fontId="48" fillId="18" borderId="22" xfId="0" applyFont="1" applyFill="1" applyBorder="1" applyAlignment="1">
      <alignment horizontal="left" vertical="center" indent="1"/>
    </xf>
    <xf numFmtId="0" fontId="54" fillId="18" borderId="30" xfId="0" applyFont="1" applyFill="1" applyBorder="1" applyAlignment="1">
      <alignment horizontal="right" vertical="center"/>
    </xf>
    <xf numFmtId="1" fontId="54" fillId="18" borderId="6" xfId="0" applyNumberFormat="1" applyFont="1" applyFill="1" applyBorder="1" applyAlignment="1">
      <alignment horizontal="center" vertical="center"/>
    </xf>
    <xf numFmtId="49" fontId="52" fillId="14" borderId="6" xfId="0" applyNumberFormat="1" applyFont="1" applyFill="1" applyBorder="1" applyAlignment="1">
      <alignment horizontal="center" vertical="center"/>
    </xf>
    <xf numFmtId="0" fontId="48" fillId="18" borderId="22" xfId="0" applyFont="1" applyFill="1" applyBorder="1" applyAlignment="1">
      <alignment horizontal="left" vertical="center"/>
    </xf>
    <xf numFmtId="1" fontId="54" fillId="18" borderId="29" xfId="0" applyNumberFormat="1" applyFont="1" applyFill="1" applyBorder="1" applyAlignment="1">
      <alignment horizontal="center" vertical="center"/>
    </xf>
    <xf numFmtId="168" fontId="47" fillId="14" borderId="6" xfId="0" applyNumberFormat="1" applyFont="1" applyFill="1" applyBorder="1" applyAlignment="1">
      <alignment horizontal="center" vertical="center"/>
    </xf>
    <xf numFmtId="0" fontId="54" fillId="18" borderId="5" xfId="0" applyFont="1" applyFill="1" applyBorder="1" applyAlignment="1">
      <alignment horizontal="right" vertical="center"/>
    </xf>
    <xf numFmtId="9" fontId="71" fillId="0" borderId="6" xfId="24" applyFont="1" applyBorder="1" applyAlignment="1">
      <alignment horizontal="center" vertical="center"/>
    </xf>
    <xf numFmtId="10" fontId="47" fillId="0" borderId="6" xfId="24" applyNumberFormat="1" applyFont="1" applyFill="1" applyBorder="1" applyAlignment="1">
      <alignment horizontal="center" vertical="center"/>
    </xf>
    <xf numFmtId="178" fontId="47" fillId="0" borderId="0" xfId="0" applyNumberFormat="1" applyFont="1" applyAlignment="1">
      <alignment horizontal="center" vertical="center"/>
    </xf>
    <xf numFmtId="2" fontId="54" fillId="18" borderId="6" xfId="0" applyNumberFormat="1" applyFont="1" applyFill="1" applyBorder="1" applyAlignment="1">
      <alignment horizontal="center" vertical="center"/>
    </xf>
    <xf numFmtId="2" fontId="47" fillId="0" borderId="0" xfId="0" applyNumberFormat="1" applyFont="1" applyAlignment="1">
      <alignment vertical="center"/>
    </xf>
    <xf numFmtId="0" fontId="52" fillId="18" borderId="22" xfId="0" applyFont="1" applyFill="1" applyBorder="1" applyAlignment="1">
      <alignment horizontal="left" vertical="center"/>
    </xf>
    <xf numFmtId="178" fontId="47" fillId="0" borderId="6" xfId="0" applyNumberFormat="1" applyFont="1" applyBorder="1" applyAlignment="1">
      <alignment horizontal="center" vertical="center"/>
    </xf>
    <xf numFmtId="1" fontId="47" fillId="0" borderId="6" xfId="0" applyNumberFormat="1" applyFont="1" applyBorder="1" applyAlignment="1">
      <alignment horizontal="center" vertical="center"/>
    </xf>
    <xf numFmtId="3" fontId="47" fillId="0" borderId="6" xfId="0" applyNumberFormat="1" applyFont="1" applyBorder="1" applyAlignment="1" applyProtection="1">
      <alignment horizontal="center"/>
      <protection locked="0"/>
    </xf>
    <xf numFmtId="0" fontId="47" fillId="0" borderId="0" xfId="0" applyFont="1" applyAlignment="1">
      <alignment horizontal="right"/>
    </xf>
    <xf numFmtId="168" fontId="47" fillId="0" borderId="0" xfId="0" applyNumberFormat="1" applyFont="1"/>
    <xf numFmtId="9" fontId="47" fillId="0" borderId="0" xfId="24" applyFont="1"/>
    <xf numFmtId="168" fontId="47" fillId="0" borderId="0" xfId="0" applyNumberFormat="1" applyFont="1" applyAlignment="1">
      <alignment horizontal="center"/>
    </xf>
    <xf numFmtId="2" fontId="47" fillId="0" borderId="0" xfId="0" applyNumberFormat="1" applyFont="1"/>
    <xf numFmtId="173" fontId="47" fillId="0" borderId="0" xfId="0" applyNumberFormat="1" applyFont="1"/>
    <xf numFmtId="0" fontId="54" fillId="0" borderId="0" xfId="0" applyFont="1" applyAlignment="1">
      <alignment horizontal="center"/>
    </xf>
    <xf numFmtId="168" fontId="54" fillId="0" borderId="0" xfId="0" applyNumberFormat="1" applyFont="1" applyAlignment="1">
      <alignment horizontal="center"/>
    </xf>
    <xf numFmtId="9" fontId="54" fillId="0" borderId="0" xfId="24" applyFont="1" applyBorder="1" applyAlignment="1">
      <alignment horizontal="center"/>
    </xf>
    <xf numFmtId="2" fontId="54" fillId="0" borderId="0" xfId="0" applyNumberFormat="1" applyFont="1" applyAlignment="1">
      <alignment horizontal="center"/>
    </xf>
    <xf numFmtId="168" fontId="54" fillId="0" borderId="47" xfId="0" applyNumberFormat="1" applyFont="1" applyBorder="1" applyAlignment="1">
      <alignment horizontal="center"/>
    </xf>
    <xf numFmtId="1" fontId="54" fillId="0" borderId="47" xfId="0" applyNumberFormat="1" applyFont="1" applyBorder="1" applyAlignment="1">
      <alignment horizontal="center" vertical="center"/>
    </xf>
    <xf numFmtId="0" fontId="54" fillId="0" borderId="47" xfId="0" applyFont="1" applyBorder="1" applyAlignment="1">
      <alignment horizontal="center" vertical="center"/>
    </xf>
    <xf numFmtId="176" fontId="48" fillId="18" borderId="6" xfId="0" applyNumberFormat="1" applyFont="1" applyFill="1" applyBorder="1" applyAlignment="1">
      <alignment horizontal="center" vertical="center"/>
    </xf>
    <xf numFmtId="0" fontId="47" fillId="16" borderId="6" xfId="0" applyFont="1" applyFill="1" applyBorder="1" applyAlignment="1">
      <alignment horizontal="center" vertical="center"/>
    </xf>
    <xf numFmtId="0" fontId="47" fillId="17" borderId="6" xfId="0" applyFont="1" applyFill="1" applyBorder="1" applyAlignment="1">
      <alignment horizontal="center" vertical="center"/>
    </xf>
    <xf numFmtId="0" fontId="54" fillId="18" borderId="6" xfId="0" applyFont="1" applyFill="1" applyBorder="1" applyAlignment="1">
      <alignment horizontal="center" vertical="center" textRotation="90" wrapText="1"/>
    </xf>
    <xf numFmtId="0" fontId="54" fillId="0" borderId="6" xfId="0" applyFont="1" applyBorder="1" applyAlignment="1">
      <alignment horizontal="center" vertical="center"/>
    </xf>
    <xf numFmtId="0" fontId="54" fillId="0" borderId="6" xfId="0" applyFont="1" applyBorder="1" applyAlignment="1" applyProtection="1">
      <alignment horizontal="center" vertical="center" wrapText="1"/>
      <protection locked="0"/>
    </xf>
    <xf numFmtId="0" fontId="54" fillId="0" borderId="6" xfId="0" applyFont="1" applyBorder="1" applyAlignment="1" applyProtection="1">
      <alignment horizontal="center" vertical="center" textRotation="90" wrapText="1"/>
      <protection locked="0"/>
    </xf>
    <xf numFmtId="9" fontId="54" fillId="0" borderId="6" xfId="24" applyFont="1" applyFill="1" applyBorder="1" applyAlignment="1" applyProtection="1">
      <alignment horizontal="center" vertical="center" textRotation="90" wrapText="1"/>
      <protection locked="0"/>
    </xf>
    <xf numFmtId="0" fontId="54" fillId="0" borderId="6" xfId="0" applyFont="1" applyBorder="1" applyAlignment="1">
      <alignment horizontal="center" vertical="center" wrapText="1"/>
    </xf>
    <xf numFmtId="173" fontId="54" fillId="0" borderId="6" xfId="0" applyNumberFormat="1" applyFont="1" applyBorder="1" applyAlignment="1">
      <alignment horizontal="center" vertical="center" wrapText="1"/>
    </xf>
    <xf numFmtId="0" fontId="54" fillId="0" borderId="28" xfId="0" applyFont="1" applyBorder="1" applyAlignment="1">
      <alignment horizontal="center" vertical="center"/>
    </xf>
    <xf numFmtId="0" fontId="54" fillId="0" borderId="6" xfId="0" applyFont="1" applyBorder="1" applyAlignment="1">
      <alignment horizontal="center" vertical="center" textRotation="90" wrapText="1"/>
    </xf>
    <xf numFmtId="168" fontId="54" fillId="0" borderId="6" xfId="0" applyNumberFormat="1" applyFont="1" applyBorder="1" applyAlignment="1">
      <alignment horizontal="center" vertical="center" textRotation="90" wrapText="1"/>
    </xf>
    <xf numFmtId="0" fontId="54" fillId="0" borderId="0" xfId="0" applyFont="1" applyAlignment="1">
      <alignment horizontal="center" vertical="center"/>
    </xf>
    <xf numFmtId="3" fontId="47" fillId="0" borderId="6" xfId="0" applyNumberFormat="1" applyFont="1" applyBorder="1" applyAlignment="1" applyProtection="1">
      <alignment horizontal="center" vertical="center"/>
      <protection locked="0"/>
    </xf>
    <xf numFmtId="167" fontId="47" fillId="0" borderId="6" xfId="0" applyNumberFormat="1" applyFont="1" applyBorder="1" applyAlignment="1" applyProtection="1">
      <alignment horizontal="center" vertical="center"/>
      <protection locked="0"/>
    </xf>
    <xf numFmtId="0" fontId="47" fillId="0" borderId="6" xfId="0" applyFont="1" applyBorder="1" applyAlignment="1" applyProtection="1">
      <alignment horizontal="center" vertical="center"/>
      <protection locked="0"/>
    </xf>
    <xf numFmtId="1" fontId="47" fillId="0" borderId="6" xfId="0" applyNumberFormat="1" applyFont="1" applyBorder="1" applyAlignment="1" applyProtection="1">
      <alignment horizontal="center" vertical="center"/>
      <protection locked="0"/>
    </xf>
    <xf numFmtId="169" fontId="47" fillId="0" borderId="6" xfId="24" applyNumberFormat="1" applyFont="1" applyFill="1" applyBorder="1" applyAlignment="1" applyProtection="1">
      <alignment horizontal="center" vertical="center"/>
      <protection locked="0"/>
    </xf>
    <xf numFmtId="168" fontId="47" fillId="0" borderId="6" xfId="0" applyNumberFormat="1" applyFont="1" applyBorder="1" applyAlignment="1" applyProtection="1">
      <alignment horizontal="center" vertical="center"/>
      <protection locked="0"/>
    </xf>
    <xf numFmtId="0" fontId="47" fillId="0" borderId="6" xfId="0" applyFont="1" applyBorder="1" applyAlignment="1">
      <alignment horizontal="center" vertical="center"/>
    </xf>
    <xf numFmtId="0" fontId="47" fillId="16" borderId="6" xfId="0" applyFont="1" applyFill="1" applyBorder="1" applyAlignment="1">
      <alignment horizontal="center"/>
    </xf>
    <xf numFmtId="0" fontId="47" fillId="14" borderId="0" xfId="0" applyFont="1" applyFill="1"/>
    <xf numFmtId="2" fontId="47" fillId="14" borderId="0" xfId="0" applyNumberFormat="1" applyFont="1" applyFill="1" applyAlignment="1">
      <alignment horizontal="center" vertical="center" wrapText="1"/>
    </xf>
    <xf numFmtId="171" fontId="47" fillId="14" borderId="0" xfId="0" applyNumberFormat="1" applyFont="1" applyFill="1" applyAlignment="1">
      <alignment horizontal="center" vertical="center" wrapText="1"/>
    </xf>
    <xf numFmtId="1" fontId="54" fillId="14" borderId="0" xfId="0" applyNumberFormat="1" applyFont="1" applyFill="1"/>
    <xf numFmtId="1" fontId="54" fillId="14" borderId="0" xfId="0" applyNumberFormat="1" applyFont="1" applyFill="1" applyAlignment="1">
      <alignment horizontal="center" vertical="center" wrapText="1"/>
    </xf>
    <xf numFmtId="171" fontId="54" fillId="14" borderId="0" xfId="0" applyNumberFormat="1" applyFont="1" applyFill="1" applyAlignment="1">
      <alignment horizontal="center" vertical="center" wrapText="1"/>
    </xf>
    <xf numFmtId="1" fontId="54" fillId="0" borderId="0" xfId="0" applyNumberFormat="1" applyFont="1" applyAlignment="1">
      <alignment horizontal="center"/>
    </xf>
    <xf numFmtId="1" fontId="54" fillId="0" borderId="0" xfId="0" applyNumberFormat="1" applyFont="1"/>
    <xf numFmtId="0" fontId="52" fillId="14" borderId="0" xfId="0" applyFont="1" applyFill="1" applyAlignment="1">
      <alignment horizontal="center" vertical="center"/>
    </xf>
    <xf numFmtId="2" fontId="71" fillId="14" borderId="0" xfId="0" applyNumberFormat="1" applyFont="1" applyFill="1" applyAlignment="1">
      <alignment horizontal="center" vertical="center" wrapText="1"/>
    </xf>
    <xf numFmtId="2" fontId="52" fillId="14" borderId="0" xfId="0" applyNumberFormat="1" applyFont="1" applyFill="1" applyAlignment="1">
      <alignment horizontal="center" vertical="center" wrapText="1"/>
    </xf>
    <xf numFmtId="171" fontId="52" fillId="14" borderId="0" xfId="0" applyNumberFormat="1" applyFont="1" applyFill="1" applyAlignment="1">
      <alignment horizontal="center" vertical="center" wrapText="1"/>
    </xf>
    <xf numFmtId="0" fontId="52" fillId="0" borderId="0" xfId="0" applyFont="1" applyAlignment="1">
      <alignment horizontal="center" vertical="center"/>
    </xf>
    <xf numFmtId="0" fontId="47" fillId="14" borderId="0" xfId="0" applyFont="1" applyFill="1" applyAlignment="1">
      <alignment horizontal="center" vertical="center"/>
    </xf>
    <xf numFmtId="4" fontId="54" fillId="18" borderId="6" xfId="0" applyNumberFormat="1" applyFont="1" applyFill="1" applyBorder="1" applyAlignment="1">
      <alignment horizontal="center" vertical="center" wrapText="1"/>
    </xf>
    <xf numFmtId="4" fontId="54" fillId="0" borderId="27" xfId="0" applyNumberFormat="1" applyFont="1" applyBorder="1" applyAlignment="1">
      <alignment horizontal="left" vertical="center"/>
    </xf>
    <xf numFmtId="1" fontId="54" fillId="0" borderId="28" xfId="0" applyNumberFormat="1" applyFont="1" applyBorder="1" applyAlignment="1">
      <alignment horizontal="center" vertical="center"/>
    </xf>
    <xf numFmtId="4" fontId="54" fillId="0" borderId="28" xfId="0" applyNumberFormat="1" applyFont="1" applyBorder="1" applyAlignment="1">
      <alignment horizontal="center" vertical="center"/>
    </xf>
    <xf numFmtId="170" fontId="54" fillId="0" borderId="28" xfId="0" applyNumberFormat="1" applyFont="1" applyBorder="1" applyAlignment="1">
      <alignment horizontal="center" vertical="center"/>
    </xf>
    <xf numFmtId="2" fontId="54" fillId="0" borderId="28" xfId="0" applyNumberFormat="1" applyFont="1" applyBorder="1" applyAlignment="1">
      <alignment horizontal="center" vertical="center"/>
    </xf>
    <xf numFmtId="171" fontId="54" fillId="0" borderId="28" xfId="0" applyNumberFormat="1" applyFont="1" applyBorder="1" applyAlignment="1">
      <alignment horizontal="center" vertical="center"/>
    </xf>
    <xf numFmtId="4" fontId="54" fillId="0" borderId="26" xfId="0" applyNumberFormat="1" applyFont="1" applyBorder="1" applyAlignment="1">
      <alignment horizontal="center" vertical="center"/>
    </xf>
    <xf numFmtId="4" fontId="54" fillId="0" borderId="73" xfId="0" applyNumberFormat="1" applyFont="1" applyBorder="1" applyAlignment="1">
      <alignment horizontal="center" vertical="center"/>
    </xf>
    <xf numFmtId="4" fontId="54" fillId="0" borderId="74" xfId="0" applyNumberFormat="1" applyFont="1" applyBorder="1" applyAlignment="1">
      <alignment horizontal="center" vertical="center"/>
    </xf>
    <xf numFmtId="170" fontId="54" fillId="0" borderId="32" xfId="0" applyNumberFormat="1" applyFont="1" applyBorder="1" applyAlignment="1">
      <alignment horizontal="center" vertical="center"/>
    </xf>
    <xf numFmtId="0" fontId="47" fillId="0" borderId="6" xfId="0" applyFont="1" applyBorder="1" applyAlignment="1">
      <alignment horizontal="left"/>
    </xf>
    <xf numFmtId="0" fontId="47" fillId="0" borderId="6" xfId="0" applyFont="1" applyBorder="1" applyAlignment="1">
      <alignment horizontal="center"/>
    </xf>
    <xf numFmtId="170" fontId="47" fillId="0" borderId="6" xfId="0" applyNumberFormat="1" applyFont="1" applyBorder="1" applyAlignment="1">
      <alignment horizontal="center"/>
    </xf>
    <xf numFmtId="2" fontId="47" fillId="0" borderId="6" xfId="0" applyNumberFormat="1" applyFont="1" applyBorder="1" applyAlignment="1">
      <alignment horizontal="center"/>
    </xf>
    <xf numFmtId="171" fontId="47" fillId="0" borderId="6" xfId="0" applyNumberFormat="1" applyFont="1" applyBorder="1" applyAlignment="1">
      <alignment horizontal="center"/>
    </xf>
    <xf numFmtId="176" fontId="47" fillId="0" borderId="6" xfId="0" applyNumberFormat="1" applyFont="1" applyBorder="1" applyAlignment="1">
      <alignment horizontal="center"/>
    </xf>
    <xf numFmtId="14" fontId="47" fillId="0" borderId="6" xfId="0" applyNumberFormat="1" applyFont="1" applyBorder="1" applyAlignment="1">
      <alignment horizontal="center"/>
    </xf>
    <xf numFmtId="2" fontId="54" fillId="18" borderId="6" xfId="0" applyNumberFormat="1" applyFont="1" applyFill="1" applyBorder="1" applyAlignment="1">
      <alignment horizontal="center"/>
    </xf>
    <xf numFmtId="178" fontId="54" fillId="18" borderId="6" xfId="24" applyNumberFormat="1" applyFont="1" applyFill="1" applyBorder="1" applyAlignment="1">
      <alignment horizontal="center"/>
    </xf>
    <xf numFmtId="0" fontId="54" fillId="0" borderId="0" xfId="0" applyFont="1"/>
    <xf numFmtId="168" fontId="54" fillId="0" borderId="0" xfId="0" applyNumberFormat="1" applyFont="1"/>
    <xf numFmtId="169" fontId="54" fillId="0" borderId="0" xfId="24" applyNumberFormat="1" applyFont="1" applyAlignment="1"/>
    <xf numFmtId="0" fontId="54" fillId="0" borderId="27" xfId="0" applyFont="1" applyBorder="1" applyAlignment="1">
      <alignment horizontal="center" vertical="center"/>
    </xf>
    <xf numFmtId="0" fontId="48" fillId="0" borderId="28" xfId="0" applyFont="1" applyBorder="1" applyAlignment="1">
      <alignment horizontal="center" vertical="center"/>
    </xf>
    <xf numFmtId="10" fontId="48" fillId="0" borderId="28" xfId="0" applyNumberFormat="1" applyFont="1" applyBorder="1" applyAlignment="1">
      <alignment horizontal="center" vertical="center"/>
    </xf>
    <xf numFmtId="168" fontId="48" fillId="0" borderId="28" xfId="0" applyNumberFormat="1" applyFont="1" applyBorder="1" applyAlignment="1">
      <alignment horizontal="center" vertical="center"/>
    </xf>
    <xf numFmtId="169" fontId="48" fillId="0" borderId="28" xfId="24" applyNumberFormat="1" applyFont="1" applyFill="1" applyBorder="1" applyAlignment="1">
      <alignment horizontal="center" vertical="center"/>
    </xf>
    <xf numFmtId="0" fontId="47" fillId="14" borderId="6" xfId="0" applyFont="1" applyFill="1" applyBorder="1" applyAlignment="1">
      <alignment horizontal="left" vertical="center"/>
    </xf>
    <xf numFmtId="169" fontId="47" fillId="0" borderId="6" xfId="0" applyNumberFormat="1" applyFont="1" applyBorder="1" applyAlignment="1">
      <alignment horizontal="center" vertical="center"/>
    </xf>
    <xf numFmtId="0" fontId="47" fillId="0" borderId="6" xfId="24" applyNumberFormat="1" applyFont="1" applyBorder="1" applyAlignment="1">
      <alignment horizontal="center" vertical="center"/>
    </xf>
    <xf numFmtId="0" fontId="47" fillId="14" borderId="6" xfId="0" applyFont="1" applyFill="1" applyBorder="1" applyAlignment="1">
      <alignment horizontal="center" vertical="center"/>
    </xf>
    <xf numFmtId="183" fontId="47" fillId="14" borderId="6" xfId="0" applyNumberFormat="1" applyFont="1" applyFill="1" applyBorder="1" applyAlignment="1">
      <alignment horizontal="center" vertical="center"/>
    </xf>
    <xf numFmtId="184" fontId="47" fillId="14" borderId="6" xfId="0" applyNumberFormat="1" applyFont="1" applyFill="1" applyBorder="1" applyAlignment="1">
      <alignment horizontal="center" vertical="center"/>
    </xf>
    <xf numFmtId="168" fontId="47" fillId="26" borderId="6" xfId="0" applyNumberFormat="1" applyFont="1" applyFill="1" applyBorder="1" applyAlignment="1">
      <alignment horizontal="center" vertical="center"/>
    </xf>
    <xf numFmtId="169" fontId="47" fillId="14" borderId="6" xfId="24" applyNumberFormat="1" applyFont="1" applyFill="1" applyBorder="1" applyAlignment="1">
      <alignment horizontal="center" vertical="center"/>
    </xf>
    <xf numFmtId="169" fontId="47" fillId="26" borderId="6" xfId="24" applyNumberFormat="1" applyFont="1" applyFill="1" applyBorder="1" applyAlignment="1">
      <alignment horizontal="center" vertical="center"/>
    </xf>
    <xf numFmtId="169" fontId="47" fillId="0" borderId="0" xfId="24" applyNumberFormat="1" applyFont="1" applyAlignment="1"/>
    <xf numFmtId="168" fontId="47" fillId="0" borderId="0" xfId="0" applyNumberFormat="1" applyFont="1" applyAlignment="1">
      <alignment wrapText="1"/>
    </xf>
    <xf numFmtId="2" fontId="47" fillId="0" borderId="29" xfId="0" applyNumberFormat="1" applyFont="1" applyBorder="1" applyAlignment="1">
      <alignment horizontal="center" vertical="center"/>
    </xf>
    <xf numFmtId="0" fontId="72" fillId="0" borderId="0" xfId="0" applyFont="1" applyAlignment="1">
      <alignment horizontal="center" vertical="center"/>
    </xf>
    <xf numFmtId="0" fontId="48" fillId="18" borderId="64" xfId="0" applyFont="1" applyFill="1" applyBorder="1" applyAlignment="1">
      <alignment horizontal="center" vertical="center" wrapText="1"/>
    </xf>
    <xf numFmtId="0" fontId="48" fillId="18" borderId="61" xfId="0" applyFont="1" applyFill="1" applyBorder="1" applyAlignment="1">
      <alignment horizontal="center" vertical="center" wrapText="1"/>
    </xf>
    <xf numFmtId="0" fontId="48" fillId="18" borderId="62" xfId="0" applyFont="1" applyFill="1" applyBorder="1" applyAlignment="1">
      <alignment horizontal="center" vertical="center" wrapText="1"/>
    </xf>
    <xf numFmtId="2" fontId="48" fillId="18" borderId="61" xfId="0" applyNumberFormat="1" applyFont="1" applyFill="1" applyBorder="1" applyAlignment="1">
      <alignment horizontal="center" vertical="center" wrapText="1"/>
    </xf>
    <xf numFmtId="0" fontId="48" fillId="18" borderId="63" xfId="0" applyFont="1" applyFill="1" applyBorder="1" applyAlignment="1">
      <alignment horizontal="center" vertical="center" wrapText="1"/>
    </xf>
    <xf numFmtId="0" fontId="48" fillId="18" borderId="66" xfId="0" applyFont="1" applyFill="1" applyBorder="1" applyAlignment="1">
      <alignment horizontal="center" vertical="center" wrapText="1"/>
    </xf>
    <xf numFmtId="0" fontId="52" fillId="0" borderId="0" xfId="0" applyFont="1" applyAlignment="1">
      <alignment horizontal="center" vertical="center" wrapText="1"/>
    </xf>
    <xf numFmtId="0" fontId="73" fillId="0" borderId="0" xfId="0" applyFont="1" applyAlignment="1">
      <alignment horizontal="center" vertical="center" wrapText="1"/>
    </xf>
    <xf numFmtId="0" fontId="52" fillId="0" borderId="0" xfId="0" applyFont="1" applyAlignment="1">
      <alignment vertical="center" wrapText="1"/>
    </xf>
    <xf numFmtId="0" fontId="54" fillId="0" borderId="0" xfId="0" applyFont="1" applyAlignment="1">
      <alignment horizontal="center" vertical="center" wrapText="1"/>
    </xf>
    <xf numFmtId="0" fontId="54" fillId="0" borderId="13" xfId="0" applyFont="1" applyBorder="1" applyAlignment="1">
      <alignment horizontal="center" vertical="center" wrapText="1"/>
    </xf>
    <xf numFmtId="2" fontId="54" fillId="0" borderId="0" xfId="0" applyNumberFormat="1" applyFont="1" applyAlignment="1">
      <alignment horizontal="center" vertical="center" wrapText="1"/>
    </xf>
    <xf numFmtId="0" fontId="54" fillId="0" borderId="14" xfId="0" applyFont="1" applyBorder="1" applyAlignment="1">
      <alignment horizontal="center" vertical="center" wrapText="1"/>
    </xf>
    <xf numFmtId="0" fontId="48" fillId="0" borderId="0" xfId="0" applyFont="1" applyAlignment="1">
      <alignment horizontal="center" vertical="center" wrapText="1"/>
    </xf>
    <xf numFmtId="0" fontId="54" fillId="0" borderId="0" xfId="0" applyFont="1" applyAlignment="1">
      <alignment vertical="center" wrapText="1"/>
    </xf>
    <xf numFmtId="1" fontId="49" fillId="0" borderId="0" xfId="0" applyNumberFormat="1" applyFont="1" applyAlignment="1">
      <alignment vertical="center"/>
    </xf>
    <xf numFmtId="0" fontId="49" fillId="0" borderId="0" xfId="0" applyFont="1" applyAlignment="1">
      <alignment horizontal="center" vertical="center"/>
    </xf>
    <xf numFmtId="2" fontId="49" fillId="0" borderId="0" xfId="0" applyNumberFormat="1" applyFont="1" applyAlignment="1">
      <alignment horizontal="center" vertical="center"/>
    </xf>
    <xf numFmtId="0" fontId="49" fillId="0" borderId="13" xfId="0" applyFont="1" applyBorder="1" applyAlignment="1">
      <alignment horizontal="center" vertical="center"/>
    </xf>
    <xf numFmtId="0" fontId="49" fillId="0" borderId="14" xfId="0" applyFont="1" applyBorder="1" applyAlignment="1">
      <alignment horizontal="center" vertical="center"/>
    </xf>
    <xf numFmtId="9" fontId="49" fillId="0" borderId="0" xfId="24" applyFont="1" applyFill="1" applyAlignment="1">
      <alignment horizontal="center" vertical="center"/>
    </xf>
    <xf numFmtId="3" fontId="49" fillId="0" borderId="0" xfId="0" applyNumberFormat="1" applyFont="1" applyAlignment="1">
      <alignment horizontal="center" vertical="center"/>
    </xf>
    <xf numFmtId="1" fontId="47" fillId="0" borderId="0" xfId="0" applyNumberFormat="1" applyFont="1" applyAlignment="1">
      <alignment vertical="center"/>
    </xf>
    <xf numFmtId="1" fontId="50" fillId="0" borderId="0" xfId="0" applyNumberFormat="1" applyFont="1" applyAlignment="1">
      <alignment horizontal="center" vertical="center"/>
    </xf>
    <xf numFmtId="2" fontId="47" fillId="0" borderId="14" xfId="0" applyNumberFormat="1" applyFont="1" applyBorder="1" applyAlignment="1">
      <alignment horizontal="center" vertical="center"/>
    </xf>
    <xf numFmtId="9" fontId="47" fillId="0" borderId="13" xfId="24" applyFont="1" applyFill="1" applyBorder="1" applyAlignment="1">
      <alignment horizontal="center" vertical="center"/>
    </xf>
    <xf numFmtId="3" fontId="47" fillId="0" borderId="0" xfId="24" applyNumberFormat="1" applyFont="1" applyFill="1" applyAlignment="1">
      <alignment horizontal="center" vertical="center"/>
    </xf>
    <xf numFmtId="3" fontId="47" fillId="0" borderId="0" xfId="0" applyNumberFormat="1" applyFont="1" applyAlignment="1">
      <alignment horizontal="center" vertical="center"/>
    </xf>
    <xf numFmtId="9" fontId="47" fillId="0" borderId="0" xfId="24" applyFont="1" applyFill="1" applyAlignment="1">
      <alignment horizontal="center" vertical="center"/>
    </xf>
    <xf numFmtId="0" fontId="73" fillId="0" borderId="0" xfId="0" applyFont="1" applyAlignment="1">
      <alignment horizontal="center" vertical="center"/>
    </xf>
    <xf numFmtId="0" fontId="73" fillId="0" borderId="0" xfId="0" applyFont="1" applyAlignment="1">
      <alignment vertical="center"/>
    </xf>
    <xf numFmtId="178" fontId="47" fillId="0" borderId="0" xfId="0" applyNumberFormat="1" applyFont="1"/>
    <xf numFmtId="0" fontId="52" fillId="0" borderId="85" xfId="0" applyFont="1" applyBorder="1" applyAlignment="1">
      <alignment horizontal="left" vertical="center"/>
    </xf>
    <xf numFmtId="0" fontId="52" fillId="0" borderId="0" xfId="0" applyFont="1" applyAlignment="1">
      <alignment horizontal="left" vertical="center"/>
    </xf>
    <xf numFmtId="178" fontId="54" fillId="0" borderId="0" xfId="0" applyNumberFormat="1" applyFont="1" applyAlignment="1">
      <alignment horizontal="center" wrapText="1"/>
    </xf>
    <xf numFmtId="0" fontId="54" fillId="18" borderId="85" xfId="0" applyFont="1" applyFill="1" applyBorder="1" applyAlignment="1">
      <alignment horizontal="right" vertical="center" indent="4"/>
    </xf>
    <xf numFmtId="178" fontId="54" fillId="18" borderId="86" xfId="0" applyNumberFormat="1" applyFont="1" applyFill="1" applyBorder="1" applyAlignment="1">
      <alignment horizontal="center" wrapText="1"/>
    </xf>
    <xf numFmtId="0" fontId="74" fillId="18" borderId="85" xfId="0" applyFont="1" applyFill="1" applyBorder="1" applyAlignment="1">
      <alignment horizontal="right" vertical="center" indent="4"/>
    </xf>
    <xf numFmtId="0" fontId="48" fillId="18" borderId="85" xfId="0" applyFont="1" applyFill="1" applyBorder="1" applyAlignment="1">
      <alignment horizontal="right" vertical="center" indent="3"/>
    </xf>
    <xf numFmtId="178" fontId="48" fillId="18" borderId="86" xfId="0" applyNumberFormat="1" applyFont="1" applyFill="1" applyBorder="1" applyAlignment="1">
      <alignment horizontal="center" wrapText="1"/>
    </xf>
    <xf numFmtId="0" fontId="48" fillId="18" borderId="85" xfId="0" applyFont="1" applyFill="1" applyBorder="1" applyAlignment="1">
      <alignment horizontal="right" vertical="center" indent="2"/>
    </xf>
    <xf numFmtId="0" fontId="54" fillId="18" borderId="85" xfId="0" applyFont="1" applyFill="1" applyBorder="1" applyAlignment="1">
      <alignment horizontal="right" vertical="center" indent="2"/>
    </xf>
    <xf numFmtId="0" fontId="74" fillId="18" borderId="85" xfId="0" applyFont="1" applyFill="1" applyBorder="1" applyAlignment="1">
      <alignment horizontal="right" vertical="center" indent="2"/>
    </xf>
    <xf numFmtId="0" fontId="48" fillId="18" borderId="85" xfId="0" applyFont="1" applyFill="1" applyBorder="1" applyAlignment="1">
      <alignment horizontal="right" vertical="center" indent="1"/>
    </xf>
    <xf numFmtId="0" fontId="54" fillId="18" borderId="85" xfId="0" applyFont="1" applyFill="1" applyBorder="1" applyAlignment="1">
      <alignment horizontal="right" vertical="center" indent="3"/>
    </xf>
    <xf numFmtId="4" fontId="47" fillId="0" borderId="0" xfId="0" applyNumberFormat="1" applyFont="1" applyAlignment="1" applyProtection="1">
      <alignment horizontal="center"/>
      <protection locked="0"/>
    </xf>
    <xf numFmtId="4" fontId="52" fillId="0" borderId="0" xfId="0" applyNumberFormat="1" applyFont="1" applyAlignment="1" applyProtection="1">
      <alignment horizontal="center"/>
      <protection locked="0"/>
    </xf>
    <xf numFmtId="0" fontId="48" fillId="18" borderId="22" xfId="0" applyFont="1" applyFill="1" applyBorder="1"/>
    <xf numFmtId="4" fontId="47" fillId="0" borderId="0" xfId="0" applyNumberFormat="1" applyFont="1"/>
    <xf numFmtId="4" fontId="52" fillId="0" borderId="0" xfId="0" applyNumberFormat="1" applyFont="1"/>
    <xf numFmtId="3" fontId="47" fillId="0" borderId="0" xfId="0" applyNumberFormat="1" applyFont="1" applyAlignment="1">
      <alignment horizontal="center"/>
    </xf>
    <xf numFmtId="2" fontId="49" fillId="0" borderId="0" xfId="0" applyNumberFormat="1" applyFont="1" applyAlignment="1">
      <alignment horizontal="center"/>
    </xf>
    <xf numFmtId="0" fontId="47" fillId="0" borderId="1" xfId="0" applyFont="1" applyBorder="1"/>
    <xf numFmtId="0" fontId="47" fillId="0" borderId="1" xfId="0" applyFont="1" applyBorder="1" applyAlignment="1">
      <alignment horizontal="center"/>
    </xf>
    <xf numFmtId="0" fontId="48" fillId="15" borderId="74" xfId="0" applyFont="1" applyFill="1" applyBorder="1" applyAlignment="1">
      <alignment horizontal="center" textRotation="90" wrapText="1"/>
    </xf>
    <xf numFmtId="0" fontId="48" fillId="15" borderId="6" xfId="0" applyFont="1" applyFill="1" applyBorder="1" applyAlignment="1">
      <alignment horizontal="center" textRotation="90" wrapText="1"/>
    </xf>
    <xf numFmtId="0" fontId="48" fillId="15" borderId="73" xfId="0" applyFont="1" applyFill="1" applyBorder="1" applyAlignment="1">
      <alignment horizontal="center" textRotation="90" wrapText="1"/>
    </xf>
    <xf numFmtId="0" fontId="48" fillId="15" borderId="30" xfId="0" applyFont="1" applyFill="1" applyBorder="1" applyAlignment="1">
      <alignment horizontal="center" textRotation="90" wrapText="1"/>
    </xf>
    <xf numFmtId="3" fontId="48" fillId="15" borderId="77" xfId="0" applyNumberFormat="1" applyFont="1" applyFill="1" applyBorder="1" applyAlignment="1">
      <alignment horizontal="center" vertical="center" wrapText="1"/>
    </xf>
    <xf numFmtId="2" fontId="48" fillId="15" borderId="68" xfId="0" applyNumberFormat="1" applyFont="1" applyFill="1" applyBorder="1" applyAlignment="1">
      <alignment horizontal="center" vertical="center" wrapText="1"/>
    </xf>
    <xf numFmtId="168" fontId="48" fillId="15" borderId="68" xfId="0" applyNumberFormat="1" applyFont="1" applyFill="1" applyBorder="1" applyAlignment="1">
      <alignment horizontal="center" vertical="center" wrapText="1"/>
    </xf>
    <xf numFmtId="168" fontId="48" fillId="15" borderId="78" xfId="0" applyNumberFormat="1" applyFont="1" applyFill="1" applyBorder="1" applyAlignment="1">
      <alignment horizontal="center" vertical="center" wrapText="1"/>
    </xf>
    <xf numFmtId="0" fontId="52" fillId="0" borderId="0" xfId="0" applyFont="1"/>
    <xf numFmtId="4" fontId="52" fillId="16" borderId="6" xfId="0" applyNumberFormat="1" applyFont="1" applyFill="1" applyBorder="1" applyAlignment="1">
      <alignment horizontal="center" vertical="center" wrapText="1"/>
    </xf>
    <xf numFmtId="0" fontId="54" fillId="0" borderId="13" xfId="0" applyFont="1" applyBorder="1" applyAlignment="1">
      <alignment horizontal="center"/>
    </xf>
    <xf numFmtId="0" fontId="54" fillId="0" borderId="29" xfId="0" applyFont="1" applyBorder="1" applyAlignment="1">
      <alignment horizontal="center"/>
    </xf>
    <xf numFmtId="0" fontId="54" fillId="0" borderId="32" xfId="0" applyFont="1" applyBorder="1" applyAlignment="1">
      <alignment horizontal="center"/>
    </xf>
    <xf numFmtId="0" fontId="54" fillId="0" borderId="76" xfId="0" applyFont="1" applyBorder="1" applyAlignment="1">
      <alignment horizontal="center"/>
    </xf>
    <xf numFmtId="0" fontId="54" fillId="0" borderId="75" xfId="0" applyFont="1" applyBorder="1" applyAlignment="1">
      <alignment horizontal="center"/>
    </xf>
    <xf numFmtId="0" fontId="54" fillId="0" borderId="31" xfId="0" applyFont="1" applyBorder="1" applyAlignment="1">
      <alignment horizontal="center"/>
    </xf>
    <xf numFmtId="3" fontId="54" fillId="0" borderId="13" xfId="0" applyNumberFormat="1" applyFont="1" applyBorder="1" applyAlignment="1">
      <alignment horizontal="center"/>
    </xf>
    <xf numFmtId="2" fontId="54" fillId="0" borderId="67" xfId="0" applyNumberFormat="1" applyFont="1" applyBorder="1" applyAlignment="1">
      <alignment horizontal="center"/>
    </xf>
    <xf numFmtId="168" fontId="54" fillId="0" borderId="67" xfId="0" applyNumberFormat="1" applyFont="1" applyBorder="1" applyAlignment="1">
      <alignment horizontal="center"/>
    </xf>
    <xf numFmtId="3" fontId="54" fillId="0" borderId="0" xfId="0" applyNumberFormat="1" applyFont="1" applyAlignment="1">
      <alignment horizontal="center"/>
    </xf>
    <xf numFmtId="168" fontId="54" fillId="0" borderId="79" xfId="0" applyNumberFormat="1" applyFont="1" applyBorder="1" applyAlignment="1">
      <alignment horizontal="center"/>
    </xf>
    <xf numFmtId="0" fontId="54" fillId="0" borderId="16" xfId="0" applyFont="1" applyBorder="1" applyAlignment="1">
      <alignment horizontal="center"/>
    </xf>
    <xf numFmtId="168" fontId="54" fillId="0" borderId="16" xfId="0" applyNumberFormat="1" applyFont="1" applyBorder="1" applyAlignment="1">
      <alignment horizontal="center"/>
    </xf>
    <xf numFmtId="0" fontId="47" fillId="0" borderId="6" xfId="25" applyNumberFormat="1" applyFont="1" applyFill="1" applyBorder="1" applyAlignment="1">
      <alignment horizontal="center"/>
    </xf>
    <xf numFmtId="3" fontId="47" fillId="0" borderId="6" xfId="25" applyNumberFormat="1" applyFont="1" applyFill="1" applyBorder="1" applyAlignment="1">
      <alignment horizontal="center"/>
    </xf>
    <xf numFmtId="3" fontId="47" fillId="0" borderId="6" xfId="0" applyNumberFormat="1" applyFont="1" applyBorder="1" applyAlignment="1">
      <alignment horizontal="center"/>
    </xf>
    <xf numFmtId="0" fontId="47" fillId="0" borderId="16" xfId="0" applyFont="1" applyBorder="1" applyAlignment="1">
      <alignment horizontal="center"/>
    </xf>
    <xf numFmtId="0" fontId="47" fillId="0" borderId="6" xfId="24" applyNumberFormat="1" applyFont="1" applyFill="1" applyBorder="1" applyAlignment="1">
      <alignment horizontal="center"/>
    </xf>
    <xf numFmtId="0" fontId="48" fillId="18" borderId="6" xfId="0" applyFont="1" applyFill="1" applyBorder="1" applyAlignment="1">
      <alignment horizontal="left" vertical="center"/>
    </xf>
    <xf numFmtId="0" fontId="48" fillId="18" borderId="6" xfId="0" applyFont="1" applyFill="1" applyBorder="1" applyAlignment="1">
      <alignment horizontal="center" vertical="center"/>
    </xf>
    <xf numFmtId="0" fontId="52" fillId="0" borderId="0" xfId="0" applyFont="1" applyAlignment="1">
      <alignment horizontal="center" wrapText="1"/>
    </xf>
    <xf numFmtId="0" fontId="50" fillId="0" borderId="6" xfId="0" applyFont="1" applyBorder="1" applyAlignment="1">
      <alignment horizontal="center"/>
    </xf>
    <xf numFmtId="0" fontId="50" fillId="0" borderId="0" xfId="0" applyFont="1" applyAlignment="1">
      <alignment horizontal="center"/>
    </xf>
    <xf numFmtId="0" fontId="72" fillId="0" borderId="0" xfId="0" applyFont="1" applyAlignment="1">
      <alignment horizontal="left"/>
    </xf>
    <xf numFmtId="0" fontId="72" fillId="0" borderId="0" xfId="0" applyFont="1" applyAlignment="1">
      <alignment horizontal="center"/>
    </xf>
    <xf numFmtId="0" fontId="72" fillId="0" borderId="0" xfId="0" applyFont="1"/>
    <xf numFmtId="0" fontId="47" fillId="0" borderId="29" xfId="0" applyFont="1" applyBorder="1" applyAlignment="1">
      <alignment horizontal="center"/>
    </xf>
    <xf numFmtId="0" fontId="47" fillId="0" borderId="29" xfId="24" applyNumberFormat="1" applyFont="1" applyFill="1" applyBorder="1" applyAlignment="1">
      <alignment horizontal="center"/>
    </xf>
    <xf numFmtId="0" fontId="47" fillId="0" borderId="69" xfId="0" applyFont="1" applyBorder="1" applyAlignment="1">
      <alignment horizontal="center"/>
    </xf>
    <xf numFmtId="0" fontId="47" fillId="0" borderId="69" xfId="24" applyNumberFormat="1" applyFont="1" applyFill="1" applyBorder="1" applyAlignment="1">
      <alignment horizontal="center"/>
    </xf>
    <xf numFmtId="0" fontId="47" fillId="0" borderId="70" xfId="0" applyFont="1" applyBorder="1" applyAlignment="1">
      <alignment horizontal="center"/>
    </xf>
    <xf numFmtId="0" fontId="47" fillId="0" borderId="70" xfId="24" applyNumberFormat="1" applyFont="1" applyFill="1" applyBorder="1" applyAlignment="1">
      <alignment horizontal="center"/>
    </xf>
    <xf numFmtId="0" fontId="47" fillId="0" borderId="28" xfId="0" applyFont="1" applyBorder="1" applyAlignment="1">
      <alignment horizontal="center"/>
    </xf>
    <xf numFmtId="0" fontId="47" fillId="0" borderId="28" xfId="24" applyNumberFormat="1" applyFont="1" applyFill="1" applyBorder="1" applyAlignment="1">
      <alignment horizontal="center"/>
    </xf>
    <xf numFmtId="3" fontId="47" fillId="0" borderId="0" xfId="25" applyNumberFormat="1" applyFont="1" applyFill="1" applyBorder="1" applyAlignment="1">
      <alignment horizontal="center"/>
    </xf>
    <xf numFmtId="170" fontId="47" fillId="0" borderId="0" xfId="25" applyNumberFormat="1" applyFont="1" applyFill="1" applyBorder="1" applyAlignment="1">
      <alignment horizontal="center"/>
    </xf>
    <xf numFmtId="3" fontId="47" fillId="0" borderId="0" xfId="0" applyNumberFormat="1" applyFont="1"/>
    <xf numFmtId="3" fontId="47" fillId="14" borderId="20" xfId="0" applyNumberFormat="1" applyFont="1" applyFill="1" applyBorder="1" applyAlignment="1">
      <alignment horizontal="center" vertical="center" wrapText="1"/>
    </xf>
    <xf numFmtId="1" fontId="47" fillId="14" borderId="21" xfId="0" applyNumberFormat="1" applyFont="1" applyFill="1" applyBorder="1" applyAlignment="1">
      <alignment horizontal="center" vertical="center" wrapText="1"/>
    </xf>
    <xf numFmtId="3" fontId="47" fillId="14" borderId="49" xfId="0" applyNumberFormat="1" applyFont="1" applyFill="1" applyBorder="1" applyAlignment="1">
      <alignment horizontal="center" vertical="center" wrapText="1"/>
    </xf>
    <xf numFmtId="1" fontId="47" fillId="14" borderId="58" xfId="0" applyNumberFormat="1" applyFont="1" applyFill="1" applyBorder="1" applyAlignment="1">
      <alignment horizontal="center" vertical="center" wrapText="1"/>
    </xf>
    <xf numFmtId="1" fontId="47" fillId="14" borderId="51" xfId="0" applyNumberFormat="1" applyFont="1" applyFill="1" applyBorder="1" applyAlignment="1">
      <alignment horizontal="center" vertical="center" wrapText="1"/>
    </xf>
    <xf numFmtId="1" fontId="47" fillId="14" borderId="48" xfId="0" applyNumberFormat="1" applyFont="1" applyFill="1" applyBorder="1" applyAlignment="1">
      <alignment horizontal="center" vertical="center" wrapText="1"/>
    </xf>
    <xf numFmtId="0" fontId="52" fillId="0" borderId="0" xfId="0" applyFont="1" applyAlignment="1">
      <alignment horizontal="left" vertical="center" indent="1"/>
    </xf>
    <xf numFmtId="0" fontId="47" fillId="0" borderId="0" xfId="0" applyFont="1" applyAlignment="1">
      <alignment horizontal="left" vertical="center" indent="1"/>
    </xf>
    <xf numFmtId="1" fontId="54" fillId="18" borderId="22" xfId="0" applyNumberFormat="1" applyFont="1" applyFill="1" applyBorder="1" applyAlignment="1">
      <alignment horizontal="center" vertical="center"/>
    </xf>
    <xf numFmtId="1" fontId="54" fillId="18" borderId="30" xfId="0" applyNumberFormat="1" applyFont="1" applyFill="1" applyBorder="1" applyAlignment="1">
      <alignment horizontal="center" vertical="center"/>
    </xf>
    <xf numFmtId="0" fontId="48" fillId="0" borderId="0" xfId="0" applyFont="1" applyAlignment="1">
      <alignment horizontal="left" vertical="center" indent="1"/>
    </xf>
    <xf numFmtId="0" fontId="48" fillId="0" borderId="0" xfId="0" applyFont="1" applyAlignment="1">
      <alignment horizontal="left" vertical="center"/>
    </xf>
    <xf numFmtId="0" fontId="76" fillId="0" borderId="0" xfId="0" applyFont="1" applyAlignment="1">
      <alignment horizontal="left" vertical="center" indent="1"/>
    </xf>
    <xf numFmtId="0" fontId="49" fillId="0" borderId="0" xfId="0" applyFont="1" applyAlignment="1">
      <alignment horizontal="left" vertical="center" indent="1"/>
    </xf>
    <xf numFmtId="0" fontId="47" fillId="0" borderId="0" xfId="0" applyFont="1" applyAlignment="1">
      <alignment horizontal="left" indent="1"/>
    </xf>
    <xf numFmtId="0" fontId="49" fillId="0" borderId="0" xfId="0" applyFont="1" applyAlignment="1">
      <alignment vertical="center"/>
    </xf>
    <xf numFmtId="0" fontId="49" fillId="0" borderId="0" xfId="0" applyFont="1" applyAlignment="1" applyProtection="1">
      <alignment horizontal="center" vertical="center"/>
      <protection locked="0"/>
    </xf>
    <xf numFmtId="0" fontId="49" fillId="0" borderId="84" xfId="0" applyFont="1" applyBorder="1" applyAlignment="1" applyProtection="1">
      <alignment horizontal="center" vertical="center"/>
      <protection locked="0"/>
    </xf>
    <xf numFmtId="0" fontId="49" fillId="0" borderId="83" xfId="0" applyFont="1" applyBorder="1" applyAlignment="1" applyProtection="1">
      <alignment horizontal="center" vertical="center"/>
      <protection locked="0"/>
    </xf>
    <xf numFmtId="169" fontId="49" fillId="0" borderId="83" xfId="25" applyNumberFormat="1" applyFont="1" applyBorder="1" applyAlignment="1" applyProtection="1">
      <alignment horizontal="center" vertical="center"/>
      <protection locked="0"/>
    </xf>
    <xf numFmtId="9" fontId="49" fillId="0" borderId="82" xfId="25" applyNumberFormat="1" applyFont="1" applyBorder="1" applyAlignment="1" applyProtection="1">
      <alignment horizontal="center" vertical="center"/>
      <protection locked="0"/>
    </xf>
    <xf numFmtId="1" fontId="49" fillId="0" borderId="82" xfId="25" applyNumberFormat="1" applyFont="1" applyBorder="1" applyAlignment="1" applyProtection="1">
      <alignment horizontal="center" vertical="center"/>
      <protection locked="0"/>
    </xf>
    <xf numFmtId="1" fontId="48" fillId="18" borderId="22" xfId="0" applyNumberFormat="1" applyFont="1" applyFill="1" applyBorder="1" applyAlignment="1">
      <alignment horizontal="left" vertical="center"/>
    </xf>
    <xf numFmtId="0" fontId="54" fillId="18" borderId="5" xfId="0" applyFont="1" applyFill="1" applyBorder="1" applyAlignment="1">
      <alignment horizontal="center" vertical="center"/>
    </xf>
    <xf numFmtId="1" fontId="48" fillId="18" borderId="30" xfId="0" applyNumberFormat="1" applyFont="1" applyFill="1" applyBorder="1" applyAlignment="1">
      <alignment horizontal="center" vertical="center"/>
    </xf>
    <xf numFmtId="170" fontId="48" fillId="18" borderId="30" xfId="0" applyNumberFormat="1" applyFont="1" applyFill="1" applyBorder="1" applyAlignment="1">
      <alignment vertical="center"/>
    </xf>
    <xf numFmtId="170" fontId="77" fillId="0" borderId="0" xfId="0" applyNumberFormat="1" applyFont="1" applyAlignment="1">
      <alignment vertical="center"/>
    </xf>
    <xf numFmtId="0" fontId="48" fillId="18" borderId="6" xfId="0" quotePrefix="1" applyFont="1" applyFill="1" applyBorder="1" applyAlignment="1">
      <alignment horizontal="center" vertical="center"/>
    </xf>
    <xf numFmtId="0" fontId="49" fillId="0" borderId="84" xfId="0" applyFont="1" applyBorder="1" applyAlignment="1">
      <alignment horizontal="center" vertical="center"/>
    </xf>
    <xf numFmtId="0" fontId="49" fillId="0" borderId="83" xfId="0" applyFont="1" applyBorder="1" applyAlignment="1">
      <alignment horizontal="center" vertical="center"/>
    </xf>
    <xf numFmtId="2" fontId="49" fillId="0" borderId="84" xfId="0" applyNumberFormat="1" applyFont="1" applyBorder="1" applyAlignment="1">
      <alignment horizontal="center" vertical="center"/>
    </xf>
    <xf numFmtId="169" fontId="49" fillId="0" borderId="83" xfId="24" applyNumberFormat="1" applyFont="1" applyFill="1" applyBorder="1" applyAlignment="1">
      <alignment horizontal="center" vertical="center"/>
    </xf>
    <xf numFmtId="168" fontId="49" fillId="0" borderId="83" xfId="24" applyNumberFormat="1" applyFont="1" applyFill="1" applyBorder="1" applyAlignment="1">
      <alignment horizontal="center" vertical="center"/>
    </xf>
    <xf numFmtId="1" fontId="49" fillId="0" borderId="83" xfId="24" applyNumberFormat="1" applyFont="1" applyFill="1" applyBorder="1" applyAlignment="1">
      <alignment horizontal="center" vertical="center"/>
    </xf>
    <xf numFmtId="170" fontId="54" fillId="18" borderId="22" xfId="0" applyNumberFormat="1" applyFont="1" applyFill="1" applyBorder="1" applyAlignment="1">
      <alignment horizontal="center" vertical="center"/>
    </xf>
    <xf numFmtId="170" fontId="54" fillId="18" borderId="5" xfId="0" applyNumberFormat="1" applyFont="1" applyFill="1" applyBorder="1" applyAlignment="1">
      <alignment horizontal="center" vertical="center"/>
    </xf>
    <xf numFmtId="170" fontId="54" fillId="18" borderId="30" xfId="0" applyNumberFormat="1" applyFont="1" applyFill="1" applyBorder="1" applyAlignment="1">
      <alignment horizontal="center" vertical="center"/>
    </xf>
    <xf numFmtId="0" fontId="47" fillId="0" borderId="18" xfId="0" applyFont="1" applyBorder="1" applyAlignment="1">
      <alignment horizontal="left" vertical="center"/>
    </xf>
    <xf numFmtId="0" fontId="47" fillId="0" borderId="17" xfId="0" applyFont="1" applyBorder="1" applyAlignment="1">
      <alignment horizontal="center" vertical="center"/>
    </xf>
    <xf numFmtId="0" fontId="47" fillId="0" borderId="24" xfId="0" applyFont="1" applyBorder="1" applyAlignment="1">
      <alignment vertical="center"/>
    </xf>
    <xf numFmtId="168" fontId="47" fillId="0" borderId="25" xfId="0" applyNumberFormat="1" applyFont="1" applyBorder="1" applyAlignment="1">
      <alignment horizontal="center" vertical="center"/>
    </xf>
    <xf numFmtId="1" fontId="47" fillId="0" borderId="24" xfId="0" applyNumberFormat="1" applyFont="1" applyBorder="1" applyAlignment="1">
      <alignment horizontal="center" vertical="center"/>
    </xf>
    <xf numFmtId="1" fontId="47" fillId="0" borderId="17" xfId="0" applyNumberFormat="1" applyFont="1" applyBorder="1" applyAlignment="1">
      <alignment horizontal="center" vertical="center"/>
    </xf>
    <xf numFmtId="4" fontId="47" fillId="0" borderId="24" xfId="0" applyNumberFormat="1" applyFont="1" applyBorder="1" applyAlignment="1">
      <alignment horizontal="center" vertical="center"/>
    </xf>
    <xf numFmtId="4" fontId="47" fillId="0" borderId="25" xfId="0" applyNumberFormat="1" applyFont="1" applyBorder="1" applyAlignment="1">
      <alignment horizontal="center" vertical="center"/>
    </xf>
    <xf numFmtId="4" fontId="47" fillId="0" borderId="24" xfId="0" applyNumberFormat="1" applyFont="1" applyBorder="1" applyAlignment="1">
      <alignment horizontal="left" vertical="center"/>
    </xf>
    <xf numFmtId="3" fontId="47" fillId="0" borderId="17" xfId="0" applyNumberFormat="1" applyFont="1" applyBorder="1" applyAlignment="1">
      <alignment horizontal="center" vertical="center"/>
    </xf>
    <xf numFmtId="3" fontId="47" fillId="0" borderId="34" xfId="0" applyNumberFormat="1" applyFont="1" applyBorder="1" applyAlignment="1">
      <alignment horizontal="center" vertical="center"/>
    </xf>
    <xf numFmtId="4" fontId="47" fillId="0" borderId="34" xfId="0" applyNumberFormat="1" applyFont="1" applyBorder="1" applyAlignment="1">
      <alignment horizontal="center" vertical="center"/>
    </xf>
    <xf numFmtId="9" fontId="47" fillId="0" borderId="24" xfId="24" applyFont="1" applyBorder="1" applyAlignment="1">
      <alignment horizontal="center" vertical="center"/>
    </xf>
    <xf numFmtId="2" fontId="47" fillId="0" borderId="25" xfId="0" applyNumberFormat="1" applyFont="1" applyBorder="1" applyAlignment="1">
      <alignment horizontal="center" vertical="center"/>
    </xf>
    <xf numFmtId="2" fontId="47" fillId="0" borderId="23" xfId="0" applyNumberFormat="1" applyFont="1" applyBorder="1" applyAlignment="1">
      <alignment horizontal="center" vertical="center"/>
    </xf>
    <xf numFmtId="4" fontId="78" fillId="0" borderId="13" xfId="0" applyNumberFormat="1" applyFont="1" applyBorder="1" applyAlignment="1">
      <alignment vertical="center"/>
    </xf>
    <xf numFmtId="170" fontId="78" fillId="0" borderId="0" xfId="0" applyNumberFormat="1" applyFont="1" applyAlignment="1">
      <alignment vertical="center"/>
    </xf>
    <xf numFmtId="170" fontId="49" fillId="0" borderId="0" xfId="0" applyNumberFormat="1" applyFont="1" applyAlignment="1">
      <alignment vertical="center"/>
    </xf>
    <xf numFmtId="170" fontId="47" fillId="0" borderId="24" xfId="0" applyNumberFormat="1" applyFont="1" applyBorder="1" applyAlignment="1">
      <alignment horizontal="center" vertical="center"/>
    </xf>
    <xf numFmtId="170" fontId="47" fillId="0" borderId="25" xfId="0" applyNumberFormat="1" applyFont="1" applyBorder="1" applyAlignment="1">
      <alignment horizontal="center" vertical="center"/>
    </xf>
    <xf numFmtId="170" fontId="47" fillId="0" borderId="23" xfId="0" applyNumberFormat="1" applyFont="1" applyBorder="1" applyAlignment="1">
      <alignment horizontal="center" vertical="center"/>
    </xf>
    <xf numFmtId="0" fontId="49" fillId="0" borderId="0" xfId="0" applyFont="1"/>
    <xf numFmtId="1" fontId="47" fillId="0" borderId="0" xfId="0" applyNumberFormat="1" applyFont="1"/>
    <xf numFmtId="0" fontId="52" fillId="0" borderId="13" xfId="0" applyFont="1" applyBorder="1" applyAlignment="1">
      <alignment vertical="center"/>
    </xf>
    <xf numFmtId="0" fontId="52" fillId="0" borderId="26" xfId="0" applyFont="1" applyBorder="1" applyAlignment="1">
      <alignment vertical="center"/>
    </xf>
    <xf numFmtId="0" fontId="47" fillId="0" borderId="28" xfId="0" applyFont="1" applyBorder="1" applyAlignment="1">
      <alignment horizontal="center" vertical="center"/>
    </xf>
    <xf numFmtId="168" fontId="47" fillId="0" borderId="28" xfId="0" applyNumberFormat="1" applyFont="1" applyBorder="1" applyAlignment="1">
      <alignment horizontal="center" vertical="center"/>
    </xf>
    <xf numFmtId="0" fontId="54" fillId="19" borderId="6" xfId="0" applyFont="1" applyFill="1" applyBorder="1" applyAlignment="1" applyProtection="1">
      <alignment horizontal="left"/>
      <protection locked="0"/>
    </xf>
    <xf numFmtId="0" fontId="54" fillId="19" borderId="6" xfId="0" applyFont="1" applyFill="1" applyBorder="1" applyAlignment="1" applyProtection="1">
      <alignment horizontal="center"/>
      <protection locked="0"/>
    </xf>
    <xf numFmtId="4" fontId="54" fillId="21" borderId="6" xfId="0" applyNumberFormat="1" applyFont="1" applyFill="1" applyBorder="1" applyAlignment="1" applyProtection="1">
      <alignment horizontal="center"/>
      <protection locked="0"/>
    </xf>
    <xf numFmtId="1" fontId="56" fillId="0" borderId="0" xfId="0" applyNumberFormat="1" applyFont="1"/>
    <xf numFmtId="2" fontId="56" fillId="0" borderId="0" xfId="0" applyNumberFormat="1" applyFont="1"/>
    <xf numFmtId="0" fontId="49" fillId="0" borderId="0" xfId="0" applyFont="1" applyAlignment="1">
      <alignment horizontal="left"/>
    </xf>
    <xf numFmtId="0" fontId="50" fillId="22" borderId="30" xfId="0" applyFont="1" applyFill="1" applyBorder="1" applyAlignment="1">
      <alignment horizontal="left"/>
    </xf>
    <xf numFmtId="0" fontId="50" fillId="20" borderId="6" xfId="0" applyFont="1" applyFill="1" applyBorder="1" applyAlignment="1">
      <alignment horizontal="left"/>
    </xf>
    <xf numFmtId="0" fontId="50" fillId="20" borderId="6" xfId="0" applyFont="1" applyFill="1" applyBorder="1" applyAlignment="1">
      <alignment horizontal="center"/>
    </xf>
    <xf numFmtId="1" fontId="50" fillId="20" borderId="30" xfId="0" applyNumberFormat="1" applyFont="1" applyFill="1" applyBorder="1" applyAlignment="1">
      <alignment horizontal="center"/>
    </xf>
    <xf numFmtId="171" fontId="50" fillId="20" borderId="6" xfId="0" applyNumberFormat="1" applyFont="1" applyFill="1" applyBorder="1" applyAlignment="1">
      <alignment horizontal="center"/>
    </xf>
    <xf numFmtId="2" fontId="50" fillId="20" borderId="30" xfId="0" applyNumberFormat="1" applyFont="1" applyFill="1" applyBorder="1" applyAlignment="1">
      <alignment horizontal="center"/>
    </xf>
    <xf numFmtId="0" fontId="47" fillId="20" borderId="30" xfId="0" applyFont="1" applyFill="1" applyBorder="1" applyAlignment="1">
      <alignment horizontal="center"/>
    </xf>
    <xf numFmtId="0" fontId="50" fillId="20" borderId="30" xfId="0" applyFont="1" applyFill="1" applyBorder="1" applyAlignment="1">
      <alignment horizontal="center"/>
    </xf>
    <xf numFmtId="1" fontId="50" fillId="22" borderId="30" xfId="0" applyNumberFormat="1" applyFont="1" applyFill="1" applyBorder="1" applyAlignment="1">
      <alignment horizontal="center"/>
    </xf>
    <xf numFmtId="4" fontId="50" fillId="22" borderId="6" xfId="0" applyNumberFormat="1" applyFont="1" applyFill="1" applyBorder="1" applyAlignment="1">
      <alignment horizontal="center"/>
    </xf>
    <xf numFmtId="3" fontId="50" fillId="22" borderId="6" xfId="0" applyNumberFormat="1" applyFont="1" applyFill="1" applyBorder="1" applyAlignment="1">
      <alignment horizontal="center"/>
    </xf>
    <xf numFmtId="173" fontId="50" fillId="20" borderId="6" xfId="0" applyNumberFormat="1" applyFont="1" applyFill="1" applyBorder="1" applyAlignment="1">
      <alignment horizontal="left"/>
    </xf>
    <xf numFmtId="0" fontId="58" fillId="0" borderId="0" xfId="0" applyFont="1"/>
    <xf numFmtId="0" fontId="50" fillId="1" borderId="30" xfId="0" applyFont="1" applyFill="1" applyBorder="1" applyAlignment="1">
      <alignment horizontal="left"/>
    </xf>
    <xf numFmtId="0" fontId="50" fillId="0" borderId="6" xfId="0" applyFont="1" applyBorder="1" applyAlignment="1">
      <alignment horizontal="left"/>
    </xf>
    <xf numFmtId="0" fontId="50" fillId="0" borderId="6" xfId="0" quotePrefix="1" applyFont="1" applyBorder="1" applyAlignment="1">
      <alignment horizontal="center"/>
    </xf>
    <xf numFmtId="0" fontId="50" fillId="0" borderId="6" xfId="0" applyFont="1" applyBorder="1" applyAlignment="1">
      <alignment horizontal="left" indent="3"/>
    </xf>
    <xf numFmtId="1" fontId="50" fillId="0" borderId="30" xfId="0" applyNumberFormat="1" applyFont="1" applyBorder="1" applyAlignment="1">
      <alignment horizontal="center"/>
    </xf>
    <xf numFmtId="171" fontId="50" fillId="0" borderId="6" xfId="0" applyNumberFormat="1" applyFont="1" applyBorder="1" applyAlignment="1">
      <alignment horizontal="center"/>
    </xf>
    <xf numFmtId="2" fontId="50" fillId="0" borderId="30" xfId="0" applyNumberFormat="1" applyFont="1" applyBorder="1" applyAlignment="1">
      <alignment horizontal="center"/>
    </xf>
    <xf numFmtId="0" fontId="47" fillId="0" borderId="30" xfId="0" applyFont="1" applyBorder="1" applyAlignment="1">
      <alignment horizontal="center"/>
    </xf>
    <xf numFmtId="0" fontId="50" fillId="0" borderId="30" xfId="0" applyFont="1" applyBorder="1" applyAlignment="1">
      <alignment horizontal="center"/>
    </xf>
    <xf numFmtId="1" fontId="50" fillId="1" borderId="30" xfId="0" applyNumberFormat="1" applyFont="1" applyFill="1" applyBorder="1" applyAlignment="1">
      <alignment horizontal="center"/>
    </xf>
    <xf numFmtId="4" fontId="50" fillId="1" borderId="6" xfId="0" applyNumberFormat="1" applyFont="1" applyFill="1" applyBorder="1" applyAlignment="1">
      <alignment horizontal="center"/>
    </xf>
    <xf numFmtId="3" fontId="50" fillId="1" borderId="6" xfId="0" applyNumberFormat="1" applyFont="1" applyFill="1" applyBorder="1" applyAlignment="1">
      <alignment horizontal="center"/>
    </xf>
    <xf numFmtId="173" fontId="50" fillId="0" borderId="6" xfId="0" applyNumberFormat="1" applyFont="1" applyBorder="1" applyAlignment="1">
      <alignment horizontal="left"/>
    </xf>
    <xf numFmtId="0" fontId="47" fillId="0" borderId="0" xfId="0" quotePrefix="1" applyFont="1" applyAlignment="1">
      <alignment horizontal="center" vertical="center"/>
    </xf>
    <xf numFmtId="0" fontId="47" fillId="0" borderId="0" xfId="0" applyFont="1" applyAlignment="1">
      <alignment horizontal="left" vertical="center"/>
    </xf>
    <xf numFmtId="49" fontId="47" fillId="0" borderId="0" xfId="0" applyNumberFormat="1" applyFont="1" applyAlignment="1">
      <alignment horizontal="center" vertical="center"/>
    </xf>
    <xf numFmtId="0" fontId="79" fillId="0" borderId="0" xfId="26" applyFont="1" applyAlignment="1">
      <alignment horizontal="center" vertical="center"/>
    </xf>
    <xf numFmtId="0" fontId="47" fillId="0" borderId="0" xfId="26" applyFont="1" applyAlignment="1">
      <alignment horizontal="center" vertical="center"/>
    </xf>
    <xf numFmtId="0" fontId="47" fillId="0" borderId="0" xfId="0" applyFont="1" applyAlignment="1">
      <alignment horizontal="left" vertical="center" wrapText="1"/>
    </xf>
    <xf numFmtId="0" fontId="47" fillId="0" borderId="0" xfId="0" applyFont="1" applyAlignment="1">
      <alignment wrapText="1"/>
    </xf>
    <xf numFmtId="182" fontId="47" fillId="0" borderId="0" xfId="0" applyNumberFormat="1" applyFont="1" applyAlignment="1">
      <alignment horizontal="center" vertical="center" wrapText="1"/>
    </xf>
    <xf numFmtId="181" fontId="71" fillId="0" borderId="0" xfId="0" applyNumberFormat="1" applyFont="1" applyAlignment="1">
      <alignment horizontal="center" vertical="center" wrapText="1"/>
    </xf>
    <xf numFmtId="0" fontId="52" fillId="0" borderId="0" xfId="0" applyFont="1" applyAlignment="1">
      <alignment horizontal="center"/>
    </xf>
    <xf numFmtId="0" fontId="71" fillId="0" borderId="0" xfId="0" applyFont="1" applyAlignment="1">
      <alignment horizontal="center"/>
    </xf>
    <xf numFmtId="0" fontId="80" fillId="0" borderId="0" xfId="0" applyFont="1" applyAlignment="1">
      <alignment horizontal="center"/>
    </xf>
    <xf numFmtId="0" fontId="71" fillId="0" borderId="0" xfId="0" applyFont="1" applyAlignment="1">
      <alignment horizontal="center" vertical="center" wrapText="1"/>
    </xf>
    <xf numFmtId="0" fontId="79" fillId="0" borderId="0" xfId="26" applyFont="1" applyFill="1" applyAlignment="1">
      <alignment horizontal="center" vertical="center" wrapText="1"/>
    </xf>
    <xf numFmtId="0" fontId="54" fillId="18" borderId="0" xfId="0" applyFont="1" applyFill="1" applyAlignment="1">
      <alignment vertical="center" wrapText="1"/>
    </xf>
    <xf numFmtId="0" fontId="48" fillId="18" borderId="0" xfId="0" applyFont="1" applyFill="1" applyAlignment="1">
      <alignment horizontal="center" vertical="center" wrapText="1"/>
    </xf>
    <xf numFmtId="0" fontId="47" fillId="0" borderId="0" xfId="0" applyFont="1" applyAlignment="1" applyProtection="1">
      <alignment horizontal="center" vertical="center" wrapText="1"/>
      <protection locked="0"/>
    </xf>
    <xf numFmtId="0" fontId="49" fillId="0" borderId="0" xfId="0" applyFont="1" applyAlignment="1">
      <alignment horizontal="left" vertical="center" wrapText="1"/>
    </xf>
    <xf numFmtId="0" fontId="49" fillId="0" borderId="0" xfId="0" applyFont="1" applyAlignment="1">
      <alignment vertical="center" wrapText="1"/>
    </xf>
    <xf numFmtId="0" fontId="47" fillId="0" borderId="0" xfId="0" quotePrefix="1" applyFont="1" applyAlignment="1">
      <alignment horizontal="left" vertical="center" wrapText="1"/>
    </xf>
    <xf numFmtId="0" fontId="47" fillId="0" borderId="45" xfId="0" applyFont="1" applyBorder="1" applyAlignment="1" applyProtection="1">
      <alignment horizontal="center" vertical="center" wrapText="1"/>
      <protection locked="0"/>
    </xf>
    <xf numFmtId="0" fontId="49" fillId="0" borderId="0" xfId="0" applyFont="1" applyAlignment="1">
      <alignment horizontal="center" vertical="center" wrapText="1"/>
    </xf>
    <xf numFmtId="0" fontId="47" fillId="0" borderId="15" xfId="0" applyFont="1" applyBorder="1" applyAlignment="1">
      <alignment horizontal="center"/>
    </xf>
    <xf numFmtId="0" fontId="47" fillId="0" borderId="36" xfId="0" applyFont="1" applyBorder="1" applyAlignment="1">
      <alignment horizontal="center"/>
    </xf>
    <xf numFmtId="0" fontId="47" fillId="0" borderId="91" xfId="0" applyFont="1" applyBorder="1" applyAlignment="1">
      <alignment horizontal="center"/>
    </xf>
    <xf numFmtId="0" fontId="47" fillId="0" borderId="0" xfId="0" quotePrefix="1" applyFont="1" applyAlignment="1">
      <alignment vertical="center" wrapText="1"/>
    </xf>
    <xf numFmtId="0" fontId="50" fillId="0" borderId="65" xfId="0" applyFont="1" applyBorder="1" applyAlignment="1">
      <alignment vertical="center" wrapText="1"/>
    </xf>
    <xf numFmtId="0" fontId="50" fillId="0" borderId="80" xfId="0" applyFont="1" applyBorder="1" applyAlignment="1">
      <alignment vertical="center" wrapText="1"/>
    </xf>
    <xf numFmtId="0" fontId="50" fillId="27" borderId="65" xfId="0" applyFont="1" applyFill="1" applyBorder="1" applyAlignment="1">
      <alignment vertical="center" wrapText="1"/>
    </xf>
    <xf numFmtId="2" fontId="52" fillId="0" borderId="27" xfId="0" applyNumberFormat="1" applyFont="1" applyBorder="1" applyAlignment="1">
      <alignment horizontal="center" vertical="center"/>
    </xf>
    <xf numFmtId="1" fontId="47" fillId="0" borderId="30" xfId="0" applyNumberFormat="1" applyFont="1" applyBorder="1" applyAlignment="1">
      <alignment horizontal="center" vertical="top"/>
    </xf>
    <xf numFmtId="0" fontId="54" fillId="18" borderId="29" xfId="0" applyFont="1" applyFill="1" applyBorder="1" applyAlignment="1">
      <alignment horizontal="right" wrapText="1" indent="3"/>
    </xf>
    <xf numFmtId="178" fontId="47" fillId="26" borderId="16" xfId="0" applyNumberFormat="1" applyFont="1" applyFill="1" applyBorder="1" applyAlignment="1">
      <alignment horizontal="center" wrapText="1"/>
    </xf>
    <xf numFmtId="0" fontId="54" fillId="18" borderId="32" xfId="0" applyFont="1" applyFill="1" applyBorder="1" applyAlignment="1">
      <alignment horizontal="center" wrapText="1"/>
    </xf>
    <xf numFmtId="0" fontId="54" fillId="18" borderId="16" xfId="0" applyFont="1" applyFill="1" applyBorder="1" applyAlignment="1">
      <alignment horizontal="right" wrapText="1" indent="3"/>
    </xf>
    <xf numFmtId="0" fontId="54" fillId="18" borderId="13" xfId="0" applyFont="1" applyFill="1" applyBorder="1" applyAlignment="1">
      <alignment horizontal="center" wrapText="1"/>
    </xf>
    <xf numFmtId="0" fontId="54" fillId="18" borderId="13" xfId="0" applyFont="1" applyFill="1" applyBorder="1" applyAlignment="1">
      <alignment horizontal="right" wrapText="1" indent="3"/>
    </xf>
    <xf numFmtId="0" fontId="48" fillId="18" borderId="13" xfId="0" applyFont="1" applyFill="1" applyBorder="1" applyAlignment="1">
      <alignment horizontal="center" wrapText="1"/>
    </xf>
    <xf numFmtId="178" fontId="47" fillId="26" borderId="13" xfId="0" applyNumberFormat="1" applyFont="1" applyFill="1" applyBorder="1" applyAlignment="1">
      <alignment horizontal="center" wrapText="1"/>
    </xf>
    <xf numFmtId="0" fontId="81" fillId="18" borderId="16" xfId="0" applyFont="1" applyFill="1" applyBorder="1" applyAlignment="1">
      <alignment horizontal="right" wrapText="1" indent="3"/>
    </xf>
    <xf numFmtId="0" fontId="82" fillId="18" borderId="16" xfId="0" applyFont="1" applyFill="1" applyBorder="1" applyAlignment="1">
      <alignment horizontal="right" wrapText="1" indent="2"/>
    </xf>
    <xf numFmtId="0" fontId="74" fillId="18" borderId="16" xfId="0" applyFont="1" applyFill="1" applyBorder="1" applyAlignment="1">
      <alignment horizontal="right" wrapText="1" indent="3"/>
    </xf>
    <xf numFmtId="0" fontId="81" fillId="18" borderId="16" xfId="0" applyFont="1" applyFill="1" applyBorder="1" applyAlignment="1">
      <alignment horizontal="right" wrapText="1" indent="2"/>
    </xf>
    <xf numFmtId="0" fontId="82" fillId="18" borderId="16" xfId="0" applyFont="1" applyFill="1" applyBorder="1" applyAlignment="1">
      <alignment horizontal="right" wrapText="1" indent="1"/>
    </xf>
    <xf numFmtId="0" fontId="54" fillId="18" borderId="16" xfId="0" applyFont="1" applyFill="1" applyBorder="1" applyAlignment="1">
      <alignment horizontal="right" wrapText="1" indent="1"/>
    </xf>
    <xf numFmtId="0" fontId="81" fillId="18" borderId="16" xfId="0" applyFont="1" applyFill="1" applyBorder="1" applyAlignment="1">
      <alignment horizontal="right" wrapText="1" indent="1"/>
    </xf>
    <xf numFmtId="0" fontId="83" fillId="18" borderId="16" xfId="0" applyFont="1" applyFill="1" applyBorder="1" applyAlignment="1">
      <alignment horizontal="right" wrapText="1"/>
    </xf>
    <xf numFmtId="178" fontId="54" fillId="25" borderId="16" xfId="0" applyNumberFormat="1" applyFont="1" applyFill="1" applyBorder="1" applyAlignment="1">
      <alignment horizontal="center" wrapText="1"/>
    </xf>
    <xf numFmtId="0" fontId="82" fillId="18" borderId="26" xfId="0" applyFont="1" applyFill="1" applyBorder="1" applyAlignment="1">
      <alignment horizontal="right" wrapText="1"/>
    </xf>
    <xf numFmtId="178" fontId="48" fillId="24" borderId="26" xfId="0" applyNumberFormat="1" applyFont="1" applyFill="1" applyBorder="1" applyAlignment="1">
      <alignment horizontal="center" wrapText="1"/>
    </xf>
    <xf numFmtId="0" fontId="48" fillId="18" borderId="26" xfId="0" applyFont="1" applyFill="1" applyBorder="1" applyAlignment="1">
      <alignment horizontal="center" wrapText="1"/>
    </xf>
    <xf numFmtId="1" fontId="47" fillId="0" borderId="0" xfId="0" applyNumberFormat="1" applyFont="1" applyAlignment="1">
      <alignment horizontal="center" vertical="center"/>
    </xf>
    <xf numFmtId="0" fontId="54" fillId="0" borderId="0" xfId="0" applyFont="1" applyAlignment="1">
      <alignment vertical="center"/>
    </xf>
    <xf numFmtId="2" fontId="52" fillId="0" borderId="0" xfId="0" applyNumberFormat="1" applyFont="1" applyAlignment="1">
      <alignment horizontal="center" vertical="center"/>
    </xf>
    <xf numFmtId="1" fontId="47" fillId="0" borderId="31" xfId="0" applyNumberFormat="1" applyFont="1" applyBorder="1" applyAlignment="1">
      <alignment horizontal="center" vertical="top"/>
    </xf>
    <xf numFmtId="0" fontId="47" fillId="0" borderId="32" xfId="0" applyFont="1" applyBorder="1" applyAlignment="1">
      <alignment horizontal="center" vertical="center"/>
    </xf>
    <xf numFmtId="0" fontId="47" fillId="0" borderId="47" xfId="0" applyFont="1" applyBorder="1" applyAlignment="1">
      <alignment horizontal="center" vertical="center"/>
    </xf>
    <xf numFmtId="0" fontId="49" fillId="0" borderId="47" xfId="0" applyFont="1" applyBorder="1" applyAlignment="1">
      <alignment horizontal="center" vertical="center"/>
    </xf>
    <xf numFmtId="0" fontId="49" fillId="0" borderId="31" xfId="0" applyFont="1" applyBorder="1" applyAlignment="1">
      <alignment horizontal="center" vertical="center"/>
    </xf>
    <xf numFmtId="0" fontId="47" fillId="0" borderId="22" xfId="0" applyFont="1" applyBorder="1" applyAlignment="1">
      <alignment horizontal="center" vertical="center"/>
    </xf>
    <xf numFmtId="0" fontId="47" fillId="0" borderId="5" xfId="0" applyFont="1" applyBorder="1" applyAlignment="1">
      <alignment horizontal="center" vertical="center"/>
    </xf>
    <xf numFmtId="0" fontId="49" fillId="0" borderId="5" xfId="0" applyFont="1" applyBorder="1" applyAlignment="1">
      <alignment horizontal="center" vertical="center"/>
    </xf>
    <xf numFmtId="0" fontId="49" fillId="0" borderId="30" xfId="0" applyFont="1" applyBorder="1" applyAlignment="1">
      <alignment horizontal="center" vertical="center"/>
    </xf>
    <xf numFmtId="2" fontId="47" fillId="23" borderId="32" xfId="0" applyNumberFormat="1" applyFont="1" applyFill="1" applyBorder="1" applyAlignment="1">
      <alignment horizontal="center"/>
    </xf>
    <xf numFmtId="2" fontId="47" fillId="0" borderId="32" xfId="0" applyNumberFormat="1" applyFont="1" applyBorder="1" applyAlignment="1">
      <alignment horizontal="center"/>
    </xf>
    <xf numFmtId="0" fontId="54" fillId="18" borderId="29" xfId="0" applyFont="1" applyFill="1" applyBorder="1" applyAlignment="1">
      <alignment horizontal="right" wrapText="1" indent="4"/>
    </xf>
    <xf numFmtId="0" fontId="47" fillId="0" borderId="29" xfId="0" applyFont="1" applyBorder="1" applyAlignment="1">
      <alignment horizontal="center" wrapText="1"/>
    </xf>
    <xf numFmtId="2" fontId="52" fillId="0" borderId="47" xfId="0" applyNumberFormat="1" applyFont="1" applyBorder="1" applyAlignment="1">
      <alignment horizontal="center" vertical="center"/>
    </xf>
    <xf numFmtId="2" fontId="71" fillId="0" borderId="47" xfId="0" applyNumberFormat="1" applyFont="1" applyBorder="1" applyAlignment="1">
      <alignment horizontal="center" wrapText="1"/>
    </xf>
    <xf numFmtId="2" fontId="71" fillId="0" borderId="29" xfId="0" applyNumberFormat="1" applyFont="1" applyBorder="1" applyAlignment="1">
      <alignment horizontal="center"/>
    </xf>
    <xf numFmtId="2" fontId="71" fillId="0" borderId="47" xfId="0" applyNumberFormat="1" applyFont="1" applyBorder="1" applyAlignment="1">
      <alignment horizontal="center"/>
    </xf>
    <xf numFmtId="2" fontId="47" fillId="0" borderId="29" xfId="0" applyNumberFormat="1" applyFont="1" applyBorder="1" applyAlignment="1">
      <alignment horizontal="center"/>
    </xf>
    <xf numFmtId="2" fontId="84" fillId="0" borderId="29" xfId="0" applyNumberFormat="1" applyFont="1" applyBorder="1" applyAlignment="1">
      <alignment horizontal="center"/>
    </xf>
    <xf numFmtId="2" fontId="71" fillId="0" borderId="29" xfId="0" applyNumberFormat="1" applyFont="1" applyBorder="1" applyAlignment="1">
      <alignment horizontal="center" wrapText="1"/>
    </xf>
    <xf numFmtId="2" fontId="47" fillId="0" borderId="47" xfId="0" applyNumberFormat="1" applyFont="1" applyBorder="1" applyAlignment="1">
      <alignment horizontal="center"/>
    </xf>
    <xf numFmtId="2" fontId="47" fillId="23" borderId="13" xfId="0" applyNumberFormat="1" applyFont="1" applyFill="1" applyBorder="1" applyAlignment="1">
      <alignment horizontal="center"/>
    </xf>
    <xf numFmtId="2" fontId="47" fillId="0" borderId="13" xfId="0" applyNumberFormat="1" applyFont="1" applyBorder="1" applyAlignment="1">
      <alignment horizontal="center"/>
    </xf>
    <xf numFmtId="0" fontId="54" fillId="18" borderId="16" xfId="0" applyFont="1" applyFill="1" applyBorder="1" applyAlignment="1">
      <alignment horizontal="right" wrapText="1" indent="4"/>
    </xf>
    <xf numFmtId="0" fontId="47" fillId="0" borderId="14" xfId="0" applyFont="1" applyBorder="1" applyAlignment="1">
      <alignment horizontal="center" wrapText="1"/>
    </xf>
    <xf numFmtId="2" fontId="71" fillId="0" borderId="0" xfId="0" applyNumberFormat="1" applyFont="1" applyAlignment="1">
      <alignment horizontal="center" wrapText="1"/>
    </xf>
    <xf numFmtId="2" fontId="71" fillId="0" borderId="16" xfId="0" applyNumberFormat="1" applyFont="1" applyBorder="1" applyAlignment="1">
      <alignment horizontal="center"/>
    </xf>
    <xf numFmtId="2" fontId="71" fillId="0" borderId="0" xfId="0" applyNumberFormat="1" applyFont="1" applyAlignment="1">
      <alignment horizontal="center"/>
    </xf>
    <xf numFmtId="2" fontId="47" fillId="0" borderId="16" xfId="0" applyNumberFormat="1" applyFont="1" applyBorder="1" applyAlignment="1">
      <alignment horizontal="center"/>
    </xf>
    <xf numFmtId="2" fontId="84" fillId="0" borderId="16" xfId="0" applyNumberFormat="1" applyFont="1" applyBorder="1" applyAlignment="1">
      <alignment horizontal="center"/>
    </xf>
    <xf numFmtId="2" fontId="71" fillId="0" borderId="16" xfId="0" applyNumberFormat="1" applyFont="1" applyBorder="1" applyAlignment="1">
      <alignment horizontal="center" wrapText="1"/>
    </xf>
    <xf numFmtId="0" fontId="81" fillId="18" borderId="16" xfId="0" applyFont="1" applyFill="1" applyBorder="1" applyAlignment="1">
      <alignment horizontal="right" wrapText="1" indent="4"/>
    </xf>
    <xf numFmtId="0" fontId="82" fillId="18" borderId="13" xfId="0" applyFont="1" applyFill="1" applyBorder="1" applyAlignment="1">
      <alignment horizontal="right" wrapText="1" indent="3"/>
    </xf>
    <xf numFmtId="0" fontId="47" fillId="0" borderId="16" xfId="0" applyFont="1" applyBorder="1" applyAlignment="1">
      <alignment horizontal="center" wrapText="1"/>
    </xf>
    <xf numFmtId="2" fontId="52" fillId="0" borderId="28" xfId="0" applyNumberFormat="1" applyFont="1" applyBorder="1" applyAlignment="1">
      <alignment horizontal="center" vertical="center"/>
    </xf>
    <xf numFmtId="2" fontId="84" fillId="0" borderId="0" xfId="0" applyNumberFormat="1" applyFont="1" applyAlignment="1">
      <alignment horizontal="center"/>
    </xf>
    <xf numFmtId="2" fontId="71" fillId="0" borderId="13" xfId="0" applyNumberFormat="1" applyFont="1" applyBorder="1" applyAlignment="1">
      <alignment horizontal="center" wrapText="1"/>
    </xf>
    <xf numFmtId="2" fontId="71" fillId="0" borderId="14" xfId="0" applyNumberFormat="1" applyFont="1" applyBorder="1" applyAlignment="1">
      <alignment horizontal="center" wrapText="1"/>
    </xf>
    <xf numFmtId="2" fontId="84" fillId="0" borderId="14" xfId="0" applyNumberFormat="1" applyFont="1" applyBorder="1" applyAlignment="1">
      <alignment horizontal="center"/>
    </xf>
    <xf numFmtId="2" fontId="47" fillId="0" borderId="14" xfId="0" applyNumberFormat="1" applyFont="1" applyBorder="1" applyAlignment="1">
      <alignment horizontal="center"/>
    </xf>
    <xf numFmtId="2" fontId="52" fillId="0" borderId="28" xfId="0" applyNumberFormat="1" applyFont="1" applyBorder="1" applyAlignment="1">
      <alignment horizontal="center"/>
    </xf>
    <xf numFmtId="0" fontId="49" fillId="0" borderId="14" xfId="0" applyFont="1" applyBorder="1" applyAlignment="1">
      <alignment horizontal="center" wrapText="1"/>
    </xf>
    <xf numFmtId="0" fontId="82" fillId="18" borderId="13" xfId="0" applyFont="1" applyFill="1" applyBorder="1" applyAlignment="1">
      <alignment horizontal="right" wrapText="1" indent="2"/>
    </xf>
    <xf numFmtId="0" fontId="49" fillId="0" borderId="16" xfId="0" applyFont="1" applyBorder="1" applyAlignment="1">
      <alignment horizontal="center" wrapText="1"/>
    </xf>
    <xf numFmtId="0" fontId="74" fillId="18" borderId="13" xfId="0" applyFont="1" applyFill="1" applyBorder="1" applyAlignment="1">
      <alignment horizontal="right" wrapText="1" indent="3"/>
    </xf>
    <xf numFmtId="0" fontId="82" fillId="18" borderId="13" xfId="0" applyFont="1" applyFill="1" applyBorder="1" applyAlignment="1">
      <alignment horizontal="right" wrapText="1" indent="1"/>
    </xf>
    <xf numFmtId="178" fontId="54" fillId="18" borderId="13" xfId="0" applyNumberFormat="1" applyFont="1" applyFill="1" applyBorder="1" applyAlignment="1">
      <alignment horizontal="center" wrapText="1"/>
    </xf>
    <xf numFmtId="0" fontId="54" fillId="18" borderId="13" xfId="0" applyFont="1" applyFill="1" applyBorder="1" applyAlignment="1">
      <alignment horizontal="right" wrapText="1" indent="2"/>
    </xf>
    <xf numFmtId="2" fontId="52" fillId="0" borderId="13" xfId="0" applyNumberFormat="1" applyFont="1" applyBorder="1" applyAlignment="1">
      <alignment horizontal="center"/>
    </xf>
    <xf numFmtId="2" fontId="47" fillId="23" borderId="26" xfId="0" applyNumberFormat="1" applyFont="1" applyFill="1" applyBorder="1" applyAlignment="1">
      <alignment horizontal="center"/>
    </xf>
    <xf numFmtId="2" fontId="47" fillId="0" borderId="26" xfId="0" applyNumberFormat="1" applyFont="1" applyBorder="1" applyAlignment="1">
      <alignment horizontal="center"/>
    </xf>
    <xf numFmtId="0" fontId="49" fillId="0" borderId="28" xfId="0" applyFont="1" applyBorder="1" applyAlignment="1">
      <alignment horizontal="center" wrapText="1"/>
    </xf>
    <xf numFmtId="0" fontId="47" fillId="0" borderId="1" xfId="0" applyFont="1" applyBorder="1" applyAlignment="1">
      <alignment horizontal="center" wrapText="1"/>
    </xf>
    <xf numFmtId="2" fontId="47" fillId="0" borderId="1" xfId="0" applyNumberFormat="1" applyFont="1" applyBorder="1" applyAlignment="1">
      <alignment horizontal="center"/>
    </xf>
    <xf numFmtId="2" fontId="52" fillId="0" borderId="16" xfId="0" applyNumberFormat="1" applyFont="1" applyBorder="1" applyAlignment="1">
      <alignment horizontal="center" vertical="center"/>
    </xf>
    <xf numFmtId="178" fontId="54" fillId="18" borderId="16" xfId="0" applyNumberFormat="1" applyFont="1" applyFill="1" applyBorder="1" applyAlignment="1">
      <alignment horizontal="center" wrapText="1"/>
    </xf>
    <xf numFmtId="0" fontId="54" fillId="18" borderId="13" xfId="0" applyFont="1" applyFill="1" applyBorder="1" applyAlignment="1">
      <alignment horizontal="right" wrapText="1" indent="1"/>
    </xf>
    <xf numFmtId="2" fontId="83" fillId="18" borderId="16" xfId="0" applyNumberFormat="1" applyFont="1" applyFill="1" applyBorder="1" applyAlignment="1">
      <alignment horizontal="right" wrapText="1"/>
    </xf>
    <xf numFmtId="0" fontId="49" fillId="0" borderId="27" xfId="0" applyFont="1" applyBorder="1" applyAlignment="1">
      <alignment horizontal="center" wrapText="1"/>
    </xf>
    <xf numFmtId="0" fontId="47" fillId="0" borderId="29" xfId="0" applyFont="1" applyBorder="1" applyAlignment="1">
      <alignment horizontal="center" vertical="center"/>
    </xf>
    <xf numFmtId="0" fontId="47" fillId="14" borderId="16" xfId="0" applyFont="1" applyFill="1" applyBorder="1" applyAlignment="1">
      <alignment horizontal="center"/>
    </xf>
    <xf numFmtId="0" fontId="47" fillId="14" borderId="28" xfId="0" applyFont="1" applyFill="1" applyBorder="1" applyAlignment="1">
      <alignment horizontal="center"/>
    </xf>
    <xf numFmtId="0" fontId="47" fillId="14" borderId="0" xfId="0" applyFont="1" applyFill="1" applyAlignment="1">
      <alignment horizontal="center"/>
    </xf>
    <xf numFmtId="0" fontId="47" fillId="0" borderId="1" xfId="0" applyFont="1" applyBorder="1" applyAlignment="1">
      <alignment horizontal="center" vertical="center"/>
    </xf>
    <xf numFmtId="0" fontId="47" fillId="0" borderId="47" xfId="0" applyFont="1" applyBorder="1" applyAlignment="1">
      <alignment horizontal="center"/>
    </xf>
    <xf numFmtId="0" fontId="85" fillId="18" borderId="29" xfId="0" applyFont="1" applyFill="1" applyBorder="1" applyAlignment="1">
      <alignment horizontal="right" vertical="center" wrapText="1" indent="1"/>
    </xf>
    <xf numFmtId="0" fontId="85" fillId="18" borderId="16" xfId="0" applyFont="1" applyFill="1" applyBorder="1" applyAlignment="1">
      <alignment horizontal="right" vertical="center" wrapText="1" indent="1"/>
    </xf>
    <xf numFmtId="0" fontId="54" fillId="18" borderId="16" xfId="0" applyFont="1" applyFill="1" applyBorder="1" applyAlignment="1">
      <alignment horizontal="right" vertical="center" wrapText="1" indent="1"/>
    </xf>
    <xf numFmtId="0" fontId="85" fillId="18" borderId="16" xfId="0" applyFont="1" applyFill="1" applyBorder="1" applyAlignment="1">
      <alignment horizontal="right" wrapText="1" indent="1"/>
    </xf>
    <xf numFmtId="0" fontId="54" fillId="18" borderId="28" xfId="0" applyFont="1" applyFill="1" applyBorder="1" applyAlignment="1">
      <alignment horizontal="right" vertical="center" wrapText="1" indent="1"/>
    </xf>
    <xf numFmtId="0" fontId="47" fillId="14" borderId="0" xfId="0" applyFont="1" applyFill="1" applyAlignment="1">
      <alignment horizontal="right" vertical="center" indent="1"/>
    </xf>
    <xf numFmtId="0" fontId="52" fillId="0" borderId="1" xfId="0" applyFont="1" applyBorder="1" applyAlignment="1">
      <alignment horizontal="center" vertical="center"/>
    </xf>
    <xf numFmtId="0" fontId="47" fillId="0" borderId="47" xfId="0" applyFont="1" applyBorder="1" applyAlignment="1">
      <alignment horizontal="right" vertical="center" indent="1"/>
    </xf>
    <xf numFmtId="178" fontId="47" fillId="0" borderId="0" xfId="0" applyNumberFormat="1" applyFont="1" applyAlignment="1">
      <alignment horizontal="center"/>
    </xf>
    <xf numFmtId="178" fontId="47" fillId="0" borderId="29" xfId="0" applyNumberFormat="1" applyFont="1" applyBorder="1" applyAlignment="1">
      <alignment horizontal="center" vertical="center"/>
    </xf>
    <xf numFmtId="178" fontId="54" fillId="18" borderId="29" xfId="0" applyNumberFormat="1" applyFont="1" applyFill="1" applyBorder="1" applyAlignment="1">
      <alignment horizontal="center" wrapText="1"/>
    </xf>
    <xf numFmtId="178" fontId="54" fillId="18" borderId="28" xfId="0" applyNumberFormat="1" applyFont="1" applyFill="1" applyBorder="1" applyAlignment="1">
      <alignment horizontal="center" wrapText="1"/>
    </xf>
    <xf numFmtId="178" fontId="47" fillId="14" borderId="0" xfId="0" applyNumberFormat="1" applyFont="1" applyFill="1" applyAlignment="1">
      <alignment horizontal="center"/>
    </xf>
    <xf numFmtId="178" fontId="47" fillId="0" borderId="47" xfId="0" applyNumberFormat="1" applyFont="1" applyBorder="1" applyAlignment="1">
      <alignment horizontal="center"/>
    </xf>
    <xf numFmtId="177" fontId="85" fillId="18" borderId="29" xfId="0" quotePrefix="1" applyNumberFormat="1" applyFont="1" applyFill="1" applyBorder="1" applyAlignment="1">
      <alignment horizontal="center" wrapText="1"/>
    </xf>
    <xf numFmtId="177" fontId="85" fillId="18" borderId="16" xfId="0" quotePrefix="1" applyNumberFormat="1" applyFont="1" applyFill="1" applyBorder="1" applyAlignment="1">
      <alignment horizontal="center" wrapText="1"/>
    </xf>
    <xf numFmtId="177" fontId="54" fillId="18" borderId="16" xfId="0" applyNumberFormat="1" applyFont="1" applyFill="1" applyBorder="1" applyAlignment="1">
      <alignment horizontal="center" wrapText="1"/>
    </xf>
    <xf numFmtId="177" fontId="54" fillId="18" borderId="16" xfId="0" quotePrefix="1" applyNumberFormat="1" applyFont="1" applyFill="1" applyBorder="1" applyAlignment="1">
      <alignment horizontal="center" wrapText="1"/>
    </xf>
    <xf numFmtId="177" fontId="54" fillId="18" borderId="28" xfId="0" applyNumberFormat="1" applyFont="1" applyFill="1" applyBorder="1" applyAlignment="1">
      <alignment horizontal="center" wrapText="1"/>
    </xf>
    <xf numFmtId="0" fontId="47" fillId="14" borderId="1" xfId="0" applyFont="1" applyFill="1" applyBorder="1"/>
    <xf numFmtId="0" fontId="47" fillId="0" borderId="47" xfId="0" applyFont="1" applyBorder="1"/>
    <xf numFmtId="0" fontId="0" fillId="0" borderId="0" xfId="0" applyAlignment="1">
      <alignment horizontal="left"/>
    </xf>
    <xf numFmtId="0" fontId="50" fillId="28" borderId="6" xfId="0" applyFont="1" applyFill="1" applyBorder="1" applyAlignment="1">
      <alignment horizontal="center"/>
    </xf>
    <xf numFmtId="0" fontId="50" fillId="28" borderId="6" xfId="0" applyFont="1" applyFill="1" applyBorder="1" applyAlignment="1">
      <alignment horizontal="left" indent="3"/>
    </xf>
    <xf numFmtId="1" fontId="50" fillId="28" borderId="30" xfId="0" applyNumberFormat="1" applyFont="1" applyFill="1" applyBorder="1" applyAlignment="1">
      <alignment horizontal="center"/>
    </xf>
    <xf numFmtId="171" fontId="50" fillId="28" borderId="6" xfId="0" applyNumberFormat="1" applyFont="1" applyFill="1" applyBorder="1" applyAlignment="1">
      <alignment horizontal="center"/>
    </xf>
    <xf numFmtId="2" fontId="50" fillId="28" borderId="30" xfId="0" applyNumberFormat="1" applyFont="1" applyFill="1" applyBorder="1" applyAlignment="1">
      <alignment horizontal="center"/>
    </xf>
    <xf numFmtId="0" fontId="47" fillId="28" borderId="30" xfId="0" applyFont="1" applyFill="1" applyBorder="1" applyAlignment="1">
      <alignment horizontal="center"/>
    </xf>
    <xf numFmtId="0" fontId="50" fillId="28" borderId="30" xfId="0" applyFont="1" applyFill="1" applyBorder="1" applyAlignment="1">
      <alignment horizontal="center"/>
    </xf>
    <xf numFmtId="1" fontId="50" fillId="29" borderId="30" xfId="0" applyNumberFormat="1" applyFont="1" applyFill="1" applyBorder="1" applyAlignment="1">
      <alignment horizontal="center"/>
    </xf>
    <xf numFmtId="4" fontId="50" fillId="29" borderId="6" xfId="0" applyNumberFormat="1" applyFont="1" applyFill="1" applyBorder="1" applyAlignment="1">
      <alignment horizontal="center"/>
    </xf>
    <xf numFmtId="3" fontId="50" fillId="29" borderId="6" xfId="0" applyNumberFormat="1" applyFont="1" applyFill="1" applyBorder="1" applyAlignment="1">
      <alignment horizontal="center"/>
    </xf>
    <xf numFmtId="0" fontId="50" fillId="28" borderId="6" xfId="0" applyFont="1" applyFill="1" applyBorder="1" applyAlignment="1">
      <alignment horizontal="left"/>
    </xf>
    <xf numFmtId="173" fontId="50" fillId="28" borderId="6" xfId="0" applyNumberFormat="1" applyFont="1" applyFill="1" applyBorder="1" applyAlignment="1">
      <alignment horizontal="left"/>
    </xf>
    <xf numFmtId="0" fontId="50" fillId="20" borderId="6" xfId="0" applyFont="1" applyFill="1" applyBorder="1" applyAlignment="1">
      <alignment horizontal="left" indent="3"/>
    </xf>
    <xf numFmtId="0" fontId="50" fillId="30" borderId="6" xfId="0" applyFont="1" applyFill="1" applyBorder="1" applyAlignment="1">
      <alignment horizontal="center"/>
    </xf>
    <xf numFmtId="0" fontId="50" fillId="30" borderId="6" xfId="0" applyFont="1" applyFill="1" applyBorder="1" applyAlignment="1">
      <alignment horizontal="left" indent="2"/>
    </xf>
    <xf numFmtId="1" fontId="50" fillId="30" borderId="30" xfId="0" applyNumberFormat="1" applyFont="1" applyFill="1" applyBorder="1" applyAlignment="1">
      <alignment horizontal="center"/>
    </xf>
    <xf numFmtId="171" fontId="50" fillId="30" borderId="6" xfId="0" applyNumberFormat="1" applyFont="1" applyFill="1" applyBorder="1" applyAlignment="1">
      <alignment horizontal="center"/>
    </xf>
    <xf numFmtId="2" fontId="50" fillId="30" borderId="30" xfId="0" applyNumberFormat="1" applyFont="1" applyFill="1" applyBorder="1" applyAlignment="1">
      <alignment horizontal="center"/>
    </xf>
    <xf numFmtId="0" fontId="47" fillId="30" borderId="30" xfId="0" applyFont="1" applyFill="1" applyBorder="1" applyAlignment="1">
      <alignment horizontal="center"/>
    </xf>
    <xf numFmtId="0" fontId="50" fillId="30" borderId="30" xfId="0" applyFont="1" applyFill="1" applyBorder="1" applyAlignment="1">
      <alignment horizontal="center"/>
    </xf>
    <xf numFmtId="1" fontId="50" fillId="31" borderId="30" xfId="0" applyNumberFormat="1" applyFont="1" applyFill="1" applyBorder="1" applyAlignment="1">
      <alignment horizontal="center"/>
    </xf>
    <xf numFmtId="4" fontId="50" fillId="31" borderId="6" xfId="0" applyNumberFormat="1" applyFont="1" applyFill="1" applyBorder="1" applyAlignment="1">
      <alignment horizontal="center"/>
    </xf>
    <xf numFmtId="3" fontId="50" fillId="31" borderId="6" xfId="0" applyNumberFormat="1" applyFont="1" applyFill="1" applyBorder="1" applyAlignment="1">
      <alignment horizontal="center"/>
    </xf>
    <xf numFmtId="0" fontId="50" fillId="30" borderId="6" xfId="0" applyFont="1" applyFill="1" applyBorder="1" applyAlignment="1">
      <alignment horizontal="left"/>
    </xf>
    <xf numFmtId="173" fontId="50" fillId="30" borderId="6" xfId="0" applyNumberFormat="1" applyFont="1" applyFill="1" applyBorder="1" applyAlignment="1">
      <alignment horizontal="left"/>
    </xf>
    <xf numFmtId="0" fontId="50" fillId="29" borderId="30" xfId="0" applyFont="1" applyFill="1" applyBorder="1" applyAlignment="1">
      <alignment horizontal="left"/>
    </xf>
    <xf numFmtId="170" fontId="47" fillId="32" borderId="34" xfId="0" applyNumberFormat="1" applyFont="1" applyFill="1" applyBorder="1" applyAlignment="1">
      <alignment horizontal="center" vertical="center"/>
    </xf>
    <xf numFmtId="9" fontId="47" fillId="32" borderId="33" xfId="24" applyFont="1" applyFill="1" applyBorder="1" applyAlignment="1">
      <alignment horizontal="center" vertical="center"/>
    </xf>
    <xf numFmtId="171" fontId="47" fillId="32" borderId="24" xfId="0" applyNumberFormat="1" applyFont="1" applyFill="1" applyBorder="1" applyAlignment="1">
      <alignment horizontal="center" vertical="center"/>
    </xf>
    <xf numFmtId="171" fontId="47" fillId="32" borderId="23" xfId="0" applyNumberFormat="1" applyFont="1" applyFill="1" applyBorder="1" applyAlignment="1">
      <alignment horizontal="center" vertical="center"/>
    </xf>
    <xf numFmtId="4" fontId="50" fillId="32" borderId="24" xfId="0" applyNumberFormat="1" applyFont="1" applyFill="1" applyBorder="1" applyAlignment="1">
      <alignment horizontal="center" vertical="center"/>
    </xf>
    <xf numFmtId="9" fontId="50" fillId="32" borderId="25" xfId="24" applyFont="1" applyFill="1" applyBorder="1" applyAlignment="1">
      <alignment horizontal="center" vertical="center"/>
    </xf>
    <xf numFmtId="170" fontId="47" fillId="32" borderId="23" xfId="0" applyNumberFormat="1" applyFont="1" applyFill="1" applyBorder="1" applyAlignment="1">
      <alignment horizontal="center" vertical="center"/>
    </xf>
    <xf numFmtId="170" fontId="47" fillId="32" borderId="33" xfId="0" applyNumberFormat="1" applyFont="1" applyFill="1" applyBorder="1" applyAlignment="1">
      <alignment horizontal="center" vertical="center"/>
    </xf>
    <xf numFmtId="0" fontId="47" fillId="32" borderId="25" xfId="0" applyFont="1" applyFill="1" applyBorder="1" applyAlignment="1">
      <alignment horizontal="center" vertical="center"/>
    </xf>
    <xf numFmtId="2" fontId="47" fillId="32" borderId="25" xfId="0" applyNumberFormat="1" applyFont="1" applyFill="1" applyBorder="1" applyAlignment="1">
      <alignment horizontal="center" vertical="center"/>
    </xf>
    <xf numFmtId="2" fontId="47" fillId="32" borderId="17" xfId="0" applyNumberFormat="1" applyFont="1" applyFill="1" applyBorder="1" applyAlignment="1">
      <alignment horizontal="center" vertical="center"/>
    </xf>
    <xf numFmtId="9" fontId="47" fillId="32" borderId="24" xfId="24" applyFont="1" applyFill="1" applyBorder="1" applyAlignment="1">
      <alignment horizontal="center" vertical="center"/>
    </xf>
    <xf numFmtId="169" fontId="47" fillId="32" borderId="24" xfId="0" applyNumberFormat="1" applyFont="1" applyFill="1" applyBorder="1" applyAlignment="1">
      <alignment horizontal="center" vertical="center"/>
    </xf>
    <xf numFmtId="170" fontId="73" fillId="32" borderId="33" xfId="0" applyNumberFormat="1" applyFont="1" applyFill="1" applyBorder="1" applyAlignment="1">
      <alignment horizontal="center" vertical="center"/>
    </xf>
    <xf numFmtId="9" fontId="47" fillId="32" borderId="17" xfId="24" applyFont="1" applyFill="1" applyBorder="1" applyAlignment="1">
      <alignment horizontal="center" vertical="center"/>
    </xf>
    <xf numFmtId="170" fontId="73" fillId="32" borderId="5" xfId="0" applyNumberFormat="1" applyFont="1" applyFill="1" applyBorder="1" applyAlignment="1">
      <alignment vertical="center"/>
    </xf>
    <xf numFmtId="170" fontId="88" fillId="32" borderId="5" xfId="0" applyNumberFormat="1" applyFont="1" applyFill="1" applyBorder="1" applyAlignment="1">
      <alignment horizontal="center" vertical="center"/>
    </xf>
    <xf numFmtId="3" fontId="47" fillId="32" borderId="25" xfId="0" applyNumberFormat="1" applyFont="1" applyFill="1" applyBorder="1" applyAlignment="1">
      <alignment horizontal="center" vertical="center"/>
    </xf>
    <xf numFmtId="0" fontId="47" fillId="32" borderId="34" xfId="0" applyFont="1" applyFill="1" applyBorder="1" applyAlignment="1">
      <alignment horizontal="center" vertical="center"/>
    </xf>
    <xf numFmtId="170" fontId="47" fillId="32" borderId="24" xfId="0" applyNumberFormat="1" applyFont="1" applyFill="1" applyBorder="1" applyAlignment="1">
      <alignment horizontal="center" vertical="center"/>
    </xf>
    <xf numFmtId="170" fontId="47" fillId="32" borderId="25" xfId="0" applyNumberFormat="1" applyFont="1" applyFill="1" applyBorder="1" applyAlignment="1">
      <alignment horizontal="center" vertical="center"/>
    </xf>
    <xf numFmtId="170" fontId="52" fillId="32" borderId="25" xfId="0" applyNumberFormat="1" applyFont="1" applyFill="1" applyBorder="1" applyAlignment="1">
      <alignment horizontal="center" vertical="center"/>
    </xf>
    <xf numFmtId="170" fontId="47" fillId="32" borderId="60" xfId="0" applyNumberFormat="1" applyFont="1" applyFill="1" applyBorder="1" applyAlignment="1">
      <alignment horizontal="center" vertical="center"/>
    </xf>
    <xf numFmtId="170" fontId="52" fillId="32" borderId="23" xfId="0" applyNumberFormat="1" applyFont="1" applyFill="1" applyBorder="1" applyAlignment="1">
      <alignment horizontal="center" vertical="center"/>
    </xf>
    <xf numFmtId="10" fontId="47" fillId="32" borderId="6" xfId="24" applyNumberFormat="1" applyFont="1" applyFill="1" applyBorder="1" applyAlignment="1">
      <alignment horizontal="center" vertical="center"/>
    </xf>
    <xf numFmtId="179" fontId="47" fillId="32" borderId="6" xfId="0" applyNumberFormat="1" applyFont="1" applyFill="1" applyBorder="1" applyAlignment="1">
      <alignment horizontal="center" vertical="center"/>
    </xf>
    <xf numFmtId="180" fontId="47" fillId="32" borderId="6" xfId="0" applyNumberFormat="1" applyFont="1" applyFill="1" applyBorder="1" applyAlignment="1">
      <alignment horizontal="center" vertical="center"/>
    </xf>
    <xf numFmtId="10" fontId="89" fillId="32" borderId="6" xfId="24" applyNumberFormat="1" applyFont="1" applyFill="1" applyBorder="1" applyAlignment="1">
      <alignment horizontal="center" vertical="center"/>
    </xf>
    <xf numFmtId="168" fontId="89" fillId="32" borderId="6" xfId="0" applyNumberFormat="1" applyFont="1" applyFill="1" applyBorder="1" applyAlignment="1">
      <alignment horizontal="center" vertical="center"/>
    </xf>
    <xf numFmtId="2" fontId="89" fillId="32" borderId="6" xfId="0" applyNumberFormat="1" applyFont="1" applyFill="1" applyBorder="1" applyAlignment="1">
      <alignment horizontal="center" vertical="center"/>
    </xf>
    <xf numFmtId="178" fontId="47" fillId="32" borderId="6" xfId="24" applyNumberFormat="1" applyFont="1" applyFill="1" applyBorder="1" applyAlignment="1">
      <alignment horizontal="center" vertical="center"/>
    </xf>
    <xf numFmtId="168" fontId="47" fillId="32" borderId="6" xfId="24" applyNumberFormat="1" applyFont="1" applyFill="1" applyBorder="1" applyAlignment="1">
      <alignment horizontal="center" vertical="center"/>
    </xf>
    <xf numFmtId="168" fontId="52" fillId="32" borderId="6" xfId="24" applyNumberFormat="1" applyFont="1" applyFill="1" applyBorder="1" applyAlignment="1">
      <alignment horizontal="center" vertical="center"/>
    </xf>
    <xf numFmtId="3" fontId="47" fillId="32" borderId="6" xfId="0" applyNumberFormat="1" applyFont="1" applyFill="1" applyBorder="1" applyAlignment="1" applyProtection="1">
      <alignment horizontal="center"/>
      <protection locked="0"/>
    </xf>
    <xf numFmtId="167" fontId="50" fillId="32" borderId="37" xfId="0" applyNumberFormat="1" applyFont="1" applyFill="1" applyBorder="1" applyAlignment="1">
      <alignment horizontal="right" vertical="center" wrapText="1"/>
    </xf>
    <xf numFmtId="4" fontId="50" fillId="32" borderId="19" xfId="0" applyNumberFormat="1" applyFont="1" applyFill="1" applyBorder="1" applyAlignment="1">
      <alignment horizontal="center" vertical="center"/>
    </xf>
    <xf numFmtId="167" fontId="50" fillId="32" borderId="52" xfId="0" applyNumberFormat="1" applyFont="1" applyFill="1" applyBorder="1" applyAlignment="1">
      <alignment horizontal="right" vertical="center" wrapText="1"/>
    </xf>
    <xf numFmtId="167" fontId="50" fillId="32" borderId="38" xfId="0" applyNumberFormat="1" applyFont="1" applyFill="1" applyBorder="1" applyAlignment="1">
      <alignment horizontal="right" vertical="center" wrapText="1"/>
    </xf>
    <xf numFmtId="4" fontId="50" fillId="32" borderId="39" xfId="0" applyNumberFormat="1" applyFont="1" applyFill="1" applyBorder="1" applyAlignment="1">
      <alignment horizontal="center" vertical="center"/>
    </xf>
    <xf numFmtId="167" fontId="50" fillId="32" borderId="50" xfId="0" applyNumberFormat="1" applyFont="1" applyFill="1" applyBorder="1" applyAlignment="1">
      <alignment horizontal="right" vertical="center" wrapText="1"/>
    </xf>
    <xf numFmtId="0" fontId="75" fillId="33" borderId="57" xfId="0" applyFont="1" applyFill="1" applyBorder="1" applyAlignment="1">
      <alignment horizontal="center" vertical="center" wrapText="1"/>
    </xf>
    <xf numFmtId="0" fontId="75" fillId="33" borderId="56" xfId="0" applyFont="1" applyFill="1" applyBorder="1" applyAlignment="1">
      <alignment horizontal="center" vertical="center"/>
    </xf>
    <xf numFmtId="0" fontId="75" fillId="33" borderId="55" xfId="0" applyFont="1" applyFill="1" applyBorder="1" applyAlignment="1">
      <alignment horizontal="center" vertical="center" wrapText="1"/>
    </xf>
    <xf numFmtId="0" fontId="75" fillId="33" borderId="54" xfId="0" applyFont="1" applyFill="1" applyBorder="1" applyAlignment="1">
      <alignment horizontal="center" vertical="center" wrapText="1"/>
    </xf>
    <xf numFmtId="0" fontId="75" fillId="33" borderId="59" xfId="0" applyFont="1" applyFill="1" applyBorder="1" applyAlignment="1">
      <alignment horizontal="center" vertical="center" wrapText="1"/>
    </xf>
    <xf numFmtId="0" fontId="75" fillId="33" borderId="53" xfId="0" applyFont="1" applyFill="1" applyBorder="1" applyAlignment="1">
      <alignment horizontal="center" vertical="center" wrapText="1"/>
    </xf>
    <xf numFmtId="4" fontId="52" fillId="32" borderId="6" xfId="0" applyNumberFormat="1" applyFont="1" applyFill="1" applyBorder="1" applyAlignment="1">
      <alignment horizontal="center" vertical="center"/>
    </xf>
    <xf numFmtId="4" fontId="47" fillId="32" borderId="6" xfId="0" applyNumberFormat="1" applyFont="1" applyFill="1" applyBorder="1" applyAlignment="1">
      <alignment horizontal="center" vertical="center" wrapText="1"/>
    </xf>
    <xf numFmtId="4" fontId="52" fillId="32" borderId="6" xfId="0" applyNumberFormat="1" applyFont="1" applyFill="1" applyBorder="1" applyAlignment="1">
      <alignment horizontal="center" vertical="center" wrapText="1"/>
    </xf>
    <xf numFmtId="0" fontId="47" fillId="32" borderId="6" xfId="0" applyFont="1" applyFill="1" applyBorder="1" applyAlignment="1">
      <alignment horizontal="center"/>
    </xf>
    <xf numFmtId="3" fontId="47" fillId="32" borderId="6" xfId="0" applyNumberFormat="1" applyFont="1" applyFill="1" applyBorder="1" applyAlignment="1">
      <alignment horizontal="center"/>
    </xf>
    <xf numFmtId="0" fontId="47" fillId="32" borderId="29" xfId="0" applyFont="1" applyFill="1" applyBorder="1" applyAlignment="1">
      <alignment horizontal="center"/>
    </xf>
    <xf numFmtId="3" fontId="47" fillId="32" borderId="29" xfId="0" applyNumberFormat="1" applyFont="1" applyFill="1" applyBorder="1" applyAlignment="1">
      <alignment horizontal="center"/>
    </xf>
    <xf numFmtId="1" fontId="47" fillId="32" borderId="6" xfId="0" applyNumberFormat="1" applyFont="1" applyFill="1" applyBorder="1" applyAlignment="1">
      <alignment horizontal="right" vertical="center" indent="1"/>
    </xf>
    <xf numFmtId="174" fontId="47" fillId="32" borderId="6" xfId="25" applyNumberFormat="1" applyFont="1" applyFill="1" applyBorder="1" applyAlignment="1">
      <alignment horizontal="right" vertical="center" indent="1"/>
    </xf>
    <xf numFmtId="0" fontId="47" fillId="32" borderId="6" xfId="0" applyFont="1" applyFill="1" applyBorder="1" applyAlignment="1">
      <alignment horizontal="left"/>
    </xf>
    <xf numFmtId="0" fontId="47" fillId="32" borderId="29" xfId="0" applyFont="1" applyFill="1" applyBorder="1" applyAlignment="1">
      <alignment horizontal="left"/>
    </xf>
    <xf numFmtId="0" fontId="47" fillId="32" borderId="69" xfId="0" applyFont="1" applyFill="1" applyBorder="1" applyAlignment="1">
      <alignment horizontal="left"/>
    </xf>
    <xf numFmtId="0" fontId="47" fillId="32" borderId="70" xfId="0" applyFont="1" applyFill="1" applyBorder="1" applyAlignment="1">
      <alignment horizontal="left"/>
    </xf>
    <xf numFmtId="0" fontId="47" fillId="32" borderId="28" xfId="0" applyFont="1" applyFill="1" applyBorder="1" applyAlignment="1">
      <alignment horizontal="left"/>
    </xf>
    <xf numFmtId="168" fontId="47" fillId="32" borderId="6" xfId="0" applyNumberFormat="1" applyFont="1" applyFill="1" applyBorder="1" applyAlignment="1">
      <alignment horizontal="center"/>
    </xf>
    <xf numFmtId="0" fontId="47" fillId="32" borderId="22" xfId="0" applyFont="1" applyFill="1" applyBorder="1" applyAlignment="1">
      <alignment horizontal="center" vertical="center" wrapText="1"/>
    </xf>
    <xf numFmtId="168" fontId="47" fillId="32" borderId="22" xfId="0" applyNumberFormat="1" applyFont="1" applyFill="1" applyBorder="1" applyAlignment="1">
      <alignment horizontal="center"/>
    </xf>
    <xf numFmtId="168" fontId="47" fillId="32" borderId="74" xfId="0" applyNumberFormat="1" applyFont="1" applyFill="1" applyBorder="1" applyAlignment="1">
      <alignment horizontal="center"/>
    </xf>
    <xf numFmtId="168" fontId="47" fillId="32" borderId="73" xfId="0" applyNumberFormat="1" applyFont="1" applyFill="1" applyBorder="1" applyAlignment="1">
      <alignment horizontal="center"/>
    </xf>
    <xf numFmtId="0" fontId="47" fillId="32" borderId="30" xfId="0" applyFont="1" applyFill="1" applyBorder="1" applyAlignment="1">
      <alignment horizontal="center"/>
    </xf>
    <xf numFmtId="0" fontId="47" fillId="32" borderId="6" xfId="0" applyFont="1" applyFill="1" applyBorder="1" applyAlignment="1" applyProtection="1">
      <alignment horizontal="center" vertical="center" wrapText="1"/>
      <protection locked="0"/>
    </xf>
    <xf numFmtId="0" fontId="47" fillId="32" borderId="6" xfId="0" applyFont="1" applyFill="1" applyBorder="1" applyAlignment="1" applyProtection="1">
      <alignment horizontal="center" vertical="center" textRotation="90" wrapText="1"/>
      <protection locked="0"/>
    </xf>
    <xf numFmtId="9" fontId="47" fillId="32" borderId="6" xfId="24" applyFont="1" applyFill="1" applyBorder="1" applyAlignment="1" applyProtection="1">
      <alignment horizontal="center" vertical="center" textRotation="90" wrapText="1"/>
      <protection locked="0"/>
    </xf>
    <xf numFmtId="0" fontId="47" fillId="32" borderId="6" xfId="0" applyFont="1" applyFill="1" applyBorder="1" applyAlignment="1">
      <alignment horizontal="center" vertical="center" wrapText="1"/>
    </xf>
    <xf numFmtId="0" fontId="47" fillId="32" borderId="6" xfId="0" applyFont="1" applyFill="1" applyBorder="1" applyAlignment="1">
      <alignment horizontal="center" vertical="center"/>
    </xf>
    <xf numFmtId="2" fontId="47" fillId="32" borderId="6" xfId="0" applyNumberFormat="1" applyFont="1" applyFill="1" applyBorder="1" applyAlignment="1">
      <alignment horizontal="center" vertical="center"/>
    </xf>
    <xf numFmtId="1" fontId="47" fillId="32" borderId="6" xfId="0" applyNumberFormat="1" applyFont="1" applyFill="1" applyBorder="1" applyAlignment="1">
      <alignment horizontal="center" vertical="center"/>
    </xf>
    <xf numFmtId="170" fontId="47" fillId="32" borderId="6" xfId="0" applyNumberFormat="1" applyFont="1" applyFill="1" applyBorder="1" applyAlignment="1">
      <alignment horizontal="center" vertical="center"/>
    </xf>
    <xf numFmtId="173" fontId="47" fillId="32" borderId="6" xfId="0" applyNumberFormat="1" applyFont="1" applyFill="1" applyBorder="1" applyAlignment="1">
      <alignment horizontal="center" vertical="center" wrapText="1"/>
    </xf>
    <xf numFmtId="3" fontId="47" fillId="32" borderId="6" xfId="25" applyNumberFormat="1" applyFont="1" applyFill="1" applyBorder="1" applyAlignment="1" applyProtection="1">
      <alignment horizontal="center" vertical="center"/>
      <protection locked="0"/>
    </xf>
    <xf numFmtId="175" fontId="47" fillId="32" borderId="6" xfId="25" applyNumberFormat="1" applyFont="1" applyFill="1" applyBorder="1" applyAlignment="1" applyProtection="1">
      <alignment horizontal="center" vertical="center"/>
      <protection locked="0"/>
    </xf>
    <xf numFmtId="4" fontId="47" fillId="32" borderId="6" xfId="0" applyNumberFormat="1" applyFont="1" applyFill="1" applyBorder="1" applyAlignment="1">
      <alignment horizontal="center" vertical="center"/>
    </xf>
    <xf numFmtId="170" fontId="47" fillId="32" borderId="6" xfId="0" applyNumberFormat="1" applyFont="1" applyFill="1" applyBorder="1" applyAlignment="1">
      <alignment horizontal="center" vertical="center" wrapText="1"/>
    </xf>
    <xf numFmtId="170" fontId="47" fillId="32" borderId="6" xfId="0" applyNumberFormat="1" applyFont="1" applyFill="1" applyBorder="1" applyAlignment="1">
      <alignment horizontal="center"/>
    </xf>
    <xf numFmtId="171" fontId="47" fillId="32" borderId="6" xfId="0" applyNumberFormat="1" applyFont="1" applyFill="1" applyBorder="1" applyAlignment="1">
      <alignment horizontal="center" vertical="center" wrapText="1"/>
    </xf>
    <xf numFmtId="2" fontId="47" fillId="32" borderId="6" xfId="0" applyNumberFormat="1" applyFont="1" applyFill="1" applyBorder="1" applyAlignment="1">
      <alignment horizontal="center" vertical="center" wrapText="1"/>
    </xf>
    <xf numFmtId="4" fontId="47" fillId="32" borderId="73" xfId="0" applyNumberFormat="1" applyFont="1" applyFill="1" applyBorder="1" applyAlignment="1">
      <alignment horizontal="center" vertical="center" wrapText="1"/>
    </xf>
    <xf numFmtId="4" fontId="47" fillId="32" borderId="74" xfId="0" applyNumberFormat="1" applyFont="1" applyFill="1" applyBorder="1" applyAlignment="1">
      <alignment horizontal="center" vertical="center" wrapText="1"/>
    </xf>
    <xf numFmtId="2" fontId="47" fillId="32" borderId="6" xfId="0" applyNumberFormat="1" applyFont="1" applyFill="1" applyBorder="1" applyAlignment="1">
      <alignment horizontal="center"/>
    </xf>
    <xf numFmtId="178" fontId="47" fillId="32" borderId="6" xfId="0" applyNumberFormat="1" applyFont="1" applyFill="1" applyBorder="1" applyAlignment="1">
      <alignment horizontal="center"/>
    </xf>
    <xf numFmtId="168" fontId="47" fillId="32" borderId="6" xfId="0" applyNumberFormat="1" applyFont="1" applyFill="1" applyBorder="1" applyAlignment="1">
      <alignment horizontal="center" vertical="center" textRotation="90" wrapText="1"/>
    </xf>
    <xf numFmtId="0" fontId="47" fillId="32" borderId="6" xfId="0" applyFont="1" applyFill="1" applyBorder="1" applyAlignment="1">
      <alignment horizontal="center" vertical="center" textRotation="90" wrapText="1"/>
    </xf>
    <xf numFmtId="3" fontId="47" fillId="32" borderId="6" xfId="0" applyNumberFormat="1" applyFont="1" applyFill="1" applyBorder="1" applyAlignment="1">
      <alignment horizontal="center" vertical="center"/>
    </xf>
    <xf numFmtId="169" fontId="47" fillId="32" borderId="6" xfId="0" applyNumberFormat="1" applyFont="1" applyFill="1" applyBorder="1" applyAlignment="1">
      <alignment horizontal="center" vertical="center"/>
    </xf>
    <xf numFmtId="10" fontId="47" fillId="32" borderId="6" xfId="0" applyNumberFormat="1" applyFont="1" applyFill="1" applyBorder="1" applyAlignment="1">
      <alignment horizontal="center" vertical="center" wrapText="1"/>
    </xf>
    <xf numFmtId="0" fontId="52" fillId="32" borderId="22" xfId="0" applyFont="1" applyFill="1" applyBorder="1" applyAlignment="1">
      <alignment horizontal="left" vertical="center" indent="1"/>
    </xf>
    <xf numFmtId="0" fontId="47" fillId="32" borderId="30" xfId="0" applyFont="1" applyFill="1" applyBorder="1" applyAlignment="1">
      <alignment horizontal="right" vertical="center"/>
    </xf>
    <xf numFmtId="0" fontId="47" fillId="32" borderId="22" xfId="0" applyFont="1" applyFill="1" applyBorder="1" applyAlignment="1">
      <alignment horizontal="left" vertical="center" indent="1"/>
    </xf>
    <xf numFmtId="0" fontId="47" fillId="32" borderId="6" xfId="0" applyFont="1" applyFill="1" applyBorder="1" applyAlignment="1">
      <alignment vertical="center"/>
    </xf>
    <xf numFmtId="0" fontId="52" fillId="32" borderId="30" xfId="0" applyFont="1" applyFill="1" applyBorder="1" applyAlignment="1">
      <alignment horizontal="right" vertical="center"/>
    </xf>
    <xf numFmtId="0" fontId="47" fillId="32" borderId="5" xfId="0" applyFont="1" applyFill="1" applyBorder="1" applyAlignment="1">
      <alignment horizontal="right" vertical="center"/>
    </xf>
    <xf numFmtId="0" fontId="49" fillId="32" borderId="22" xfId="0" applyFont="1" applyFill="1" applyBorder="1" applyAlignment="1">
      <alignment horizontal="left" vertical="center" indent="1"/>
    </xf>
    <xf numFmtId="2" fontId="47" fillId="32" borderId="6" xfId="24" applyNumberFormat="1" applyFont="1" applyFill="1" applyBorder="1" applyAlignment="1">
      <alignment horizontal="center" vertical="center"/>
    </xf>
    <xf numFmtId="0" fontId="89" fillId="32" borderId="6" xfId="0" applyFont="1" applyFill="1" applyBorder="1" applyAlignment="1">
      <alignment horizontal="center" vertical="center"/>
    </xf>
    <xf numFmtId="2" fontId="87" fillId="34" borderId="0" xfId="0" applyNumberFormat="1" applyFont="1" applyFill="1" applyAlignment="1" applyProtection="1">
      <alignment vertical="center"/>
      <protection locked="0"/>
    </xf>
    <xf numFmtId="0" fontId="90" fillId="34" borderId="0" xfId="0" applyFont="1" applyFill="1" applyAlignment="1" applyProtection="1">
      <alignment horizontal="center" vertical="center"/>
      <protection locked="0"/>
    </xf>
    <xf numFmtId="0" fontId="87" fillId="34" borderId="16" xfId="0" applyFont="1" applyFill="1" applyBorder="1" applyAlignment="1">
      <alignment horizontal="center" vertical="center"/>
    </xf>
    <xf numFmtId="1" fontId="68" fillId="32" borderId="0" xfId="0" applyNumberFormat="1" applyFont="1" applyFill="1" applyAlignment="1" applyProtection="1">
      <alignment horizontal="center" vertical="center"/>
      <protection locked="0"/>
    </xf>
    <xf numFmtId="0" fontId="61" fillId="32" borderId="0" xfId="0" applyFont="1" applyFill="1" applyAlignment="1" applyProtection="1">
      <alignment horizontal="center" vertical="center"/>
      <protection locked="0"/>
    </xf>
    <xf numFmtId="170" fontId="61" fillId="32" borderId="0" xfId="0" applyNumberFormat="1" applyFont="1" applyFill="1" applyAlignment="1" applyProtection="1">
      <alignment horizontal="center" vertical="center"/>
      <protection locked="0"/>
    </xf>
    <xf numFmtId="1" fontId="61" fillId="32" borderId="0" xfId="0" applyNumberFormat="1" applyFont="1" applyFill="1" applyAlignment="1" applyProtection="1">
      <alignment horizontal="center" vertical="center"/>
      <protection locked="0"/>
    </xf>
    <xf numFmtId="169" fontId="69" fillId="32" borderId="0" xfId="24" applyNumberFormat="1" applyFont="1" applyFill="1" applyAlignment="1" applyProtection="1">
      <alignment horizontal="center" vertical="center"/>
      <protection locked="0"/>
    </xf>
    <xf numFmtId="4" fontId="69" fillId="32" borderId="0" xfId="0" applyNumberFormat="1" applyFont="1" applyFill="1" applyAlignment="1" applyProtection="1">
      <alignment horizontal="center" vertical="center"/>
      <protection locked="0"/>
    </xf>
    <xf numFmtId="0" fontId="69" fillId="32" borderId="0" xfId="0" applyFont="1" applyFill="1" applyAlignment="1" applyProtection="1">
      <alignment horizontal="center" vertical="center"/>
      <protection locked="0"/>
    </xf>
    <xf numFmtId="170" fontId="69" fillId="32" borderId="0" xfId="0" applyNumberFormat="1" applyFont="1" applyFill="1" applyAlignment="1" applyProtection="1">
      <alignment horizontal="center" vertical="center"/>
      <protection locked="0"/>
    </xf>
    <xf numFmtId="2" fontId="61" fillId="32" borderId="0" xfId="0" applyNumberFormat="1" applyFont="1" applyFill="1" applyAlignment="1" applyProtection="1">
      <alignment horizontal="center" vertical="center"/>
      <protection locked="0"/>
    </xf>
    <xf numFmtId="9" fontId="61" fillId="32" borderId="0" xfId="24" applyFont="1" applyFill="1" applyAlignment="1" applyProtection="1">
      <alignment horizontal="center" vertical="center"/>
      <protection locked="0"/>
    </xf>
    <xf numFmtId="170" fontId="62" fillId="32" borderId="0" xfId="0" applyNumberFormat="1" applyFont="1" applyFill="1" applyAlignment="1" applyProtection="1">
      <alignment horizontal="right" vertical="center"/>
      <protection locked="0"/>
    </xf>
    <xf numFmtId="170" fontId="62" fillId="32" borderId="0" xfId="0" applyNumberFormat="1" applyFont="1" applyFill="1" applyAlignment="1" applyProtection="1">
      <alignment vertical="center"/>
      <protection locked="0"/>
    </xf>
    <xf numFmtId="170" fontId="61" fillId="32" borderId="0" xfId="0" applyNumberFormat="1" applyFont="1" applyFill="1" applyAlignment="1" applyProtection="1">
      <alignment vertical="center"/>
      <protection locked="0"/>
    </xf>
    <xf numFmtId="170" fontId="63" fillId="32" borderId="0" xfId="0" applyNumberFormat="1" applyFont="1" applyFill="1" applyAlignment="1" applyProtection="1">
      <alignment horizontal="center" vertical="center"/>
      <protection locked="0"/>
    </xf>
    <xf numFmtId="169" fontId="63" fillId="32" borderId="0" xfId="25" applyNumberFormat="1" applyFont="1" applyFill="1" applyAlignment="1" applyProtection="1">
      <alignment horizontal="center" vertical="center"/>
      <protection locked="0"/>
    </xf>
    <xf numFmtId="166" fontId="63" fillId="32" borderId="0" xfId="25" applyFont="1" applyFill="1" applyAlignment="1" applyProtection="1">
      <alignment horizontal="center" vertical="center"/>
      <protection locked="0"/>
    </xf>
    <xf numFmtId="168" fontId="63" fillId="32" borderId="0" xfId="25" applyNumberFormat="1" applyFont="1" applyFill="1" applyAlignment="1" applyProtection="1">
      <alignment horizontal="center" vertical="center"/>
      <protection locked="0"/>
    </xf>
    <xf numFmtId="1" fontId="63" fillId="32" borderId="0" xfId="25" applyNumberFormat="1" applyFont="1" applyFill="1" applyAlignment="1" applyProtection="1">
      <alignment horizontal="center" vertical="center"/>
      <protection locked="0"/>
    </xf>
    <xf numFmtId="170" fontId="62" fillId="32" borderId="0" xfId="0" applyNumberFormat="1" applyFont="1" applyFill="1" applyAlignment="1" applyProtection="1">
      <alignment horizontal="center" vertical="center"/>
      <protection locked="0"/>
    </xf>
    <xf numFmtId="2" fontId="62" fillId="32" borderId="0" xfId="0" applyNumberFormat="1" applyFont="1" applyFill="1" applyAlignment="1" applyProtection="1">
      <alignment horizontal="center" vertical="center"/>
      <protection locked="0"/>
    </xf>
    <xf numFmtId="0" fontId="61" fillId="35" borderId="0" xfId="0" applyFont="1" applyFill="1" applyAlignment="1" applyProtection="1">
      <alignment vertical="center"/>
      <protection locked="0"/>
    </xf>
    <xf numFmtId="0" fontId="86" fillId="0" borderId="0" xfId="0" applyFont="1" applyAlignment="1">
      <alignment vertical="center" wrapText="1"/>
    </xf>
    <xf numFmtId="0" fontId="91" fillId="0" borderId="0" xfId="0" applyFont="1" applyAlignment="1" applyProtection="1">
      <alignment horizontal="center" vertical="center"/>
      <protection locked="0"/>
    </xf>
    <xf numFmtId="0" fontId="92" fillId="0" borderId="0" xfId="0" applyFont="1" applyAlignment="1" applyProtection="1">
      <alignment horizontal="center" vertical="top"/>
      <protection locked="0"/>
    </xf>
    <xf numFmtId="0" fontId="93" fillId="0" borderId="0" xfId="0" applyFont="1" applyAlignment="1" applyProtection="1">
      <alignment horizontal="center"/>
      <protection locked="0"/>
    </xf>
    <xf numFmtId="1" fontId="94" fillId="0" borderId="14" xfId="0" applyNumberFormat="1" applyFont="1" applyBorder="1" applyAlignment="1" applyProtection="1">
      <alignment horizontal="center"/>
      <protection locked="0"/>
    </xf>
    <xf numFmtId="0" fontId="93" fillId="0" borderId="45" xfId="0" applyFont="1" applyBorder="1" applyAlignment="1" applyProtection="1">
      <alignment horizontal="center" wrapText="1"/>
      <protection locked="0"/>
    </xf>
    <xf numFmtId="0" fontId="93" fillId="0" borderId="43" xfId="0" applyFont="1" applyBorder="1" applyAlignment="1" applyProtection="1">
      <alignment horizontal="center"/>
      <protection locked="0"/>
    </xf>
    <xf numFmtId="0" fontId="93" fillId="0" borderId="42" xfId="0" applyFont="1" applyBorder="1" applyAlignment="1" applyProtection="1">
      <alignment horizontal="center" wrapText="1"/>
      <protection locked="0"/>
    </xf>
    <xf numFmtId="0" fontId="93" fillId="0" borderId="45" xfId="0" applyFont="1" applyBorder="1" applyAlignment="1" applyProtection="1">
      <alignment horizontal="center"/>
      <protection locked="0"/>
    </xf>
    <xf numFmtId="0" fontId="93" fillId="0" borderId="43" xfId="0" applyFont="1" applyBorder="1" applyProtection="1">
      <protection locked="0"/>
    </xf>
    <xf numFmtId="0" fontId="93" fillId="0" borderId="42" xfId="0" applyFont="1" applyBorder="1" applyAlignment="1" applyProtection="1">
      <alignment horizontal="center" vertical="top"/>
      <protection locked="0"/>
    </xf>
    <xf numFmtId="0" fontId="93" fillId="0" borderId="42" xfId="0" applyFont="1" applyBorder="1" applyAlignment="1" applyProtection="1">
      <alignment horizontal="center"/>
      <protection locked="0"/>
    </xf>
    <xf numFmtId="0" fontId="94" fillId="0" borderId="14" xfId="0" applyFont="1" applyBorder="1" applyAlignment="1" applyProtection="1">
      <alignment horizontal="center" vertical="top"/>
      <protection locked="0"/>
    </xf>
    <xf numFmtId="0" fontId="93" fillId="0" borderId="42" xfId="0" applyFont="1" applyBorder="1" applyAlignment="1" applyProtection="1">
      <alignment horizontal="center" vertical="top" wrapText="1"/>
      <protection locked="0"/>
    </xf>
    <xf numFmtId="0" fontId="94" fillId="0" borderId="45" xfId="0" applyFont="1" applyBorder="1" applyAlignment="1" applyProtection="1">
      <alignment horizontal="center"/>
      <protection locked="0"/>
    </xf>
    <xf numFmtId="0" fontId="93" fillId="0" borderId="43" xfId="0" applyFont="1" applyBorder="1" applyAlignment="1" applyProtection="1">
      <alignment horizontal="center" vertical="top"/>
      <protection locked="0"/>
    </xf>
    <xf numFmtId="0" fontId="94" fillId="0" borderId="43" xfId="0" applyFont="1" applyBorder="1" applyAlignment="1" applyProtection="1">
      <alignment horizontal="center"/>
      <protection locked="0"/>
    </xf>
    <xf numFmtId="0" fontId="94" fillId="0" borderId="16" xfId="0" applyFont="1" applyBorder="1" applyAlignment="1" applyProtection="1">
      <alignment horizontal="center"/>
      <protection locked="0"/>
    </xf>
    <xf numFmtId="0" fontId="93" fillId="0" borderId="16" xfId="0" applyFont="1" applyBorder="1" applyAlignment="1" applyProtection="1">
      <alignment horizontal="center" vertical="top"/>
      <protection locked="0"/>
    </xf>
    <xf numFmtId="0" fontId="93" fillId="0" borderId="13" xfId="0" applyFont="1" applyBorder="1" applyAlignment="1" applyProtection="1">
      <alignment horizontal="center" vertical="top"/>
      <protection locked="0"/>
    </xf>
    <xf numFmtId="0" fontId="93" fillId="0" borderId="16" xfId="0" applyFont="1" applyBorder="1" applyAlignment="1" applyProtection="1">
      <alignment horizontal="center"/>
      <protection locked="0"/>
    </xf>
    <xf numFmtId="9" fontId="93" fillId="0" borderId="13" xfId="24" applyFont="1" applyBorder="1" applyAlignment="1" applyProtection="1">
      <alignment horizontal="center"/>
      <protection locked="0"/>
    </xf>
    <xf numFmtId="0" fontId="95" fillId="0" borderId="16" xfId="0" applyFont="1" applyBorder="1" applyAlignment="1" applyProtection="1">
      <alignment horizontal="center"/>
      <protection locked="0"/>
    </xf>
    <xf numFmtId="0" fontId="94" fillId="0" borderId="0" xfId="0" applyFont="1" applyAlignment="1" applyProtection="1">
      <alignment horizontal="center"/>
      <protection locked="0"/>
    </xf>
    <xf numFmtId="0" fontId="93" fillId="0" borderId="16" xfId="0" applyFont="1" applyBorder="1" applyAlignment="1" applyProtection="1">
      <alignment horizontal="center" vertical="center"/>
      <protection locked="0"/>
    </xf>
    <xf numFmtId="2" fontId="94" fillId="0" borderId="16" xfId="0" applyNumberFormat="1" applyFont="1" applyBorder="1" applyAlignment="1" applyProtection="1">
      <alignment horizontal="center" vertical="center"/>
      <protection locked="0"/>
    </xf>
    <xf numFmtId="2" fontId="93" fillId="0" borderId="16" xfId="0" applyNumberFormat="1" applyFont="1" applyBorder="1" applyAlignment="1" applyProtection="1">
      <alignment horizontal="center" vertical="center"/>
      <protection locked="0"/>
    </xf>
    <xf numFmtId="0" fontId="93" fillId="0" borderId="1" xfId="0" applyFont="1" applyBorder="1" applyAlignment="1" applyProtection="1">
      <alignment horizontal="center" wrapText="1"/>
      <protection locked="0"/>
    </xf>
    <xf numFmtId="4" fontId="93" fillId="0" borderId="1" xfId="0" applyNumberFormat="1" applyFont="1" applyBorder="1" applyAlignment="1" applyProtection="1">
      <alignment horizontal="center" wrapText="1"/>
      <protection locked="0"/>
    </xf>
    <xf numFmtId="1" fontId="94" fillId="0" borderId="27" xfId="0" applyNumberFormat="1" applyFont="1" applyBorder="1" applyAlignment="1" applyProtection="1">
      <alignment horizontal="center"/>
      <protection locked="0"/>
    </xf>
    <xf numFmtId="0" fontId="97" fillId="0" borderId="40" xfId="0" applyFont="1" applyBorder="1" applyAlignment="1" applyProtection="1">
      <alignment horizontal="center" wrapText="1"/>
      <protection locked="0"/>
    </xf>
    <xf numFmtId="0" fontId="97" fillId="0" borderId="41" xfId="0" applyFont="1" applyBorder="1" applyAlignment="1" applyProtection="1">
      <alignment horizontal="center"/>
      <protection locked="0"/>
    </xf>
    <xf numFmtId="0" fontId="97" fillId="0" borderId="35" xfId="0" applyFont="1" applyBorder="1" applyAlignment="1" applyProtection="1">
      <alignment horizontal="center"/>
      <protection locked="0"/>
    </xf>
    <xf numFmtId="0" fontId="97" fillId="0" borderId="40" xfId="0" applyFont="1" applyBorder="1" applyAlignment="1" applyProtection="1">
      <alignment horizontal="center"/>
      <protection locked="0"/>
    </xf>
    <xf numFmtId="0" fontId="97" fillId="0" borderId="41" xfId="0" applyFont="1" applyBorder="1" applyAlignment="1" applyProtection="1">
      <alignment horizontal="center" wrapText="1"/>
      <protection locked="0"/>
    </xf>
    <xf numFmtId="0" fontId="97" fillId="0" borderId="27" xfId="0" applyFont="1" applyBorder="1" applyAlignment="1" applyProtection="1">
      <alignment horizontal="center"/>
      <protection locked="0"/>
    </xf>
    <xf numFmtId="0" fontId="93" fillId="0" borderId="35" xfId="0" applyFont="1" applyBorder="1" applyAlignment="1" applyProtection="1">
      <alignment horizontal="center"/>
      <protection locked="0"/>
    </xf>
    <xf numFmtId="0" fontId="93" fillId="0" borderId="40" xfId="0" applyFont="1" applyBorder="1" applyAlignment="1" applyProtection="1">
      <alignment horizontal="center"/>
      <protection locked="0"/>
    </xf>
    <xf numFmtId="0" fontId="97" fillId="0" borderId="81" xfId="0" applyFont="1" applyBorder="1" applyAlignment="1" applyProtection="1">
      <alignment horizontal="center"/>
      <protection locked="0"/>
    </xf>
    <xf numFmtId="0" fontId="97" fillId="0" borderId="28" xfId="0" applyFont="1" applyBorder="1" applyAlignment="1" applyProtection="1">
      <alignment horizontal="center"/>
      <protection locked="0"/>
    </xf>
    <xf numFmtId="0" fontId="97" fillId="0" borderId="28" xfId="0" applyFont="1" applyBorder="1" applyAlignment="1" applyProtection="1">
      <alignment horizontal="center" wrapText="1"/>
      <protection locked="0"/>
    </xf>
    <xf numFmtId="0" fontId="97" fillId="0" borderId="26" xfId="0" applyFont="1" applyBorder="1" applyAlignment="1" applyProtection="1">
      <alignment horizontal="center"/>
      <protection locked="0"/>
    </xf>
    <xf numFmtId="172" fontId="97" fillId="0" borderId="28" xfId="0" applyNumberFormat="1" applyFont="1" applyBorder="1" applyAlignment="1" applyProtection="1">
      <alignment horizontal="center" wrapText="1"/>
      <protection locked="0"/>
    </xf>
    <xf numFmtId="9" fontId="93" fillId="0" borderId="26" xfId="24" applyFont="1" applyBorder="1" applyAlignment="1" applyProtection="1">
      <alignment horizontal="center" wrapText="1"/>
      <protection locked="0"/>
    </xf>
    <xf numFmtId="0" fontId="96" fillId="0" borderId="16" xfId="0" applyFont="1" applyBorder="1" applyAlignment="1" applyProtection="1">
      <alignment horizontal="center"/>
      <protection locked="0"/>
    </xf>
    <xf numFmtId="0" fontId="96" fillId="0" borderId="0" xfId="0" applyFont="1" applyAlignment="1" applyProtection="1">
      <alignment horizontal="center" vertical="center"/>
      <protection locked="0"/>
    </xf>
    <xf numFmtId="0" fontId="96" fillId="0" borderId="84" xfId="0" applyFont="1" applyBorder="1" applyAlignment="1" applyProtection="1">
      <alignment horizontal="center" vertical="center"/>
      <protection locked="0"/>
    </xf>
    <xf numFmtId="0" fontId="96" fillId="0" borderId="83" xfId="0" applyFont="1" applyBorder="1" applyAlignment="1" applyProtection="1">
      <alignment horizontal="center" vertical="center"/>
      <protection locked="0"/>
    </xf>
    <xf numFmtId="169" fontId="96" fillId="0" borderId="83" xfId="25" applyNumberFormat="1" applyFont="1" applyBorder="1" applyAlignment="1" applyProtection="1">
      <alignment horizontal="center" vertical="center"/>
      <protection locked="0"/>
    </xf>
    <xf numFmtId="168" fontId="96" fillId="0" borderId="82" xfId="25" applyNumberFormat="1" applyFont="1" applyBorder="1" applyAlignment="1" applyProtection="1">
      <alignment horizontal="center" vertical="center"/>
      <protection locked="0"/>
    </xf>
    <xf numFmtId="2" fontId="97" fillId="0" borderId="28" xfId="0" applyNumberFormat="1" applyFont="1" applyBorder="1" applyAlignment="1" applyProtection="1">
      <alignment horizontal="center"/>
      <protection locked="0"/>
    </xf>
    <xf numFmtId="0" fontId="93" fillId="0" borderId="28" xfId="0" applyFont="1" applyBorder="1" applyAlignment="1" applyProtection="1">
      <alignment horizontal="center"/>
      <protection locked="0"/>
    </xf>
    <xf numFmtId="0" fontId="92" fillId="0" borderId="0" xfId="0" applyFont="1" applyAlignment="1" applyProtection="1">
      <alignment horizontal="center" vertical="center"/>
      <protection locked="0"/>
    </xf>
    <xf numFmtId="0" fontId="93" fillId="0" borderId="0" xfId="0" applyFont="1" applyAlignment="1" applyProtection="1">
      <alignment horizontal="center" vertical="center"/>
      <protection locked="0"/>
    </xf>
    <xf numFmtId="1" fontId="93" fillId="0" borderId="14" xfId="0" applyNumberFormat="1" applyFont="1" applyBorder="1" applyAlignment="1" applyProtection="1">
      <alignment horizontal="center" vertical="center"/>
      <protection locked="0"/>
    </xf>
    <xf numFmtId="0" fontId="93" fillId="0" borderId="14" xfId="0" applyFont="1" applyBorder="1" applyAlignment="1" applyProtection="1">
      <alignment horizontal="center" vertical="center"/>
      <protection locked="0"/>
    </xf>
    <xf numFmtId="9" fontId="93" fillId="0" borderId="13" xfId="24" applyFont="1" applyBorder="1" applyAlignment="1" applyProtection="1">
      <alignment horizontal="center" vertical="center"/>
      <protection locked="0"/>
    </xf>
    <xf numFmtId="0" fontId="95" fillId="0" borderId="16" xfId="0" applyFont="1" applyBorder="1" applyAlignment="1" applyProtection="1">
      <alignment horizontal="center" vertical="center"/>
      <protection locked="0"/>
    </xf>
    <xf numFmtId="1" fontId="96" fillId="0" borderId="0" xfId="0" applyNumberFormat="1" applyFont="1" applyAlignment="1">
      <alignment horizontal="center" vertical="center" textRotation="90"/>
    </xf>
    <xf numFmtId="0" fontId="96" fillId="0" borderId="0" xfId="0" applyFont="1" applyAlignment="1">
      <alignment horizontal="center" vertical="center" textRotation="90"/>
    </xf>
    <xf numFmtId="0" fontId="96" fillId="0" borderId="0" xfId="0" applyFont="1" applyAlignment="1" applyProtection="1">
      <alignment vertical="center"/>
      <protection locked="0"/>
    </xf>
    <xf numFmtId="0" fontId="94" fillId="0" borderId="0" xfId="0" applyFont="1" applyAlignment="1" applyProtection="1">
      <alignment horizontal="center" vertical="center"/>
      <protection locked="0"/>
    </xf>
    <xf numFmtId="0" fontId="94" fillId="0" borderId="14" xfId="0" applyFont="1" applyBorder="1" applyAlignment="1" applyProtection="1">
      <alignment horizontal="center" vertical="center"/>
      <protection locked="0"/>
    </xf>
    <xf numFmtId="173" fontId="50" fillId="36" borderId="28" xfId="0" applyNumberFormat="1" applyFont="1" applyFill="1" applyBorder="1" applyAlignment="1">
      <alignment horizontal="left"/>
    </xf>
    <xf numFmtId="170" fontId="48" fillId="34" borderId="0" xfId="0" applyNumberFormat="1" applyFont="1" applyFill="1" applyAlignment="1">
      <alignment vertical="center"/>
    </xf>
    <xf numFmtId="4" fontId="99" fillId="18" borderId="5" xfId="0" applyNumberFormat="1" applyFont="1" applyFill="1" applyBorder="1" applyAlignment="1">
      <alignment horizontal="center"/>
    </xf>
    <xf numFmtId="173" fontId="100" fillId="0" borderId="0" xfId="0" applyNumberFormat="1" applyFont="1" applyAlignment="1">
      <alignment horizontal="center" vertical="center" wrapText="1"/>
    </xf>
    <xf numFmtId="14" fontId="100" fillId="0" borderId="0" xfId="0" applyNumberFormat="1" applyFont="1" applyAlignment="1">
      <alignment horizontal="center" vertical="center" wrapText="1"/>
    </xf>
    <xf numFmtId="0" fontId="50" fillId="37" borderId="30" xfId="0" applyFont="1" applyFill="1" applyBorder="1" applyAlignment="1">
      <alignment horizontal="left"/>
    </xf>
    <xf numFmtId="0" fontId="50" fillId="38" borderId="6" xfId="0" applyFont="1" applyFill="1" applyBorder="1" applyAlignment="1">
      <alignment horizontal="left"/>
    </xf>
    <xf numFmtId="0" fontId="50" fillId="38" borderId="6" xfId="0" applyFont="1" applyFill="1" applyBorder="1" applyAlignment="1">
      <alignment horizontal="center"/>
    </xf>
    <xf numFmtId="0" fontId="50" fillId="38" borderId="6" xfId="0" applyFont="1" applyFill="1" applyBorder="1" applyAlignment="1">
      <alignment horizontal="left" indent="1"/>
    </xf>
    <xf numFmtId="1" fontId="50" fillId="38" borderId="30" xfId="0" applyNumberFormat="1" applyFont="1" applyFill="1" applyBorder="1" applyAlignment="1">
      <alignment horizontal="center"/>
    </xf>
    <xf numFmtId="171" fontId="50" fillId="38" borderId="6" xfId="0" applyNumberFormat="1" applyFont="1" applyFill="1" applyBorder="1" applyAlignment="1">
      <alignment horizontal="center"/>
    </xf>
    <xf numFmtId="2" fontId="50" fillId="38" borderId="30" xfId="0" applyNumberFormat="1" applyFont="1" applyFill="1" applyBorder="1" applyAlignment="1">
      <alignment horizontal="center"/>
    </xf>
    <xf numFmtId="0" fontId="47" fillId="38" borderId="30" xfId="0" applyFont="1" applyFill="1" applyBorder="1" applyAlignment="1">
      <alignment horizontal="center"/>
    </xf>
    <xf numFmtId="0" fontId="50" fillId="38" borderId="30" xfId="0" applyFont="1" applyFill="1" applyBorder="1" applyAlignment="1">
      <alignment horizontal="center"/>
    </xf>
    <xf numFmtId="1" fontId="50" fillId="37" borderId="30" xfId="0" applyNumberFormat="1" applyFont="1" applyFill="1" applyBorder="1" applyAlignment="1">
      <alignment horizontal="center"/>
    </xf>
    <xf numFmtId="4" fontId="50" fillId="37" borderId="6" xfId="0" applyNumberFormat="1" applyFont="1" applyFill="1" applyBorder="1" applyAlignment="1">
      <alignment horizontal="center"/>
    </xf>
    <xf numFmtId="3" fontId="50" fillId="37" borderId="6" xfId="0" applyNumberFormat="1" applyFont="1" applyFill="1" applyBorder="1" applyAlignment="1">
      <alignment horizontal="center"/>
    </xf>
    <xf numFmtId="0" fontId="50" fillId="39" borderId="27" xfId="0" applyFont="1" applyFill="1" applyBorder="1" applyAlignment="1">
      <alignment horizontal="left"/>
    </xf>
    <xf numFmtId="0" fontId="50" fillId="40" borderId="28" xfId="0" applyFont="1" applyFill="1" applyBorder="1" applyAlignment="1">
      <alignment horizontal="left"/>
    </xf>
    <xf numFmtId="0" fontId="50" fillId="40" borderId="28" xfId="0" applyFont="1" applyFill="1" applyBorder="1" applyAlignment="1">
      <alignment horizontal="center"/>
    </xf>
    <xf numFmtId="0" fontId="50" fillId="40" borderId="28" xfId="0" applyFont="1" applyFill="1" applyBorder="1" applyAlignment="1">
      <alignment horizontal="left" indent="1"/>
    </xf>
    <xf numFmtId="1" fontId="50" fillId="40" borderId="27" xfId="0" applyNumberFormat="1" applyFont="1" applyFill="1" applyBorder="1" applyAlignment="1">
      <alignment horizontal="center"/>
    </xf>
    <xf numFmtId="171" fontId="50" fillId="40" borderId="28" xfId="0" applyNumberFormat="1" applyFont="1" applyFill="1" applyBorder="1" applyAlignment="1">
      <alignment horizontal="center"/>
    </xf>
    <xf numFmtId="2" fontId="50" fillId="40" borderId="27" xfId="0" applyNumberFormat="1" applyFont="1" applyFill="1" applyBorder="1" applyAlignment="1">
      <alignment horizontal="center"/>
    </xf>
    <xf numFmtId="0" fontId="47" fillId="40" borderId="27" xfId="0" applyFont="1" applyFill="1" applyBorder="1" applyAlignment="1">
      <alignment horizontal="center"/>
    </xf>
    <xf numFmtId="0" fontId="50" fillId="40" borderId="27" xfId="0" applyFont="1" applyFill="1" applyBorder="1" applyAlignment="1">
      <alignment horizontal="center"/>
    </xf>
    <xf numFmtId="1" fontId="50" fillId="39" borderId="27" xfId="0" applyNumberFormat="1" applyFont="1" applyFill="1" applyBorder="1" applyAlignment="1">
      <alignment horizontal="center"/>
    </xf>
    <xf numFmtId="4" fontId="50" fillId="39" borderId="28" xfId="0" applyNumberFormat="1" applyFont="1" applyFill="1" applyBorder="1" applyAlignment="1">
      <alignment horizontal="center"/>
    </xf>
    <xf numFmtId="3" fontId="50" fillId="39" borderId="28" xfId="0" applyNumberFormat="1" applyFont="1" applyFill="1" applyBorder="1" applyAlignment="1">
      <alignment horizontal="center"/>
    </xf>
    <xf numFmtId="168" fontId="47" fillId="32" borderId="30" xfId="0" applyNumberFormat="1" applyFont="1" applyFill="1" applyBorder="1" applyAlignment="1">
      <alignment horizontal="center" vertical="center" wrapText="1"/>
    </xf>
    <xf numFmtId="0" fontId="50" fillId="40" borderId="28" xfId="0" quotePrefix="1" applyFont="1" applyFill="1" applyBorder="1" applyAlignment="1">
      <alignment horizontal="left"/>
    </xf>
    <xf numFmtId="173" fontId="50" fillId="40" borderId="28" xfId="0" applyNumberFormat="1" applyFont="1" applyFill="1" applyBorder="1" applyAlignment="1">
      <alignment horizontal="left"/>
    </xf>
    <xf numFmtId="173" fontId="50" fillId="38" borderId="6" xfId="0" applyNumberFormat="1" applyFont="1" applyFill="1" applyBorder="1" applyAlignment="1">
      <alignment horizontal="left"/>
    </xf>
    <xf numFmtId="0" fontId="50" fillId="41" borderId="30" xfId="0" applyFont="1" applyFill="1" applyBorder="1" applyAlignment="1">
      <alignment horizontal="left"/>
    </xf>
    <xf numFmtId="0" fontId="50" fillId="42" borderId="6" xfId="0" applyFont="1" applyFill="1" applyBorder="1" applyAlignment="1">
      <alignment horizontal="left"/>
    </xf>
    <xf numFmtId="0" fontId="50" fillId="42" borderId="6" xfId="0" applyFont="1" applyFill="1" applyBorder="1" applyAlignment="1">
      <alignment horizontal="center"/>
    </xf>
    <xf numFmtId="0" fontId="47" fillId="42" borderId="6" xfId="0" applyFont="1" applyFill="1" applyBorder="1" applyAlignment="1">
      <alignment horizontal="left" indent="2"/>
    </xf>
    <xf numFmtId="1" fontId="50" fillId="42" borderId="30" xfId="0" applyNumberFormat="1" applyFont="1" applyFill="1" applyBorder="1" applyAlignment="1">
      <alignment horizontal="center"/>
    </xf>
    <xf numFmtId="171" fontId="50" fillId="42" borderId="6" xfId="0" applyNumberFormat="1" applyFont="1" applyFill="1" applyBorder="1" applyAlignment="1">
      <alignment horizontal="center"/>
    </xf>
    <xf numFmtId="2" fontId="50" fillId="42" borderId="30" xfId="0" applyNumberFormat="1" applyFont="1" applyFill="1" applyBorder="1" applyAlignment="1">
      <alignment horizontal="center"/>
    </xf>
    <xf numFmtId="0" fontId="47" fillId="42" borderId="30" xfId="0" applyFont="1" applyFill="1" applyBorder="1" applyAlignment="1">
      <alignment horizontal="center"/>
    </xf>
    <xf numFmtId="0" fontId="50" fillId="42" borderId="30" xfId="0" applyFont="1" applyFill="1" applyBorder="1" applyAlignment="1">
      <alignment horizontal="center"/>
    </xf>
    <xf numFmtId="1" fontId="50" fillId="41" borderId="30" xfId="0" applyNumberFormat="1" applyFont="1" applyFill="1" applyBorder="1" applyAlignment="1">
      <alignment horizontal="center"/>
    </xf>
    <xf numFmtId="4" fontId="50" fillId="41" borderId="6" xfId="0" applyNumberFormat="1" applyFont="1" applyFill="1" applyBorder="1" applyAlignment="1">
      <alignment horizontal="center"/>
    </xf>
    <xf numFmtId="3" fontId="50" fillId="41" borderId="6" xfId="0" applyNumberFormat="1" applyFont="1" applyFill="1" applyBorder="1" applyAlignment="1">
      <alignment horizontal="center"/>
    </xf>
    <xf numFmtId="173" fontId="50" fillId="42" borderId="6" xfId="0" applyNumberFormat="1" applyFont="1" applyFill="1" applyBorder="1" applyAlignment="1">
      <alignment horizontal="left"/>
    </xf>
    <xf numFmtId="0" fontId="50" fillId="31" borderId="30" xfId="0" applyFont="1" applyFill="1" applyBorder="1" applyAlignment="1">
      <alignment horizontal="left"/>
    </xf>
    <xf numFmtId="168" fontId="54" fillId="0" borderId="0" xfId="24" applyNumberFormat="1" applyFont="1" applyAlignment="1"/>
    <xf numFmtId="168" fontId="52" fillId="0" borderId="0" xfId="0" applyNumberFormat="1" applyFont="1" applyAlignment="1">
      <alignment horizontal="center" vertical="center"/>
    </xf>
    <xf numFmtId="168" fontId="48" fillId="0" borderId="28" xfId="24" applyNumberFormat="1" applyFont="1" applyFill="1" applyBorder="1" applyAlignment="1">
      <alignment horizontal="center" vertical="center"/>
    </xf>
    <xf numFmtId="168" fontId="47" fillId="14" borderId="6" xfId="24" applyNumberFormat="1" applyFont="1" applyFill="1" applyBorder="1" applyAlignment="1">
      <alignment horizontal="center" vertical="center"/>
    </xf>
    <xf numFmtId="168" fontId="47" fillId="0" borderId="0" xfId="24" applyNumberFormat="1" applyFont="1" applyAlignment="1"/>
    <xf numFmtId="9" fontId="89" fillId="32" borderId="6" xfId="24" applyFont="1" applyFill="1" applyBorder="1" applyAlignment="1">
      <alignment horizontal="center" vertical="center"/>
    </xf>
    <xf numFmtId="181" fontId="89" fillId="0" borderId="0" xfId="0" applyNumberFormat="1" applyFont="1" applyAlignment="1">
      <alignment horizontal="center" vertical="center" wrapText="1"/>
    </xf>
    <xf numFmtId="0" fontId="89" fillId="0" borderId="0" xfId="0" applyFont="1" applyAlignment="1">
      <alignment horizontal="center" vertical="center" wrapText="1"/>
    </xf>
    <xf numFmtId="0" fontId="89" fillId="0" borderId="0" xfId="0" applyFont="1" applyAlignment="1" applyProtection="1">
      <alignment horizontal="center" vertical="center" wrapText="1"/>
      <protection locked="0"/>
    </xf>
    <xf numFmtId="168" fontId="47" fillId="0" borderId="23" xfId="0" applyNumberFormat="1" applyFont="1" applyBorder="1" applyAlignment="1">
      <alignment horizontal="center" vertical="center"/>
    </xf>
    <xf numFmtId="0" fontId="93" fillId="0" borderId="43" xfId="0" applyFont="1" applyBorder="1" applyAlignment="1" applyProtection="1">
      <alignment horizontal="center" wrapText="1"/>
      <protection locked="0"/>
    </xf>
    <xf numFmtId="0" fontId="101" fillId="0" borderId="0" xfId="0" applyFont="1" applyAlignment="1">
      <alignment horizontal="center" vertical="center" wrapText="1"/>
    </xf>
    <xf numFmtId="0" fontId="102" fillId="0" borderId="45" xfId="0" applyFont="1" applyBorder="1" applyAlignment="1" applyProtection="1">
      <alignment horizontal="center" wrapText="1"/>
      <protection locked="0"/>
    </xf>
    <xf numFmtId="0" fontId="103" fillId="0" borderId="0" xfId="0" applyFont="1" applyAlignment="1">
      <alignment horizontal="center" vertical="center" wrapText="1"/>
    </xf>
    <xf numFmtId="0" fontId="104" fillId="0" borderId="0" xfId="0" applyFont="1" applyAlignment="1">
      <alignment horizontal="center" vertical="center" wrapText="1"/>
    </xf>
    <xf numFmtId="2" fontId="89" fillId="32" borderId="6" xfId="24" applyNumberFormat="1" applyFont="1" applyFill="1" applyBorder="1" applyAlignment="1">
      <alignment horizontal="center" vertical="center"/>
    </xf>
    <xf numFmtId="0" fontId="104" fillId="0" borderId="0" xfId="0" applyFont="1" applyAlignment="1">
      <alignment vertical="center" wrapText="1"/>
    </xf>
    <xf numFmtId="176" fontId="48" fillId="18" borderId="92" xfId="0" applyNumberFormat="1" applyFont="1" applyFill="1" applyBorder="1" applyAlignment="1">
      <alignment horizontal="center" vertical="center"/>
    </xf>
    <xf numFmtId="176" fontId="47" fillId="0" borderId="0" xfId="0" applyNumberFormat="1" applyFont="1" applyAlignment="1">
      <alignment horizontal="center"/>
    </xf>
    <xf numFmtId="176" fontId="47" fillId="0" borderId="29" xfId="0" applyNumberFormat="1" applyFont="1" applyBorder="1" applyAlignment="1">
      <alignment horizontal="center"/>
    </xf>
    <xf numFmtId="176" fontId="47" fillId="0" borderId="16" xfId="0" applyNumberFormat="1" applyFont="1" applyBorder="1" applyAlignment="1">
      <alignment horizontal="center"/>
    </xf>
    <xf numFmtId="176" fontId="47" fillId="0" borderId="28" xfId="0" applyNumberFormat="1" applyFont="1" applyBorder="1" applyAlignment="1">
      <alignment horizontal="center"/>
    </xf>
    <xf numFmtId="176" fontId="48" fillId="18" borderId="0" xfId="0" applyNumberFormat="1" applyFont="1" applyFill="1" applyAlignment="1">
      <alignment horizontal="center" vertical="center"/>
    </xf>
    <xf numFmtId="185" fontId="47" fillId="0" borderId="6" xfId="0" applyNumberFormat="1" applyFont="1" applyBorder="1" applyAlignment="1">
      <alignment horizontal="center"/>
    </xf>
    <xf numFmtId="0" fontId="50" fillId="43" borderId="27" xfId="0" applyFont="1" applyFill="1" applyBorder="1" applyAlignment="1">
      <alignment horizontal="left"/>
    </xf>
    <xf numFmtId="0" fontId="50" fillId="36" borderId="28" xfId="0" quotePrefix="1" applyFont="1" applyFill="1" applyBorder="1" applyAlignment="1">
      <alignment horizontal="left"/>
    </xf>
    <xf numFmtId="0" fontId="50" fillId="36" borderId="28" xfId="0" applyFont="1" applyFill="1" applyBorder="1" applyAlignment="1">
      <alignment horizontal="center"/>
    </xf>
    <xf numFmtId="0" fontId="50" fillId="36" borderId="28" xfId="0" applyFont="1" applyFill="1" applyBorder="1" applyAlignment="1">
      <alignment horizontal="left"/>
    </xf>
    <xf numFmtId="1" fontId="50" fillId="36" borderId="27" xfId="0" applyNumberFormat="1" applyFont="1" applyFill="1" applyBorder="1" applyAlignment="1">
      <alignment horizontal="center"/>
    </xf>
    <xf numFmtId="171" fontId="50" fillId="36" borderId="28" xfId="0" applyNumberFormat="1" applyFont="1" applyFill="1" applyBorder="1" applyAlignment="1">
      <alignment horizontal="center"/>
    </xf>
    <xf numFmtId="2" fontId="50" fillId="36" borderId="27" xfId="0" applyNumberFormat="1" applyFont="1" applyFill="1" applyBorder="1" applyAlignment="1">
      <alignment horizontal="center"/>
    </xf>
    <xf numFmtId="0" fontId="47" fillId="36" borderId="27" xfId="0" applyFont="1" applyFill="1" applyBorder="1" applyAlignment="1">
      <alignment horizontal="center"/>
    </xf>
    <xf numFmtId="1" fontId="50" fillId="43" borderId="27" xfId="0" applyNumberFormat="1" applyFont="1" applyFill="1" applyBorder="1" applyAlignment="1">
      <alignment horizontal="center"/>
    </xf>
    <xf numFmtId="4" fontId="50" fillId="43" borderId="28" xfId="0" applyNumberFormat="1" applyFont="1" applyFill="1" applyBorder="1" applyAlignment="1">
      <alignment horizontal="center"/>
    </xf>
    <xf numFmtId="3" fontId="50" fillId="43" borderId="28" xfId="0" applyNumberFormat="1" applyFont="1" applyFill="1" applyBorder="1" applyAlignment="1">
      <alignment horizontal="center"/>
    </xf>
    <xf numFmtId="0" fontId="50" fillId="36" borderId="27" xfId="0" quotePrefix="1" applyFont="1" applyFill="1" applyBorder="1" applyAlignment="1">
      <alignment horizontal="center"/>
    </xf>
    <xf numFmtId="185" fontId="47" fillId="32" borderId="6" xfId="0" applyNumberFormat="1" applyFont="1" applyFill="1" applyBorder="1" applyAlignment="1">
      <alignment horizontal="center"/>
    </xf>
    <xf numFmtId="185" fontId="89" fillId="0" borderId="6" xfId="0" applyNumberFormat="1" applyFont="1" applyBorder="1" applyAlignment="1">
      <alignment horizontal="center"/>
    </xf>
    <xf numFmtId="185" fontId="47" fillId="33" borderId="6" xfId="0" applyNumberFormat="1" applyFont="1" applyFill="1" applyBorder="1" applyAlignment="1">
      <alignment horizontal="center"/>
    </xf>
    <xf numFmtId="185" fontId="54" fillId="18" borderId="6" xfId="0" applyNumberFormat="1" applyFont="1" applyFill="1" applyBorder="1" applyAlignment="1">
      <alignment horizontal="center"/>
    </xf>
    <xf numFmtId="4" fontId="99" fillId="18" borderId="30" xfId="0" applyNumberFormat="1" applyFont="1" applyFill="1" applyBorder="1" applyAlignment="1">
      <alignment horizontal="center"/>
    </xf>
    <xf numFmtId="2" fontId="89" fillId="18" borderId="86" xfId="0" applyNumberFormat="1" applyFont="1" applyFill="1" applyBorder="1" applyAlignment="1">
      <alignment horizontal="center" wrapText="1"/>
    </xf>
    <xf numFmtId="2" fontId="89" fillId="18" borderId="0" xfId="0" applyNumberFormat="1" applyFont="1" applyFill="1" applyAlignment="1">
      <alignment horizontal="center" vertical="center"/>
    </xf>
    <xf numFmtId="2" fontId="105" fillId="18" borderId="0" xfId="0" applyNumberFormat="1" applyFont="1" applyFill="1" applyAlignment="1">
      <alignment horizontal="center" vertical="center"/>
    </xf>
    <xf numFmtId="2" fontId="105" fillId="0" borderId="0" xfId="0" applyNumberFormat="1" applyFont="1" applyAlignment="1">
      <alignment horizontal="center" vertical="center"/>
    </xf>
    <xf numFmtId="2" fontId="89" fillId="0" borderId="0" xfId="0" applyNumberFormat="1" applyFont="1" applyAlignment="1">
      <alignment horizontal="center"/>
    </xf>
    <xf numFmtId="2" fontId="106" fillId="0" borderId="0" xfId="0" applyNumberFormat="1" applyFont="1" applyAlignment="1">
      <alignment horizontal="center" vertical="center"/>
    </xf>
    <xf numFmtId="0" fontId="107" fillId="0" borderId="0" xfId="0" applyFont="1" applyAlignment="1">
      <alignment horizontal="center" vertical="center"/>
    </xf>
    <xf numFmtId="178" fontId="47" fillId="32" borderId="29" xfId="0" applyNumberFormat="1" applyFont="1" applyFill="1" applyBorder="1" applyAlignment="1">
      <alignment horizontal="center" wrapText="1"/>
    </xf>
    <xf numFmtId="178" fontId="47" fillId="32" borderId="16" xfId="0" applyNumberFormat="1" applyFont="1" applyFill="1" applyBorder="1" applyAlignment="1">
      <alignment horizontal="center" wrapText="1"/>
    </xf>
    <xf numFmtId="178" fontId="47" fillId="32" borderId="13" xfId="0" applyNumberFormat="1" applyFont="1" applyFill="1" applyBorder="1" applyAlignment="1">
      <alignment horizontal="center" wrapText="1"/>
    </xf>
    <xf numFmtId="178" fontId="52" fillId="34" borderId="26" xfId="0" applyNumberFormat="1" applyFont="1" applyFill="1" applyBorder="1" applyAlignment="1">
      <alignment horizontal="center" wrapText="1"/>
    </xf>
    <xf numFmtId="178" fontId="54" fillId="33" borderId="13" xfId="0" applyNumberFormat="1" applyFont="1" applyFill="1" applyBorder="1" applyAlignment="1">
      <alignment horizontal="center" wrapText="1"/>
    </xf>
    <xf numFmtId="178" fontId="54" fillId="44" borderId="13" xfId="0" applyNumberFormat="1" applyFont="1" applyFill="1" applyBorder="1" applyAlignment="1">
      <alignment horizontal="center" wrapText="1"/>
    </xf>
    <xf numFmtId="178" fontId="48" fillId="44" borderId="13" xfId="0" applyNumberFormat="1" applyFont="1" applyFill="1" applyBorder="1" applyAlignment="1">
      <alignment horizontal="center" wrapText="1"/>
    </xf>
    <xf numFmtId="178" fontId="54" fillId="45" borderId="16" xfId="0" applyNumberFormat="1" applyFont="1" applyFill="1" applyBorder="1" applyAlignment="1">
      <alignment horizontal="center" wrapText="1"/>
    </xf>
    <xf numFmtId="0" fontId="38" fillId="0" borderId="29" xfId="0" applyFont="1" applyBorder="1" applyAlignment="1">
      <alignment horizontal="center" vertical="center"/>
    </xf>
    <xf numFmtId="0" fontId="0" fillId="0" borderId="0" xfId="0" applyAlignment="1">
      <alignment horizontal="left" indent="1"/>
    </xf>
    <xf numFmtId="170" fontId="105" fillId="32" borderId="5" xfId="0" applyNumberFormat="1" applyFont="1" applyFill="1" applyBorder="1" applyAlignment="1">
      <alignment horizontal="center" vertical="center"/>
    </xf>
    <xf numFmtId="0" fontId="52" fillId="0" borderId="29" xfId="0" applyFont="1" applyBorder="1" applyAlignment="1">
      <alignment horizontal="center" vertical="center"/>
    </xf>
    <xf numFmtId="0" fontId="52" fillId="0" borderId="28" xfId="0" applyFont="1" applyBorder="1" applyAlignment="1">
      <alignment horizontal="center" vertical="center"/>
    </xf>
    <xf numFmtId="0" fontId="53" fillId="0" borderId="29" xfId="0" applyFont="1" applyBorder="1" applyAlignment="1">
      <alignment horizontal="center" vertical="center"/>
    </xf>
    <xf numFmtId="0" fontId="53" fillId="0" borderId="28" xfId="0" applyFont="1" applyBorder="1" applyAlignment="1">
      <alignment horizontal="center" vertical="center"/>
    </xf>
    <xf numFmtId="0" fontId="37" fillId="0" borderId="29" xfId="0" applyFont="1" applyBorder="1" applyAlignment="1">
      <alignment horizontal="center" vertical="center"/>
    </xf>
    <xf numFmtId="0" fontId="37" fillId="0" borderId="28" xfId="0" applyFont="1" applyBorder="1" applyAlignment="1">
      <alignment horizontal="center" vertical="center"/>
    </xf>
    <xf numFmtId="168" fontId="52" fillId="0" borderId="29" xfId="0" applyNumberFormat="1" applyFont="1" applyBorder="1" applyAlignment="1">
      <alignment horizontal="center" vertical="center"/>
    </xf>
    <xf numFmtId="168" fontId="52" fillId="0" borderId="28" xfId="0" applyNumberFormat="1" applyFont="1" applyBorder="1" applyAlignment="1">
      <alignment horizontal="center" vertical="center"/>
    </xf>
    <xf numFmtId="171" fontId="52" fillId="0" borderId="28" xfId="0" applyNumberFormat="1" applyFont="1" applyBorder="1" applyAlignment="1">
      <alignment horizontal="center" vertical="center"/>
    </xf>
    <xf numFmtId="2" fontId="47" fillId="0" borderId="28" xfId="0" applyNumberFormat="1" applyFont="1" applyBorder="1" applyAlignment="1">
      <alignment horizontal="center" vertical="center"/>
    </xf>
    <xf numFmtId="0" fontId="104" fillId="0" borderId="0" xfId="0" applyFont="1" applyAlignment="1">
      <alignment horizontal="left" vertical="center" wrapText="1"/>
    </xf>
    <xf numFmtId="0" fontId="47" fillId="0" borderId="93" xfId="0" applyFont="1" applyBorder="1" applyAlignment="1">
      <alignment horizontal="center" vertical="center" wrapText="1"/>
    </xf>
    <xf numFmtId="0" fontId="89" fillId="0" borderId="93" xfId="0" applyFont="1" applyBorder="1" applyAlignment="1">
      <alignment horizontal="center" vertical="center" wrapText="1"/>
    </xf>
    <xf numFmtId="0" fontId="47" fillId="0" borderId="93" xfId="0" applyFont="1" applyBorder="1" applyAlignment="1">
      <alignment horizontal="left" vertical="center" wrapText="1"/>
    </xf>
    <xf numFmtId="0" fontId="47" fillId="0" borderId="93" xfId="0" applyFont="1" applyBorder="1" applyAlignment="1">
      <alignment vertical="center" wrapText="1"/>
    </xf>
    <xf numFmtId="0" fontId="47" fillId="0" borderId="91" xfId="0" applyFont="1" applyBorder="1" applyAlignment="1">
      <alignment horizontal="center" vertical="center" wrapText="1"/>
    </xf>
    <xf numFmtId="0" fontId="89" fillId="0" borderId="91" xfId="0" applyFont="1" applyBorder="1" applyAlignment="1">
      <alignment horizontal="center" vertical="center" wrapText="1"/>
    </xf>
    <xf numFmtId="0" fontId="47" fillId="0" borderId="91" xfId="0" applyFont="1" applyBorder="1" applyAlignment="1">
      <alignment horizontal="left" vertical="center" wrapText="1"/>
    </xf>
    <xf numFmtId="0" fontId="47" fillId="0" borderId="91" xfId="0" applyFont="1" applyBorder="1" applyAlignment="1">
      <alignment vertical="center" wrapText="1"/>
    </xf>
    <xf numFmtId="0" fontId="18" fillId="0" borderId="0" xfId="0" applyFont="1" applyAlignment="1">
      <alignment horizontal="left" indent="1"/>
    </xf>
    <xf numFmtId="170" fontId="62" fillId="0" borderId="0" xfId="0" applyNumberFormat="1" applyFont="1" applyAlignment="1" applyProtection="1">
      <alignment horizontal="center" vertical="center"/>
      <protection locked="0"/>
    </xf>
    <xf numFmtId="0" fontId="94" fillId="0" borderId="28" xfId="0" applyFont="1" applyBorder="1" applyAlignment="1" applyProtection="1">
      <alignment horizontal="center" vertical="center"/>
      <protection locked="0"/>
    </xf>
    <xf numFmtId="0" fontId="93" fillId="0" borderId="28" xfId="0" applyFont="1" applyBorder="1" applyAlignment="1" applyProtection="1">
      <alignment horizontal="center" vertical="center"/>
      <protection locked="0"/>
    </xf>
    <xf numFmtId="0" fontId="63" fillId="18" borderId="0" xfId="0" applyFont="1" applyFill="1" applyAlignment="1" applyProtection="1">
      <alignment horizontal="left"/>
      <protection locked="0"/>
    </xf>
    <xf numFmtId="0" fontId="63" fillId="0" borderId="0" xfId="0" applyFont="1" applyAlignment="1" applyProtection="1">
      <alignment horizontal="left" vertical="center"/>
      <protection locked="0"/>
    </xf>
    <xf numFmtId="170" fontId="63" fillId="32" borderId="0" xfId="0" applyNumberFormat="1" applyFont="1" applyFill="1" applyAlignment="1" applyProtection="1">
      <alignment horizontal="left" vertical="center"/>
      <protection locked="0"/>
    </xf>
    <xf numFmtId="0" fontId="63" fillId="0" borderId="0" xfId="0" applyFont="1" applyAlignment="1" applyProtection="1">
      <alignment horizontal="left"/>
      <protection locked="0"/>
    </xf>
    <xf numFmtId="0" fontId="94" fillId="0" borderId="14" xfId="0" applyFont="1" applyBorder="1" applyAlignment="1" applyProtection="1">
      <alignment horizontal="center"/>
      <protection locked="0"/>
    </xf>
    <xf numFmtId="0" fontId="94" fillId="0" borderId="1" xfId="0" applyFont="1" applyBorder="1" applyAlignment="1" applyProtection="1">
      <alignment horizontal="center" vertical="center"/>
      <protection locked="0"/>
    </xf>
    <xf numFmtId="0" fontId="93" fillId="0" borderId="1" xfId="0" applyFont="1" applyBorder="1" applyAlignment="1" applyProtection="1">
      <alignment horizontal="center" vertical="center"/>
      <protection locked="0"/>
    </xf>
    <xf numFmtId="170" fontId="47" fillId="32" borderId="94" xfId="0" applyNumberFormat="1" applyFont="1" applyFill="1" applyBorder="1" applyAlignment="1">
      <alignment horizontal="center" vertical="center"/>
    </xf>
    <xf numFmtId="0" fontId="93" fillId="0" borderId="34" xfId="0" applyFont="1" applyBorder="1" applyAlignment="1" applyProtection="1">
      <alignment horizontal="center" vertical="center"/>
      <protection locked="0"/>
    </xf>
    <xf numFmtId="0" fontId="52" fillId="0" borderId="27" xfId="0" applyFont="1" applyBorder="1" applyAlignment="1">
      <alignment horizontal="center" vertical="center"/>
    </xf>
    <xf numFmtId="170" fontId="52" fillId="32" borderId="95" xfId="0" applyNumberFormat="1" applyFont="1" applyFill="1" applyBorder="1" applyAlignment="1">
      <alignment horizontal="center" vertical="center"/>
    </xf>
    <xf numFmtId="170" fontId="87" fillId="34" borderId="0" xfId="0" applyNumberFormat="1" applyFont="1" applyFill="1" applyAlignment="1" applyProtection="1">
      <alignment horizontal="center" vertical="center" wrapText="1"/>
      <protection locked="0"/>
    </xf>
    <xf numFmtId="4" fontId="78" fillId="0" borderId="0" xfId="0" applyNumberFormat="1" applyFont="1" applyAlignment="1" applyProtection="1">
      <alignment horizontal="center"/>
      <protection locked="0"/>
    </xf>
    <xf numFmtId="4" fontId="78" fillId="0" borderId="0" xfId="0" applyNumberFormat="1" applyFont="1"/>
    <xf numFmtId="4" fontId="78" fillId="18" borderId="5" xfId="0" applyNumberFormat="1" applyFont="1" applyFill="1" applyBorder="1" applyAlignment="1">
      <alignment horizontal="center"/>
    </xf>
    <xf numFmtId="4" fontId="108" fillId="0" borderId="28" xfId="0" applyNumberFormat="1" applyFont="1" applyBorder="1" applyAlignment="1" applyProtection="1">
      <alignment horizontal="center" vertical="center"/>
      <protection locked="0"/>
    </xf>
    <xf numFmtId="173" fontId="104" fillId="0" borderId="0" xfId="0" applyNumberFormat="1" applyFont="1" applyAlignment="1">
      <alignment horizontal="center" vertical="center" wrapText="1"/>
    </xf>
    <xf numFmtId="2" fontId="47" fillId="14" borderId="6" xfId="0" quotePrefix="1" applyNumberFormat="1" applyFont="1" applyFill="1" applyBorder="1" applyAlignment="1">
      <alignment horizontal="center" vertical="center"/>
    </xf>
    <xf numFmtId="0" fontId="110" fillId="0" borderId="28" xfId="0" applyFont="1" applyBorder="1" applyAlignment="1">
      <alignment horizontal="center" vertical="center"/>
    </xf>
    <xf numFmtId="0" fontId="98" fillId="0" borderId="16" xfId="0" applyFont="1" applyBorder="1" applyAlignment="1">
      <alignment horizontal="center" vertical="center" wrapText="1"/>
    </xf>
    <xf numFmtId="0" fontId="98" fillId="0" borderId="16" xfId="0" applyFont="1" applyBorder="1" applyAlignment="1">
      <alignment vertical="center" wrapText="1"/>
    </xf>
    <xf numFmtId="0" fontId="94" fillId="0" borderId="16" xfId="0" applyFont="1" applyBorder="1" applyAlignment="1" applyProtection="1">
      <alignment horizontal="center" vertical="center"/>
      <protection locked="0"/>
    </xf>
    <xf numFmtId="0" fontId="52" fillId="0" borderId="6" xfId="0" applyFont="1" applyBorder="1" applyAlignment="1">
      <alignment horizontal="right" indent="1"/>
    </xf>
    <xf numFmtId="0" fontId="52" fillId="0" borderId="6" xfId="0" quotePrefix="1" applyFont="1" applyBorder="1" applyAlignment="1">
      <alignment horizontal="right" indent="1"/>
    </xf>
    <xf numFmtId="0" fontId="47" fillId="0" borderId="33" xfId="0" quotePrefix="1" applyFont="1" applyBorder="1" applyAlignment="1">
      <alignment horizontal="center" vertical="center"/>
    </xf>
    <xf numFmtId="0" fontId="47" fillId="0" borderId="83" xfId="0" applyFont="1" applyBorder="1" applyAlignment="1">
      <alignment horizontal="left" vertical="center"/>
    </xf>
    <xf numFmtId="0" fontId="47" fillId="0" borderId="83" xfId="0" applyFont="1" applyBorder="1" applyAlignment="1">
      <alignment horizontal="center" vertical="center"/>
    </xf>
    <xf numFmtId="14" fontId="104" fillId="0" borderId="0" xfId="0" applyNumberFormat="1" applyFont="1" applyAlignment="1">
      <alignment horizontal="center" vertical="center" wrapText="1"/>
    </xf>
    <xf numFmtId="0" fontId="96" fillId="0" borderId="82" xfId="0" applyFont="1" applyBorder="1" applyAlignment="1" applyProtection="1">
      <alignment horizontal="center" vertical="center"/>
      <protection locked="0"/>
    </xf>
    <xf numFmtId="3" fontId="62" fillId="0" borderId="0" xfId="0" applyNumberFormat="1" applyFont="1" applyAlignment="1" applyProtection="1">
      <alignment horizontal="center" vertical="center"/>
      <protection locked="0"/>
    </xf>
    <xf numFmtId="0" fontId="94" fillId="0" borderId="82" xfId="0" applyFont="1" applyBorder="1" applyAlignment="1" applyProtection="1">
      <alignment horizontal="center"/>
      <protection locked="0"/>
    </xf>
    <xf numFmtId="0" fontId="49" fillId="32" borderId="6" xfId="0" applyFont="1" applyFill="1" applyBorder="1" applyAlignment="1">
      <alignment horizontal="center" vertical="center" wrapText="1"/>
    </xf>
    <xf numFmtId="0" fontId="87" fillId="0" borderId="0" xfId="0" applyFont="1" applyAlignment="1" applyProtection="1">
      <alignment horizontal="center" vertical="center"/>
      <protection locked="0"/>
    </xf>
    <xf numFmtId="0" fontId="65" fillId="0" borderId="16" xfId="0" applyFont="1" applyBorder="1" applyAlignment="1">
      <alignment horizontal="center" vertical="center"/>
    </xf>
    <xf numFmtId="0" fontId="65" fillId="0" borderId="84" xfId="0" applyFont="1" applyBorder="1" applyAlignment="1" applyProtection="1">
      <alignment horizontal="center" vertical="center"/>
      <protection locked="0"/>
    </xf>
    <xf numFmtId="0" fontId="65" fillId="0" borderId="83" xfId="0" applyFont="1" applyBorder="1" applyAlignment="1" applyProtection="1">
      <alignment horizontal="center" vertical="center"/>
      <protection locked="0"/>
    </xf>
    <xf numFmtId="169" fontId="65" fillId="0" borderId="83" xfId="25" applyNumberFormat="1" applyFont="1" applyBorder="1" applyAlignment="1" applyProtection="1">
      <alignment horizontal="center" vertical="center"/>
      <protection locked="0"/>
    </xf>
    <xf numFmtId="166" fontId="65" fillId="0" borderId="84" xfId="25" applyFont="1" applyBorder="1" applyAlignment="1" applyProtection="1">
      <alignment horizontal="center" vertical="center"/>
      <protection locked="0"/>
    </xf>
    <xf numFmtId="168" fontId="65" fillId="0" borderId="83" xfId="25" applyNumberFormat="1" applyFont="1" applyBorder="1" applyAlignment="1" applyProtection="1">
      <alignment horizontal="center" vertical="center"/>
      <protection locked="0"/>
    </xf>
    <xf numFmtId="1" fontId="65" fillId="0" borderId="83" xfId="25" applyNumberFormat="1" applyFont="1" applyBorder="1" applyAlignment="1" applyProtection="1">
      <alignment horizontal="center" vertical="center"/>
      <protection locked="0"/>
    </xf>
    <xf numFmtId="2" fontId="87" fillId="0" borderId="0" xfId="0" applyNumberFormat="1" applyFont="1" applyAlignment="1" applyProtection="1">
      <alignment horizontal="center" vertical="center"/>
      <protection locked="0"/>
    </xf>
    <xf numFmtId="0" fontId="65" fillId="0" borderId="0" xfId="0" applyFont="1" applyAlignment="1" applyProtection="1">
      <alignment vertical="center"/>
      <protection locked="0"/>
    </xf>
    <xf numFmtId="4" fontId="47" fillId="14" borderId="6" xfId="0" applyNumberFormat="1" applyFont="1" applyFill="1" applyBorder="1" applyAlignment="1">
      <alignment horizontal="center" vertical="center"/>
    </xf>
    <xf numFmtId="176" fontId="47" fillId="0" borderId="47" xfId="0" applyNumberFormat="1" applyFont="1" applyBorder="1" applyAlignment="1">
      <alignment horizontal="center" vertical="center"/>
    </xf>
    <xf numFmtId="0" fontId="60" fillId="0" borderId="0" xfId="0" quotePrefix="1" applyFont="1" applyAlignment="1">
      <alignment horizontal="center" vertical="center"/>
    </xf>
    <xf numFmtId="185" fontId="89" fillId="18" borderId="6" xfId="0" applyNumberFormat="1" applyFont="1" applyFill="1" applyBorder="1" applyAlignment="1">
      <alignment horizontal="center"/>
    </xf>
    <xf numFmtId="0" fontId="105" fillId="0" borderId="6" xfId="0" quotePrefix="1" applyFont="1" applyBorder="1" applyAlignment="1">
      <alignment horizontal="right" indent="1"/>
    </xf>
    <xf numFmtId="185" fontId="89" fillId="32" borderId="6" xfId="0" applyNumberFormat="1" applyFont="1" applyFill="1" applyBorder="1" applyAlignment="1">
      <alignment horizontal="center"/>
    </xf>
    <xf numFmtId="170" fontId="49" fillId="32" borderId="6" xfId="0" applyNumberFormat="1" applyFont="1" applyFill="1" applyBorder="1" applyAlignment="1">
      <alignment horizontal="center" vertical="center" wrapText="1"/>
    </xf>
    <xf numFmtId="0" fontId="18" fillId="0" borderId="0" xfId="0" applyFont="1"/>
    <xf numFmtId="0" fontId="18" fillId="0" borderId="0" xfId="0" applyFont="1" applyAlignment="1">
      <alignment horizontal="left"/>
    </xf>
    <xf numFmtId="0" fontId="0" fillId="0" borderId="0" xfId="0" quotePrefix="1"/>
    <xf numFmtId="0" fontId="0" fillId="0" borderId="0" xfId="0" quotePrefix="1" applyAlignment="1">
      <alignment horizontal="left"/>
    </xf>
    <xf numFmtId="0" fontId="18" fillId="0" borderId="0" xfId="0" applyFont="1" applyAlignment="1">
      <alignment horizontal="center"/>
    </xf>
    <xf numFmtId="0" fontId="111" fillId="46" borderId="96" xfId="0" applyFont="1" applyFill="1" applyBorder="1"/>
    <xf numFmtId="0" fontId="111" fillId="46" borderId="97" xfId="0" applyFont="1" applyFill="1" applyBorder="1" applyAlignment="1">
      <alignment horizontal="center"/>
    </xf>
    <xf numFmtId="0" fontId="0" fillId="0" borderId="0" xfId="0" applyAlignment="1">
      <alignment horizontal="center" vertical="center"/>
    </xf>
    <xf numFmtId="0" fontId="113" fillId="18" borderId="100" xfId="0" applyFont="1" applyFill="1" applyBorder="1" applyAlignment="1">
      <alignment horizontal="left" vertical="center"/>
    </xf>
    <xf numFmtId="0" fontId="0" fillId="0" borderId="101" xfId="0" applyBorder="1" applyAlignment="1">
      <alignment horizontal="center" vertical="center"/>
    </xf>
    <xf numFmtId="1" fontId="0" fillId="0" borderId="101" xfId="0" applyNumberFormat="1" applyBorder="1" applyAlignment="1">
      <alignment horizontal="center" vertical="center"/>
    </xf>
    <xf numFmtId="0" fontId="113" fillId="18" borderId="102" xfId="0" applyFont="1" applyFill="1" applyBorder="1" applyAlignment="1">
      <alignment horizontal="left" vertical="center"/>
    </xf>
    <xf numFmtId="0" fontId="0" fillId="0" borderId="0" xfId="0" applyAlignment="1">
      <alignment vertical="center"/>
    </xf>
    <xf numFmtId="0" fontId="0" fillId="0" borderId="0" xfId="0" applyAlignment="1">
      <alignment horizontal="left" vertical="center"/>
    </xf>
    <xf numFmtId="0" fontId="113" fillId="18" borderId="104" xfId="0" applyFont="1" applyFill="1" applyBorder="1" applyAlignment="1">
      <alignment horizontal="left" vertical="center"/>
    </xf>
    <xf numFmtId="0" fontId="113" fillId="18" borderId="105" xfId="0" applyFont="1" applyFill="1" applyBorder="1" applyAlignment="1">
      <alignment horizontal="left" vertical="center"/>
    </xf>
    <xf numFmtId="0" fontId="18" fillId="18" borderId="107" xfId="0" applyFont="1" applyFill="1" applyBorder="1" applyAlignment="1">
      <alignment horizontal="center" vertical="top"/>
    </xf>
    <xf numFmtId="0" fontId="18" fillId="18" borderId="55" xfId="0" applyFont="1" applyFill="1" applyBorder="1" applyAlignment="1">
      <alignment horizontal="left" vertical="top"/>
    </xf>
    <xf numFmtId="0" fontId="18" fillId="18" borderId="55" xfId="0" applyFont="1" applyFill="1" applyBorder="1" applyAlignment="1">
      <alignment horizontal="center" vertical="top" wrapText="1"/>
    </xf>
    <xf numFmtId="0" fontId="18" fillId="18" borderId="55" xfId="0" applyFont="1" applyFill="1" applyBorder="1" applyAlignment="1">
      <alignment horizontal="left" vertical="top" wrapText="1"/>
    </xf>
    <xf numFmtId="0" fontId="18" fillId="18" borderId="53" xfId="0" applyFont="1" applyFill="1" applyBorder="1" applyAlignment="1">
      <alignment horizontal="center" vertical="top" wrapText="1"/>
    </xf>
    <xf numFmtId="0" fontId="18" fillId="18" borderId="55" xfId="0" applyFont="1" applyFill="1" applyBorder="1" applyAlignment="1">
      <alignment horizontal="center" vertical="top"/>
    </xf>
    <xf numFmtId="0" fontId="18" fillId="18" borderId="53" xfId="0" applyFont="1" applyFill="1" applyBorder="1" applyAlignment="1">
      <alignment horizontal="center" vertical="top"/>
    </xf>
    <xf numFmtId="0" fontId="0" fillId="0" borderId="0" xfId="0" applyAlignment="1">
      <alignment vertical="top"/>
    </xf>
    <xf numFmtId="0" fontId="0" fillId="47" borderId="108" xfId="0" applyFill="1" applyBorder="1" applyAlignment="1">
      <alignment horizontal="center"/>
    </xf>
    <xf numFmtId="0" fontId="0" fillId="47" borderId="0" xfId="0" applyFill="1" applyAlignment="1">
      <alignment horizontal="center"/>
    </xf>
    <xf numFmtId="168" fontId="0" fillId="0" borderId="0" xfId="0" applyNumberFormat="1" applyAlignment="1">
      <alignment horizontal="center"/>
    </xf>
    <xf numFmtId="0" fontId="0" fillId="47" borderId="109" xfId="0" applyFill="1" applyBorder="1" applyAlignment="1">
      <alignment horizontal="center"/>
    </xf>
    <xf numFmtId="0" fontId="0" fillId="0" borderId="111" xfId="0" applyBorder="1" applyAlignment="1">
      <alignment horizontal="left"/>
    </xf>
    <xf numFmtId="168" fontId="0" fillId="0" borderId="111" xfId="0" applyNumberFormat="1" applyBorder="1" applyAlignment="1">
      <alignment horizontal="center"/>
    </xf>
    <xf numFmtId="0" fontId="0" fillId="0" borderId="102" xfId="0" applyBorder="1" applyAlignment="1">
      <alignment horizontal="center"/>
    </xf>
    <xf numFmtId="0" fontId="0" fillId="0" borderId="91" xfId="0" applyBorder="1" applyAlignment="1">
      <alignment horizontal="left"/>
    </xf>
    <xf numFmtId="0" fontId="0" fillId="0" borderId="91" xfId="0" applyBorder="1" applyAlignment="1">
      <alignment horizontal="center"/>
    </xf>
    <xf numFmtId="0" fontId="0" fillId="0" borderId="113" xfId="0" applyBorder="1" applyAlignment="1">
      <alignment horizontal="center"/>
    </xf>
    <xf numFmtId="2" fontId="0" fillId="32" borderId="101" xfId="0" applyNumberFormat="1" applyFill="1" applyBorder="1" applyAlignment="1">
      <alignment horizontal="center" vertical="center"/>
    </xf>
    <xf numFmtId="0" fontId="0" fillId="32" borderId="101" xfId="0" applyFill="1" applyBorder="1" applyAlignment="1">
      <alignment horizontal="center" vertical="center"/>
    </xf>
    <xf numFmtId="0" fontId="0" fillId="32" borderId="103" xfId="0" applyFill="1" applyBorder="1" applyAlignment="1">
      <alignment horizontal="center" vertical="center"/>
    </xf>
    <xf numFmtId="9" fontId="0" fillId="32" borderId="103" xfId="28" applyFont="1" applyFill="1" applyBorder="1" applyAlignment="1">
      <alignment horizontal="center" vertical="center"/>
    </xf>
    <xf numFmtId="3" fontId="0" fillId="32" borderId="101" xfId="0" applyNumberFormat="1" applyFill="1" applyBorder="1" applyAlignment="1">
      <alignment horizontal="center" vertical="center"/>
    </xf>
    <xf numFmtId="0" fontId="0" fillId="32" borderId="0" xfId="0" applyFill="1" applyAlignment="1">
      <alignment horizontal="center"/>
    </xf>
    <xf numFmtId="0" fontId="0" fillId="32" borderId="111" xfId="0" applyFill="1" applyBorder="1" applyAlignment="1">
      <alignment horizontal="center"/>
    </xf>
    <xf numFmtId="0" fontId="0" fillId="32" borderId="108" xfId="0" applyFill="1" applyBorder="1" applyAlignment="1">
      <alignment horizontal="center"/>
    </xf>
    <xf numFmtId="0" fontId="0" fillId="32" borderId="110" xfId="0" applyFill="1" applyBorder="1" applyAlignment="1">
      <alignment horizontal="center"/>
    </xf>
    <xf numFmtId="168" fontId="0" fillId="32" borderId="0" xfId="0" applyNumberFormat="1" applyFill="1" applyAlignment="1">
      <alignment horizontal="center"/>
    </xf>
    <xf numFmtId="168" fontId="0" fillId="32" borderId="111" xfId="0" applyNumberFormat="1" applyFill="1" applyBorder="1" applyAlignment="1">
      <alignment horizontal="center"/>
    </xf>
    <xf numFmtId="168" fontId="0" fillId="32" borderId="109" xfId="0" applyNumberFormat="1" applyFill="1" applyBorder="1" applyAlignment="1">
      <alignment horizontal="center"/>
    </xf>
    <xf numFmtId="168" fontId="0" fillId="32" borderId="112" xfId="0" applyNumberFormat="1" applyFill="1" applyBorder="1" applyAlignment="1">
      <alignment horizontal="center"/>
    </xf>
    <xf numFmtId="168" fontId="0" fillId="17" borderId="113" xfId="0" applyNumberFormat="1" applyFill="1" applyBorder="1" applyAlignment="1">
      <alignment horizontal="center"/>
    </xf>
    <xf numFmtId="167" fontId="0" fillId="17" borderId="106" xfId="0" applyNumberFormat="1" applyFill="1" applyBorder="1" applyAlignment="1">
      <alignment horizontal="center" vertical="center"/>
    </xf>
    <xf numFmtId="0" fontId="18" fillId="0" borderId="0" xfId="0" applyFont="1" applyAlignment="1">
      <alignment horizontal="center" wrapText="1"/>
    </xf>
    <xf numFmtId="1" fontId="0" fillId="32" borderId="0" xfId="0" applyNumberFormat="1" applyFill="1" applyAlignment="1">
      <alignment horizontal="center"/>
    </xf>
    <xf numFmtId="1" fontId="0" fillId="32" borderId="111" xfId="0" applyNumberFormat="1" applyFill="1" applyBorder="1" applyAlignment="1">
      <alignment horizontal="center"/>
    </xf>
    <xf numFmtId="1" fontId="0" fillId="0" borderId="0" xfId="0" applyNumberFormat="1" applyAlignment="1">
      <alignment horizontal="center"/>
    </xf>
    <xf numFmtId="1" fontId="0" fillId="0" borderId="111" xfId="0" applyNumberFormat="1" applyBorder="1" applyAlignment="1">
      <alignment horizontal="center"/>
    </xf>
    <xf numFmtId="173" fontId="114" fillId="0" borderId="0" xfId="0" applyNumberFormat="1" applyFont="1" applyAlignment="1">
      <alignment horizontal="center" vertical="center" wrapText="1"/>
    </xf>
    <xf numFmtId="0" fontId="114" fillId="0" borderId="0" xfId="0" applyFont="1" applyAlignment="1">
      <alignment horizontal="center" vertical="center" wrapText="1"/>
    </xf>
    <xf numFmtId="14" fontId="114" fillId="0" borderId="0" xfId="0" applyNumberFormat="1" applyFont="1" applyAlignment="1">
      <alignment horizontal="center" vertical="center" wrapText="1"/>
    </xf>
    <xf numFmtId="0" fontId="114" fillId="0" borderId="0" xfId="0" applyFont="1" applyAlignment="1">
      <alignment horizontal="left" vertical="center" wrapText="1" indent="1"/>
    </xf>
    <xf numFmtId="0" fontId="107" fillId="32" borderId="6" xfId="0" applyFont="1" applyFill="1" applyBorder="1" applyAlignment="1">
      <alignment horizontal="center" vertical="center"/>
    </xf>
    <xf numFmtId="0" fontId="107" fillId="32" borderId="6" xfId="0" applyFont="1" applyFill="1" applyBorder="1" applyAlignment="1">
      <alignment horizontal="center"/>
    </xf>
    <xf numFmtId="0" fontId="77" fillId="32" borderId="22" xfId="0" applyFont="1" applyFill="1" applyBorder="1" applyAlignment="1">
      <alignment horizontal="left" vertical="center" indent="1"/>
    </xf>
    <xf numFmtId="0" fontId="114" fillId="0" borderId="0" xfId="0" applyFont="1" applyAlignment="1">
      <alignment horizontal="center" vertical="center"/>
    </xf>
    <xf numFmtId="171" fontId="49" fillId="32" borderId="6" xfId="0" applyNumberFormat="1" applyFont="1" applyFill="1" applyBorder="1" applyAlignment="1">
      <alignment horizontal="center" vertical="center" wrapText="1"/>
    </xf>
    <xf numFmtId="0" fontId="89" fillId="0" borderId="13" xfId="0" applyFont="1" applyBorder="1" applyAlignment="1">
      <alignment horizontal="center" vertical="center"/>
    </xf>
    <xf numFmtId="0" fontId="89" fillId="0" borderId="0" xfId="0" applyFont="1" applyAlignment="1">
      <alignment horizontal="center" vertical="center"/>
    </xf>
    <xf numFmtId="0" fontId="89" fillId="0" borderId="14" xfId="0" applyFont="1" applyBorder="1" applyAlignment="1">
      <alignment horizontal="center" vertical="center"/>
    </xf>
    <xf numFmtId="0" fontId="115" fillId="0" borderId="16" xfId="0" applyFont="1" applyBorder="1" applyAlignment="1">
      <alignment horizontal="center"/>
    </xf>
    <xf numFmtId="0" fontId="116" fillId="18" borderId="16" xfId="0" applyFont="1" applyFill="1" applyBorder="1"/>
    <xf numFmtId="178" fontId="116" fillId="18" borderId="16" xfId="0" applyNumberFormat="1" applyFont="1" applyFill="1" applyBorder="1" applyAlignment="1">
      <alignment horizontal="center" wrapText="1"/>
    </xf>
    <xf numFmtId="0" fontId="115" fillId="18" borderId="16" xfId="0" applyFont="1" applyFill="1" applyBorder="1"/>
    <xf numFmtId="0" fontId="115" fillId="0" borderId="0" xfId="0" applyFont="1" applyAlignment="1">
      <alignment horizontal="center" vertical="center"/>
    </xf>
    <xf numFmtId="0" fontId="115" fillId="0" borderId="0" xfId="0" applyFont="1" applyAlignment="1">
      <alignment horizontal="left" vertical="center"/>
    </xf>
    <xf numFmtId="14" fontId="0" fillId="0" borderId="0" xfId="0" applyNumberFormat="1"/>
    <xf numFmtId="168" fontId="47" fillId="48" borderId="6" xfId="0" applyNumberFormat="1" applyFont="1" applyFill="1" applyBorder="1" applyAlignment="1">
      <alignment horizontal="center" vertical="center"/>
    </xf>
    <xf numFmtId="0" fontId="47" fillId="48" borderId="6" xfId="0" applyFont="1" applyFill="1" applyBorder="1" applyAlignment="1">
      <alignment horizontal="center" vertical="center"/>
    </xf>
    <xf numFmtId="168" fontId="52" fillId="48" borderId="6" xfId="0" applyNumberFormat="1" applyFont="1" applyFill="1" applyBorder="1" applyAlignment="1">
      <alignment horizontal="center" vertical="center"/>
    </xf>
    <xf numFmtId="1" fontId="47" fillId="49" borderId="6" xfId="0" applyNumberFormat="1" applyFont="1" applyFill="1" applyBorder="1" applyAlignment="1">
      <alignment horizontal="center" vertical="center"/>
    </xf>
    <xf numFmtId="168" fontId="47" fillId="49" borderId="6" xfId="0" applyNumberFormat="1" applyFont="1" applyFill="1" applyBorder="1" applyAlignment="1">
      <alignment horizontal="center" vertical="center"/>
    </xf>
    <xf numFmtId="0" fontId="47" fillId="49" borderId="6" xfId="0" applyFont="1" applyFill="1" applyBorder="1" applyAlignment="1">
      <alignment horizontal="center" vertical="center"/>
    </xf>
    <xf numFmtId="168" fontId="52" fillId="49" borderId="6" xfId="0" applyNumberFormat="1" applyFont="1" applyFill="1" applyBorder="1" applyAlignment="1">
      <alignment horizontal="center" vertical="center"/>
    </xf>
    <xf numFmtId="0" fontId="52" fillId="49" borderId="6" xfId="0" applyFont="1" applyFill="1" applyBorder="1" applyAlignment="1">
      <alignment horizontal="center" vertical="center"/>
    </xf>
    <xf numFmtId="1" fontId="47" fillId="50" borderId="6" xfId="0" applyNumberFormat="1" applyFont="1" applyFill="1" applyBorder="1" applyAlignment="1">
      <alignment horizontal="center" vertical="center"/>
    </xf>
    <xf numFmtId="168" fontId="47" fillId="50" borderId="6" xfId="0" applyNumberFormat="1" applyFont="1" applyFill="1" applyBorder="1" applyAlignment="1">
      <alignment horizontal="center" vertical="center"/>
    </xf>
    <xf numFmtId="0" fontId="47" fillId="50" borderId="6" xfId="0" applyFont="1" applyFill="1" applyBorder="1" applyAlignment="1">
      <alignment horizontal="center" vertical="center"/>
    </xf>
    <xf numFmtId="168" fontId="52" fillId="50" borderId="6" xfId="0" applyNumberFormat="1" applyFont="1" applyFill="1" applyBorder="1" applyAlignment="1">
      <alignment horizontal="center" vertical="center"/>
    </xf>
    <xf numFmtId="168" fontId="52" fillId="51" borderId="6" xfId="0" applyNumberFormat="1" applyFont="1" applyFill="1" applyBorder="1" applyAlignment="1">
      <alignment horizontal="center" vertical="center"/>
    </xf>
    <xf numFmtId="1" fontId="47" fillId="51" borderId="6" xfId="0" applyNumberFormat="1" applyFont="1" applyFill="1" applyBorder="1" applyAlignment="1">
      <alignment horizontal="center" vertical="center"/>
    </xf>
    <xf numFmtId="168" fontId="47" fillId="51" borderId="6" xfId="0" applyNumberFormat="1" applyFont="1" applyFill="1" applyBorder="1" applyAlignment="1">
      <alignment horizontal="center" vertical="center"/>
    </xf>
    <xf numFmtId="1" fontId="47" fillId="52" borderId="6" xfId="0" applyNumberFormat="1" applyFont="1" applyFill="1" applyBorder="1" applyAlignment="1">
      <alignment horizontal="center" vertical="center"/>
    </xf>
    <xf numFmtId="168" fontId="47" fillId="52" borderId="6" xfId="0" applyNumberFormat="1" applyFont="1" applyFill="1" applyBorder="1" applyAlignment="1">
      <alignment horizontal="center" vertical="center"/>
    </xf>
    <xf numFmtId="0" fontId="47" fillId="52" borderId="6" xfId="0" applyFont="1" applyFill="1" applyBorder="1" applyAlignment="1">
      <alignment horizontal="center" vertical="center"/>
    </xf>
    <xf numFmtId="168" fontId="52" fillId="52" borderId="6" xfId="0" applyNumberFormat="1" applyFont="1" applyFill="1" applyBorder="1" applyAlignment="1">
      <alignment horizontal="center" vertical="center"/>
    </xf>
    <xf numFmtId="0" fontId="47" fillId="0" borderId="6" xfId="0" applyFont="1" applyBorder="1"/>
    <xf numFmtId="0" fontId="47" fillId="51" borderId="6" xfId="0" applyFont="1" applyFill="1" applyBorder="1" applyAlignment="1">
      <alignment horizontal="center" vertical="center"/>
    </xf>
    <xf numFmtId="168" fontId="52" fillId="53" borderId="6" xfId="0" applyNumberFormat="1" applyFont="1" applyFill="1" applyBorder="1" applyAlignment="1">
      <alignment horizontal="center" vertical="center"/>
    </xf>
    <xf numFmtId="0" fontId="47" fillId="0" borderId="108" xfId="0" applyFont="1" applyBorder="1"/>
    <xf numFmtId="0" fontId="47" fillId="0" borderId="109" xfId="0" applyFont="1" applyBorder="1"/>
    <xf numFmtId="0" fontId="47" fillId="54" borderId="93" xfId="0" applyFont="1" applyFill="1" applyBorder="1"/>
    <xf numFmtId="0" fontId="47" fillId="54" borderId="115" xfId="0" applyFont="1" applyFill="1" applyBorder="1"/>
    <xf numFmtId="0" fontId="47" fillId="54" borderId="114" xfId="0" applyFont="1" applyFill="1" applyBorder="1" applyAlignment="1">
      <alignment vertical="top"/>
    </xf>
    <xf numFmtId="0" fontId="47" fillId="53" borderId="6" xfId="0" applyFont="1" applyFill="1" applyBorder="1" applyAlignment="1">
      <alignment horizontal="center" textRotation="90" wrapText="1"/>
    </xf>
    <xf numFmtId="173" fontId="118" fillId="0" borderId="0" xfId="0" applyNumberFormat="1" applyFont="1" applyAlignment="1">
      <alignment horizontal="center" vertical="center" wrapText="1"/>
    </xf>
    <xf numFmtId="0" fontId="118" fillId="0" borderId="0" xfId="0" applyFont="1" applyAlignment="1">
      <alignment horizontal="center" vertical="center" wrapText="1"/>
    </xf>
    <xf numFmtId="14" fontId="118" fillId="0" borderId="0" xfId="0" applyNumberFormat="1" applyFont="1" applyAlignment="1">
      <alignment horizontal="center" vertical="center" wrapText="1"/>
    </xf>
    <xf numFmtId="0" fontId="118" fillId="0" borderId="0" xfId="0" applyFont="1" applyAlignment="1">
      <alignment vertical="center" wrapText="1"/>
    </xf>
    <xf numFmtId="0" fontId="118" fillId="0" borderId="0" xfId="0" applyFont="1" applyAlignment="1">
      <alignment horizontal="left" vertical="center" wrapText="1" indent="1"/>
    </xf>
    <xf numFmtId="0" fontId="47" fillId="0" borderId="16" xfId="0" applyFont="1" applyBorder="1" applyAlignment="1">
      <alignment horizontal="center" vertical="center"/>
    </xf>
    <xf numFmtId="2" fontId="121" fillId="0" borderId="16" xfId="0" applyNumberFormat="1" applyFont="1" applyBorder="1" applyAlignment="1" applyProtection="1">
      <alignment horizontal="center" vertical="center"/>
      <protection locked="0"/>
    </xf>
    <xf numFmtId="2" fontId="122" fillId="0" borderId="16" xfId="0" applyNumberFormat="1" applyFont="1" applyBorder="1" applyAlignment="1" applyProtection="1">
      <alignment horizontal="center" vertical="center"/>
      <protection locked="0"/>
    </xf>
    <xf numFmtId="0" fontId="123" fillId="0" borderId="0" xfId="0" applyFont="1" applyAlignment="1">
      <alignment vertical="center" wrapText="1"/>
    </xf>
    <xf numFmtId="0" fontId="124" fillId="0" borderId="0" xfId="0" applyFont="1" applyAlignment="1">
      <alignment vertical="center" wrapText="1"/>
    </xf>
    <xf numFmtId="170" fontId="47" fillId="32" borderId="18" xfId="0" applyNumberFormat="1" applyFont="1" applyFill="1" applyBorder="1" applyAlignment="1">
      <alignment horizontal="center" vertical="center"/>
    </xf>
    <xf numFmtId="173" fontId="124" fillId="0" borderId="0" xfId="0" applyNumberFormat="1" applyFont="1" applyAlignment="1">
      <alignment horizontal="center" vertical="center" wrapText="1"/>
    </xf>
    <xf numFmtId="0" fontId="124" fillId="0" borderId="0" xfId="0" applyFont="1" applyAlignment="1">
      <alignment horizontal="left" vertical="center" wrapText="1" indent="1"/>
    </xf>
    <xf numFmtId="167" fontId="47" fillId="32" borderId="117" xfId="0" applyNumberFormat="1" applyFont="1" applyFill="1" applyBorder="1" applyAlignment="1">
      <alignment horizontal="center" vertical="center"/>
    </xf>
    <xf numFmtId="167" fontId="47" fillId="32" borderId="60" xfId="0" applyNumberFormat="1" applyFont="1" applyFill="1" applyBorder="1" applyAlignment="1">
      <alignment horizontal="center" vertical="center"/>
    </xf>
    <xf numFmtId="167" fontId="47" fillId="32" borderId="118" xfId="0" applyNumberFormat="1" applyFont="1" applyFill="1" applyBorder="1" applyAlignment="1">
      <alignment horizontal="center" vertical="center"/>
    </xf>
    <xf numFmtId="167" fontId="47" fillId="32" borderId="24" xfId="0" applyNumberFormat="1" applyFont="1" applyFill="1" applyBorder="1" applyAlignment="1">
      <alignment horizontal="center" vertical="center"/>
    </xf>
    <xf numFmtId="167" fontId="47" fillId="32" borderId="33" xfId="0" applyNumberFormat="1" applyFont="1" applyFill="1" applyBorder="1" applyAlignment="1">
      <alignment horizontal="center" vertical="center"/>
    </xf>
    <xf numFmtId="167" fontId="54" fillId="18" borderId="5" xfId="0" applyNumberFormat="1" applyFont="1" applyFill="1" applyBorder="1" applyAlignment="1">
      <alignment horizontal="center" vertical="center"/>
    </xf>
    <xf numFmtId="167" fontId="54" fillId="18" borderId="30" xfId="0" applyNumberFormat="1" applyFont="1" applyFill="1" applyBorder="1" applyAlignment="1">
      <alignment horizontal="center" vertical="center"/>
    </xf>
    <xf numFmtId="167" fontId="47" fillId="32" borderId="94" xfId="0" applyNumberFormat="1" applyFont="1" applyFill="1" applyBorder="1" applyAlignment="1">
      <alignment horizontal="center" vertical="center"/>
    </xf>
    <xf numFmtId="14" fontId="124" fillId="0" borderId="0" xfId="0" applyNumberFormat="1" applyFont="1" applyAlignment="1">
      <alignment horizontal="center" vertical="center" wrapText="1"/>
    </xf>
    <xf numFmtId="0" fontId="124" fillId="0" borderId="0" xfId="0" applyFont="1" applyAlignment="1">
      <alignment horizontal="center" vertical="center" wrapText="1"/>
    </xf>
    <xf numFmtId="0" fontId="124" fillId="0" borderId="0" xfId="0" applyFont="1" applyAlignment="1">
      <alignment horizontal="left" vertical="center" wrapText="1"/>
    </xf>
    <xf numFmtId="173" fontId="125" fillId="0" borderId="0" xfId="0" applyNumberFormat="1" applyFont="1" applyAlignment="1">
      <alignment horizontal="center" vertical="center" wrapText="1"/>
    </xf>
    <xf numFmtId="0" fontId="125" fillId="0" borderId="0" xfId="0" applyFont="1" applyAlignment="1">
      <alignment horizontal="left" vertical="center" wrapText="1" indent="1"/>
    </xf>
    <xf numFmtId="0" fontId="126" fillId="0" borderId="0" xfId="0" applyFont="1" applyAlignment="1">
      <alignment horizontal="center" vertical="center"/>
    </xf>
    <xf numFmtId="0" fontId="126" fillId="0" borderId="0" xfId="0" applyFont="1" applyAlignment="1">
      <alignment horizontal="left" vertical="center"/>
    </xf>
    <xf numFmtId="173" fontId="126" fillId="0" borderId="0" xfId="0" applyNumberFormat="1" applyFont="1" applyAlignment="1">
      <alignment horizontal="center" vertical="center" wrapText="1"/>
    </xf>
    <xf numFmtId="0" fontId="126" fillId="0" borderId="0" xfId="0" applyFont="1" applyAlignment="1">
      <alignment horizontal="left" vertical="center" wrapText="1" indent="1"/>
    </xf>
    <xf numFmtId="14" fontId="126" fillId="0" borderId="0" xfId="0" applyNumberFormat="1" applyFont="1" applyAlignment="1">
      <alignment horizontal="center" vertical="center" wrapText="1"/>
    </xf>
    <xf numFmtId="0" fontId="126" fillId="0" borderId="0" xfId="0" applyFont="1" applyAlignment="1">
      <alignment horizontal="center" vertical="center" wrapText="1"/>
    </xf>
    <xf numFmtId="2" fontId="47" fillId="0" borderId="1" xfId="0" applyNumberFormat="1" applyFont="1" applyBorder="1" applyAlignment="1">
      <alignment horizontal="center" vertical="center"/>
    </xf>
    <xf numFmtId="0" fontId="126" fillId="54" borderId="0" xfId="0" applyFont="1" applyFill="1" applyAlignment="1">
      <alignment horizontal="center" vertical="center" wrapText="1"/>
    </xf>
    <xf numFmtId="173" fontId="127" fillId="0" borderId="0" xfId="0" applyNumberFormat="1" applyFont="1" applyAlignment="1">
      <alignment horizontal="center" vertical="center" wrapText="1"/>
    </xf>
    <xf numFmtId="0" fontId="127" fillId="0" borderId="0" xfId="0" applyFont="1" applyAlignment="1">
      <alignment horizontal="center" vertical="center" wrapText="1"/>
    </xf>
    <xf numFmtId="14" fontId="127" fillId="0" borderId="0" xfId="0" applyNumberFormat="1" applyFont="1" applyAlignment="1">
      <alignment horizontal="center" vertical="center" wrapText="1"/>
    </xf>
    <xf numFmtId="0" fontId="127" fillId="0" borderId="0" xfId="0" applyFont="1" applyAlignment="1">
      <alignment horizontal="left" vertical="center" wrapText="1" indent="1"/>
    </xf>
    <xf numFmtId="173" fontId="128" fillId="0" borderId="0" xfId="0" applyNumberFormat="1" applyFont="1" applyAlignment="1">
      <alignment horizontal="center" vertical="center" wrapText="1"/>
    </xf>
    <xf numFmtId="0" fontId="128" fillId="0" borderId="0" xfId="0" applyFont="1" applyAlignment="1">
      <alignment horizontal="left" vertical="center" wrapText="1" indent="1"/>
    </xf>
    <xf numFmtId="14" fontId="128" fillId="0" borderId="0" xfId="0" applyNumberFormat="1" applyFont="1" applyAlignment="1">
      <alignment horizontal="center" vertical="center" wrapText="1"/>
    </xf>
    <xf numFmtId="0" fontId="128" fillId="0" borderId="0" xfId="0" applyFont="1" applyAlignment="1">
      <alignment horizontal="center" vertical="center" wrapText="1"/>
    </xf>
    <xf numFmtId="1" fontId="128" fillId="0" borderId="0" xfId="0" applyNumberFormat="1" applyFont="1" applyAlignment="1">
      <alignment vertical="center"/>
    </xf>
    <xf numFmtId="1" fontId="129" fillId="0" borderId="0" xfId="0" applyNumberFormat="1" applyFont="1" applyAlignment="1">
      <alignment horizontal="center" vertical="center"/>
    </xf>
    <xf numFmtId="0" fontId="128" fillId="0" borderId="0" xfId="0" applyFont="1" applyAlignment="1">
      <alignment horizontal="center" vertical="center"/>
    </xf>
    <xf numFmtId="2" fontId="128" fillId="0" borderId="14" xfId="0" applyNumberFormat="1" applyFont="1" applyBorder="1" applyAlignment="1">
      <alignment horizontal="center" vertical="center"/>
    </xf>
    <xf numFmtId="0" fontId="130" fillId="0" borderId="13" xfId="0" applyFont="1" applyBorder="1" applyAlignment="1">
      <alignment horizontal="center" vertical="center"/>
    </xf>
    <xf numFmtId="0" fontId="130" fillId="0" borderId="0" xfId="0" applyFont="1" applyAlignment="1">
      <alignment horizontal="center" vertical="center"/>
    </xf>
    <xf numFmtId="0" fontId="130" fillId="0" borderId="14" xfId="0" applyFont="1" applyBorder="1" applyAlignment="1">
      <alignment horizontal="center" vertical="center"/>
    </xf>
    <xf numFmtId="9" fontId="128" fillId="0" borderId="13" xfId="24" applyFont="1" applyFill="1" applyBorder="1" applyAlignment="1">
      <alignment horizontal="center" vertical="center"/>
    </xf>
    <xf numFmtId="3" fontId="128" fillId="0" borderId="0" xfId="24" applyNumberFormat="1" applyFont="1" applyFill="1" applyAlignment="1">
      <alignment horizontal="center" vertical="center"/>
    </xf>
    <xf numFmtId="3" fontId="128" fillId="0" borderId="0" xfId="0" applyNumberFormat="1" applyFont="1" applyAlignment="1">
      <alignment horizontal="center" vertical="center"/>
    </xf>
    <xf numFmtId="2" fontId="128" fillId="0" borderId="0" xfId="0" applyNumberFormat="1" applyFont="1" applyAlignment="1">
      <alignment horizontal="center" vertical="center"/>
    </xf>
    <xf numFmtId="4" fontId="84" fillId="0" borderId="13" xfId="0" applyNumberFormat="1" applyFont="1" applyBorder="1" applyAlignment="1">
      <alignment vertical="center"/>
    </xf>
    <xf numFmtId="0" fontId="52" fillId="0" borderId="0" xfId="0" applyFont="1" applyAlignment="1">
      <alignment horizontal="left" vertical="center" wrapText="1" indent="1"/>
    </xf>
    <xf numFmtId="0" fontId="47" fillId="0" borderId="119" xfId="0" applyFont="1" applyBorder="1" applyAlignment="1">
      <alignment horizontal="center" vertical="center"/>
    </xf>
    <xf numFmtId="0" fontId="131" fillId="0" borderId="83" xfId="0" applyFont="1" applyBorder="1" applyAlignment="1">
      <alignment horizontal="left" vertical="center"/>
    </xf>
    <xf numFmtId="0" fontId="131" fillId="0" borderId="82" xfId="0" applyFont="1" applyBorder="1" applyAlignment="1">
      <alignment horizontal="left" vertical="center"/>
    </xf>
    <xf numFmtId="0" fontId="131" fillId="0" borderId="83" xfId="0" applyFont="1" applyBorder="1" applyAlignment="1">
      <alignment horizontal="center" vertical="center"/>
    </xf>
    <xf numFmtId="0" fontId="131" fillId="0" borderId="82" xfId="0" applyFont="1" applyBorder="1" applyAlignment="1">
      <alignment horizontal="center" vertical="center"/>
    </xf>
    <xf numFmtId="0" fontId="47" fillId="0" borderId="6" xfId="0" applyFont="1" applyBorder="1" applyAlignment="1" applyProtection="1">
      <alignment horizontal="center" vertical="center" textRotation="90" wrapText="1"/>
      <protection locked="0"/>
    </xf>
    <xf numFmtId="9" fontId="47" fillId="0" borderId="6" xfId="24" applyFont="1" applyFill="1" applyBorder="1" applyAlignment="1" applyProtection="1">
      <alignment horizontal="center" vertical="center"/>
      <protection locked="0"/>
    </xf>
    <xf numFmtId="9" fontId="49" fillId="0" borderId="83" xfId="25" applyNumberFormat="1" applyFont="1" applyBorder="1" applyAlignment="1" applyProtection="1">
      <alignment horizontal="center" vertical="center"/>
      <protection locked="0"/>
    </xf>
    <xf numFmtId="0" fontId="132" fillId="0" borderId="16" xfId="0" applyFont="1" applyBorder="1" applyAlignment="1" applyProtection="1">
      <alignment vertical="center" wrapText="1"/>
      <protection locked="0"/>
    </xf>
    <xf numFmtId="9" fontId="47" fillId="32" borderId="6" xfId="24" applyFont="1" applyFill="1" applyBorder="1" applyAlignment="1" applyProtection="1">
      <alignment horizontal="center" vertical="center"/>
    </xf>
    <xf numFmtId="0" fontId="128" fillId="0" borderId="0" xfId="0" applyFont="1" applyAlignment="1">
      <alignment horizontal="left" vertical="center" wrapText="1" indent="2"/>
    </xf>
    <xf numFmtId="169" fontId="65" fillId="0" borderId="0" xfId="0" applyNumberFormat="1" applyFont="1" applyAlignment="1" applyProtection="1">
      <alignment horizontal="center" vertical="center"/>
      <protection locked="0"/>
    </xf>
    <xf numFmtId="168" fontId="65" fillId="0" borderId="0" xfId="0" applyNumberFormat="1" applyFont="1" applyAlignment="1" applyProtection="1">
      <alignment horizontal="center" vertical="center"/>
      <protection locked="0"/>
    </xf>
    <xf numFmtId="0" fontId="47" fillId="0" borderId="6" xfId="24" applyNumberFormat="1" applyFont="1" applyFill="1" applyBorder="1" applyAlignment="1">
      <alignment horizontal="center" vertical="center"/>
    </xf>
    <xf numFmtId="183" fontId="47" fillId="14" borderId="6" xfId="0" applyNumberFormat="1" applyFont="1" applyFill="1" applyBorder="1" applyAlignment="1">
      <alignment horizontal="center"/>
    </xf>
    <xf numFmtId="184" fontId="47" fillId="14" borderId="6" xfId="0" applyNumberFormat="1" applyFont="1" applyFill="1" applyBorder="1" applyAlignment="1">
      <alignment horizontal="center"/>
    </xf>
    <xf numFmtId="0" fontId="133" fillId="0" borderId="6" xfId="0" applyFont="1" applyBorder="1" applyAlignment="1">
      <alignment horizontal="left"/>
    </xf>
    <xf numFmtId="0" fontId="133" fillId="0" borderId="6" xfId="0" applyFont="1" applyBorder="1" applyAlignment="1">
      <alignment horizontal="center"/>
    </xf>
    <xf numFmtId="170" fontId="133" fillId="0" borderId="6" xfId="0" applyNumberFormat="1" applyFont="1" applyBorder="1" applyAlignment="1">
      <alignment horizontal="center"/>
    </xf>
    <xf numFmtId="170" fontId="133" fillId="32" borderId="6" xfId="0" applyNumberFormat="1" applyFont="1" applyFill="1" applyBorder="1" applyAlignment="1">
      <alignment horizontal="center"/>
    </xf>
    <xf numFmtId="168" fontId="133" fillId="32" borderId="6" xfId="0" applyNumberFormat="1" applyFont="1" applyFill="1" applyBorder="1" applyAlignment="1">
      <alignment horizontal="center"/>
    </xf>
    <xf numFmtId="2" fontId="133" fillId="0" borderId="6" xfId="0" applyNumberFormat="1" applyFont="1" applyBorder="1" applyAlignment="1">
      <alignment horizontal="center"/>
    </xf>
    <xf numFmtId="171" fontId="133" fillId="0" borderId="6" xfId="0" applyNumberFormat="1" applyFont="1" applyBorder="1" applyAlignment="1">
      <alignment horizontal="center"/>
    </xf>
    <xf numFmtId="176" fontId="133" fillId="0" borderId="6" xfId="0" applyNumberFormat="1" applyFont="1" applyBorder="1" applyAlignment="1">
      <alignment horizontal="center"/>
    </xf>
    <xf numFmtId="0" fontId="133" fillId="32" borderId="6" xfId="0" applyFont="1" applyFill="1" applyBorder="1" applyAlignment="1">
      <alignment horizontal="center"/>
    </xf>
    <xf numFmtId="186" fontId="133" fillId="0" borderId="6" xfId="0" applyNumberFormat="1" applyFont="1" applyBorder="1" applyAlignment="1">
      <alignment horizontal="center"/>
    </xf>
    <xf numFmtId="0" fontId="134" fillId="32" borderId="6" xfId="0" applyFont="1" applyFill="1" applyBorder="1" applyAlignment="1">
      <alignment horizontal="center"/>
    </xf>
    <xf numFmtId="2" fontId="135" fillId="18" borderId="6" xfId="0" applyNumberFormat="1" applyFont="1" applyFill="1" applyBorder="1" applyAlignment="1">
      <alignment horizontal="center"/>
    </xf>
    <xf numFmtId="2" fontId="133" fillId="32" borderId="6" xfId="0" applyNumberFormat="1" applyFont="1" applyFill="1" applyBorder="1" applyAlignment="1">
      <alignment horizontal="center"/>
    </xf>
    <xf numFmtId="178" fontId="133" fillId="32" borderId="6" xfId="0" applyNumberFormat="1" applyFont="1" applyFill="1" applyBorder="1" applyAlignment="1">
      <alignment horizontal="center"/>
    </xf>
    <xf numFmtId="178" fontId="135" fillId="18" borderId="6" xfId="24" applyNumberFormat="1" applyFont="1" applyFill="1" applyBorder="1" applyAlignment="1">
      <alignment horizontal="center"/>
    </xf>
    <xf numFmtId="0" fontId="136" fillId="0" borderId="0" xfId="65" applyFont="1"/>
    <xf numFmtId="0" fontId="136" fillId="47" borderId="30" xfId="65" applyFont="1" applyFill="1" applyBorder="1" applyAlignment="1">
      <alignment horizontal="center"/>
    </xf>
    <xf numFmtId="0" fontId="136" fillId="47" borderId="22" xfId="65" applyFont="1" applyFill="1" applyBorder="1" applyAlignment="1">
      <alignment horizontal="right"/>
    </xf>
    <xf numFmtId="0" fontId="137" fillId="0" borderId="113" xfId="65" applyFont="1" applyBorder="1"/>
    <xf numFmtId="169" fontId="136" fillId="0" borderId="102" xfId="66" applyNumberFormat="1" applyFont="1" applyBorder="1"/>
    <xf numFmtId="0" fontId="136" fillId="0" borderId="113" xfId="65" applyFont="1" applyBorder="1"/>
    <xf numFmtId="0" fontId="136" fillId="0" borderId="102" xfId="65" applyFont="1" applyBorder="1"/>
    <xf numFmtId="0" fontId="137" fillId="0" borderId="120" xfId="65" applyFont="1" applyBorder="1"/>
    <xf numFmtId="0" fontId="137" fillId="0" borderId="109" xfId="65" applyFont="1" applyBorder="1"/>
    <xf numFmtId="169" fontId="136" fillId="0" borderId="108" xfId="66" applyNumberFormat="1" applyFont="1" applyBorder="1"/>
    <xf numFmtId="0" fontId="136" fillId="0" borderId="109" xfId="65" applyFont="1" applyBorder="1"/>
    <xf numFmtId="0" fontId="136" fillId="0" borderId="108" xfId="65" applyFont="1" applyBorder="1"/>
    <xf numFmtId="0" fontId="137" fillId="0" borderId="121" xfId="65" applyFont="1" applyBorder="1"/>
    <xf numFmtId="169" fontId="136" fillId="0" borderId="108" xfId="66" applyNumberFormat="1" applyFont="1" applyFill="1" applyBorder="1"/>
    <xf numFmtId="0" fontId="138" fillId="18" borderId="115" xfId="65" applyFont="1" applyFill="1" applyBorder="1" applyAlignment="1">
      <alignment horizontal="center" vertical="center" wrapText="1"/>
    </xf>
    <xf numFmtId="0" fontId="138" fillId="18" borderId="93" xfId="65" applyFont="1" applyFill="1" applyBorder="1" applyAlignment="1">
      <alignment horizontal="center" vertical="center" wrapText="1"/>
    </xf>
    <xf numFmtId="0" fontId="138" fillId="18" borderId="114" xfId="65" applyFont="1" applyFill="1" applyBorder="1" applyAlignment="1">
      <alignment horizontal="center" vertical="center" wrapText="1"/>
    </xf>
    <xf numFmtId="0" fontId="138" fillId="18" borderId="122" xfId="65" applyFont="1" applyFill="1" applyBorder="1" applyAlignment="1">
      <alignment horizontal="center" vertical="center" wrapText="1"/>
    </xf>
    <xf numFmtId="0" fontId="139" fillId="0" borderId="0" xfId="67" applyFont="1" applyAlignment="1">
      <alignment horizontal="center" vertical="center"/>
    </xf>
    <xf numFmtId="0" fontId="139" fillId="0" borderId="0" xfId="65" applyFont="1"/>
    <xf numFmtId="0" fontId="136" fillId="0" borderId="27" xfId="65" applyFont="1" applyBorder="1" applyAlignment="1">
      <alignment horizontal="center" vertical="center"/>
    </xf>
    <xf numFmtId="0" fontId="136" fillId="0" borderId="1" xfId="65" applyFont="1" applyBorder="1" applyAlignment="1">
      <alignment vertical="center"/>
    </xf>
    <xf numFmtId="0" fontId="136" fillId="0" borderId="26" xfId="65" applyFont="1" applyBorder="1" applyAlignment="1">
      <alignment vertical="center"/>
    </xf>
    <xf numFmtId="0" fontId="140" fillId="0" borderId="1" xfId="67" applyFont="1" applyBorder="1" applyAlignment="1">
      <alignment horizontal="center" vertical="center"/>
    </xf>
    <xf numFmtId="0" fontId="141" fillId="0" borderId="26" xfId="65" applyFont="1" applyBorder="1" applyAlignment="1">
      <alignment vertical="center"/>
    </xf>
    <xf numFmtId="0" fontId="136" fillId="0" borderId="14" xfId="65" applyFont="1" applyBorder="1" applyAlignment="1">
      <alignment horizontal="center" vertical="center"/>
    </xf>
    <xf numFmtId="0" fontId="136" fillId="0" borderId="0" xfId="65" applyFont="1" applyAlignment="1">
      <alignment vertical="center"/>
    </xf>
    <xf numFmtId="0" fontId="136" fillId="0" borderId="13" xfId="65" applyFont="1" applyBorder="1" applyAlignment="1">
      <alignment vertical="center"/>
    </xf>
    <xf numFmtId="169" fontId="136" fillId="0" borderId="0" xfId="65" applyNumberFormat="1" applyFont="1" applyAlignment="1">
      <alignment horizontal="center" vertical="center"/>
    </xf>
    <xf numFmtId="0" fontId="141" fillId="0" borderId="13" xfId="65" applyFont="1" applyBorder="1" applyAlignment="1">
      <alignment vertical="center"/>
    </xf>
    <xf numFmtId="177" fontId="136" fillId="0" borderId="0" xfId="65" applyNumberFormat="1" applyFont="1"/>
    <xf numFmtId="0" fontId="136" fillId="56" borderId="14" xfId="65" applyFont="1" applyFill="1" applyBorder="1" applyAlignment="1">
      <alignment horizontal="center" vertical="center"/>
    </xf>
    <xf numFmtId="0" fontId="141" fillId="0" borderId="0" xfId="65" applyFont="1" applyAlignment="1">
      <alignment vertical="center"/>
    </xf>
    <xf numFmtId="0" fontId="136" fillId="0" borderId="0" xfId="65" applyFont="1" applyAlignment="1">
      <alignment horizontal="center" vertical="center"/>
    </xf>
    <xf numFmtId="1" fontId="136" fillId="0" borderId="14" xfId="65" applyNumberFormat="1" applyFont="1" applyBorder="1" applyAlignment="1">
      <alignment horizontal="center" vertical="center"/>
    </xf>
    <xf numFmtId="0" fontId="137" fillId="0" borderId="0" xfId="65" applyFont="1" applyAlignment="1">
      <alignment vertical="center"/>
    </xf>
    <xf numFmtId="0" fontId="137" fillId="0" borderId="13" xfId="65" applyFont="1" applyBorder="1" applyAlignment="1">
      <alignment vertical="center"/>
    </xf>
    <xf numFmtId="0" fontId="140" fillId="0" borderId="13" xfId="65" applyFont="1" applyBorder="1" applyAlignment="1">
      <alignment horizontal="left" vertical="center" wrapText="1"/>
    </xf>
    <xf numFmtId="1" fontId="136" fillId="0" borderId="0" xfId="65" applyNumberFormat="1" applyFont="1"/>
    <xf numFmtId="0" fontId="140" fillId="0" borderId="13" xfId="65" applyFont="1" applyBorder="1" applyAlignment="1">
      <alignment vertical="center"/>
    </xf>
    <xf numFmtId="0" fontId="136" fillId="0" borderId="0" xfId="68" applyNumberFormat="1" applyFont="1"/>
    <xf numFmtId="0" fontId="136" fillId="0" borderId="31" xfId="65" applyFont="1" applyBorder="1" applyAlignment="1">
      <alignment horizontal="center" vertical="center"/>
    </xf>
    <xf numFmtId="0" fontId="141" fillId="0" borderId="47" xfId="65" applyFont="1" applyBorder="1" applyAlignment="1">
      <alignment vertical="center"/>
    </xf>
    <xf numFmtId="0" fontId="141" fillId="0" borderId="32" xfId="65" applyFont="1" applyBorder="1" applyAlignment="1">
      <alignment vertical="center"/>
    </xf>
    <xf numFmtId="0" fontId="140" fillId="0" borderId="47" xfId="67" applyFont="1" applyBorder="1" applyAlignment="1">
      <alignment horizontal="center" vertical="center"/>
    </xf>
    <xf numFmtId="0" fontId="142" fillId="57" borderId="31" xfId="65" applyFont="1" applyFill="1" applyBorder="1" applyAlignment="1">
      <alignment horizontal="center"/>
    </xf>
    <xf numFmtId="0" fontId="142" fillId="57" borderId="47" xfId="65" applyFont="1" applyFill="1" applyBorder="1" applyAlignment="1">
      <alignment horizontal="center"/>
    </xf>
    <xf numFmtId="0" fontId="142" fillId="57" borderId="32" xfId="65" applyFont="1" applyFill="1" applyBorder="1" applyAlignment="1">
      <alignment horizontal="center"/>
    </xf>
    <xf numFmtId="0" fontId="136" fillId="0" borderId="36" xfId="65" applyFont="1" applyBorder="1"/>
    <xf numFmtId="0" fontId="144" fillId="0" borderId="0" xfId="67" applyFont="1" applyAlignment="1">
      <alignment horizontal="center" vertical="center"/>
    </xf>
    <xf numFmtId="187" fontId="144" fillId="0" borderId="0" xfId="67" applyNumberFormat="1" applyFont="1" applyAlignment="1">
      <alignment horizontal="center" vertical="center"/>
    </xf>
    <xf numFmtId="2" fontId="144" fillId="0" borderId="0" xfId="67" applyNumberFormat="1" applyFont="1" applyAlignment="1">
      <alignment horizontal="center" vertical="center"/>
    </xf>
    <xf numFmtId="0" fontId="145" fillId="0" borderId="6" xfId="67" applyFont="1" applyBorder="1" applyAlignment="1">
      <alignment horizontal="center" vertical="center"/>
    </xf>
    <xf numFmtId="0" fontId="145" fillId="0" borderId="6" xfId="67" applyFont="1" applyBorder="1" applyAlignment="1">
      <alignment horizontal="left" vertical="center"/>
    </xf>
    <xf numFmtId="0" fontId="145" fillId="0" borderId="22" xfId="67" applyFont="1" applyBorder="1" applyAlignment="1">
      <alignment horizontal="center" vertical="center"/>
    </xf>
    <xf numFmtId="2" fontId="144" fillId="55" borderId="28" xfId="67" applyNumberFormat="1" applyFont="1" applyFill="1" applyBorder="1" applyAlignment="1">
      <alignment vertical="center"/>
    </xf>
    <xf numFmtId="3" fontId="144" fillId="0" borderId="6" xfId="67" applyNumberFormat="1" applyFont="1" applyBorder="1" applyAlignment="1">
      <alignment horizontal="center" vertical="center"/>
    </xf>
    <xf numFmtId="0" fontId="144" fillId="0" borderId="6" xfId="67" applyFont="1" applyBorder="1" applyAlignment="1">
      <alignment horizontal="center" vertical="center"/>
    </xf>
    <xf numFmtId="0" fontId="144" fillId="47" borderId="6" xfId="67" applyFont="1" applyFill="1" applyBorder="1" applyAlignment="1">
      <alignment horizontal="center" vertical="center"/>
    </xf>
    <xf numFmtId="2" fontId="144" fillId="0" borderId="22" xfId="67" applyNumberFormat="1" applyFont="1" applyBorder="1" applyAlignment="1">
      <alignment horizontal="center" vertical="center"/>
    </xf>
    <xf numFmtId="9" fontId="144" fillId="0" borderId="6" xfId="66" applyFont="1" applyFill="1" applyBorder="1" applyAlignment="1">
      <alignment horizontal="center" vertical="center"/>
    </xf>
    <xf numFmtId="0" fontId="144" fillId="0" borderId="0" xfId="67" applyFont="1" applyAlignment="1">
      <alignment horizontal="left" vertical="center"/>
    </xf>
    <xf numFmtId="0" fontId="147" fillId="18" borderId="27" xfId="67" applyFont="1" applyFill="1" applyBorder="1" applyAlignment="1">
      <alignment horizontal="center" vertical="center" wrapText="1"/>
    </xf>
    <xf numFmtId="0" fontId="147" fillId="18" borderId="28" xfId="67" applyFont="1" applyFill="1" applyBorder="1" applyAlignment="1">
      <alignment horizontal="center" vertical="center" wrapText="1"/>
    </xf>
    <xf numFmtId="187" fontId="147" fillId="18" borderId="28" xfId="67" applyNumberFormat="1" applyFont="1" applyFill="1" applyBorder="1" applyAlignment="1">
      <alignment horizontal="center" vertical="center" wrapText="1"/>
    </xf>
    <xf numFmtId="0" fontId="147" fillId="18" borderId="26" xfId="67" applyFont="1" applyFill="1" applyBorder="1" applyAlignment="1">
      <alignment horizontal="center" vertical="center" wrapText="1"/>
    </xf>
    <xf numFmtId="0" fontId="144" fillId="0" borderId="0" xfId="67" applyFont="1" applyAlignment="1">
      <alignment horizontal="center" vertical="center" wrapText="1"/>
    </xf>
    <xf numFmtId="0" fontId="147" fillId="18" borderId="30" xfId="67" applyFont="1" applyFill="1" applyBorder="1" applyAlignment="1">
      <alignment horizontal="center" vertical="center"/>
    </xf>
    <xf numFmtId="0" fontId="144" fillId="0" borderId="6" xfId="67" applyFont="1" applyBorder="1" applyAlignment="1">
      <alignment horizontal="left" vertical="center" indent="1"/>
    </xf>
    <xf numFmtId="0" fontId="144" fillId="0" borderId="6" xfId="67" applyFont="1" applyBorder="1" applyAlignment="1">
      <alignment horizontal="left" vertical="center" wrapText="1" indent="1"/>
    </xf>
    <xf numFmtId="0" fontId="144" fillId="0" borderId="6" xfId="67" applyFont="1" applyBorder="1" applyAlignment="1">
      <alignment horizontal="center" vertical="center" wrapText="1"/>
    </xf>
    <xf numFmtId="3" fontId="144" fillId="0" borderId="6" xfId="67" applyNumberFormat="1" applyFont="1" applyBorder="1" applyAlignment="1">
      <alignment horizontal="left" vertical="center" indent="1"/>
    </xf>
    <xf numFmtId="187" fontId="144" fillId="0" borderId="6" xfId="67" applyNumberFormat="1" applyFont="1" applyBorder="1" applyAlignment="1">
      <alignment horizontal="center" vertical="center"/>
    </xf>
    <xf numFmtId="14" fontId="144" fillId="0" borderId="6" xfId="67" applyNumberFormat="1" applyFont="1" applyBorder="1" applyAlignment="1">
      <alignment horizontal="left" vertical="center" indent="1"/>
    </xf>
    <xf numFmtId="2" fontId="144" fillId="0" borderId="6" xfId="67" applyNumberFormat="1" applyFont="1" applyBorder="1" applyAlignment="1">
      <alignment horizontal="center" vertical="center"/>
    </xf>
    <xf numFmtId="2" fontId="144" fillId="47" borderId="6" xfId="67" applyNumberFormat="1" applyFont="1" applyFill="1" applyBorder="1" applyAlignment="1">
      <alignment horizontal="center" vertical="center"/>
    </xf>
    <xf numFmtId="177" fontId="144" fillId="47" borderId="6" xfId="67" applyNumberFormat="1" applyFont="1" applyFill="1" applyBorder="1" applyAlignment="1">
      <alignment horizontal="center" vertical="center"/>
    </xf>
    <xf numFmtId="177" fontId="144" fillId="47" borderId="6" xfId="67" applyNumberFormat="1" applyFont="1" applyFill="1" applyBorder="1" applyAlignment="1">
      <alignment horizontal="center" vertical="center" wrapText="1"/>
    </xf>
    <xf numFmtId="0" fontId="144" fillId="0" borderId="22" xfId="67" applyFont="1" applyBorder="1" applyAlignment="1">
      <alignment horizontal="left" vertical="center" indent="1"/>
    </xf>
    <xf numFmtId="0" fontId="147" fillId="52" borderId="30" xfId="67" applyFont="1" applyFill="1" applyBorder="1" applyAlignment="1">
      <alignment horizontal="center" vertical="center"/>
    </xf>
    <xf numFmtId="0" fontId="144" fillId="52" borderId="6" xfId="67" applyFont="1" applyFill="1" applyBorder="1" applyAlignment="1">
      <alignment horizontal="left" vertical="center" indent="1"/>
    </xf>
    <xf numFmtId="0" fontId="145" fillId="55" borderId="6" xfId="67" quotePrefix="1" applyFont="1" applyFill="1" applyBorder="1" applyAlignment="1">
      <alignment horizontal="center" vertical="center"/>
    </xf>
    <xf numFmtId="0" fontId="145" fillId="55" borderId="28" xfId="67" applyFont="1" applyFill="1" applyBorder="1" applyAlignment="1">
      <alignment horizontal="center" vertical="center" wrapText="1"/>
    </xf>
    <xf numFmtId="187" fontId="145" fillId="55" borderId="28" xfId="67" applyNumberFormat="1" applyFont="1" applyFill="1" applyBorder="1" applyAlignment="1">
      <alignment horizontal="center" vertical="center" wrapText="1"/>
    </xf>
    <xf numFmtId="2" fontId="145" fillId="55" borderId="28" xfId="67" applyNumberFormat="1" applyFont="1" applyFill="1" applyBorder="1" applyAlignment="1">
      <alignment horizontal="center" vertical="center" wrapText="1"/>
    </xf>
    <xf numFmtId="0" fontId="145" fillId="0" borderId="0" xfId="67" applyFont="1" applyAlignment="1">
      <alignment horizontal="center" vertical="center"/>
    </xf>
    <xf numFmtId="187" fontId="145" fillId="0" borderId="0" xfId="67" applyNumberFormat="1" applyFont="1" applyAlignment="1">
      <alignment horizontal="center" vertical="center"/>
    </xf>
    <xf numFmtId="2" fontId="145" fillId="0" borderId="0" xfId="67" applyNumberFormat="1" applyFont="1" applyAlignment="1">
      <alignment horizontal="center" vertical="center"/>
    </xf>
    <xf numFmtId="171" fontId="145" fillId="0" borderId="0" xfId="67" applyNumberFormat="1" applyFont="1" applyAlignment="1">
      <alignment horizontal="center" vertical="center"/>
    </xf>
    <xf numFmtId="177" fontId="145" fillId="0" borderId="0" xfId="67" applyNumberFormat="1" applyFont="1" applyAlignment="1">
      <alignment horizontal="center" vertical="center"/>
    </xf>
    <xf numFmtId="0" fontId="144" fillId="0" borderId="123" xfId="67" applyFont="1" applyBorder="1" applyAlignment="1">
      <alignment horizontal="left" vertical="center" indent="1"/>
    </xf>
    <xf numFmtId="0" fontId="144" fillId="0" borderId="124" xfId="67" applyFont="1" applyBorder="1" applyAlignment="1">
      <alignment horizontal="left" vertical="center" indent="1"/>
    </xf>
    <xf numFmtId="0" fontId="144" fillId="0" borderId="125" xfId="67" applyFont="1" applyBorder="1" applyAlignment="1">
      <alignment horizontal="left" vertical="center" indent="1"/>
    </xf>
    <xf numFmtId="0" fontId="144" fillId="0" borderId="126" xfId="67" applyFont="1" applyBorder="1" applyAlignment="1">
      <alignment horizontal="left" vertical="center" indent="1"/>
    </xf>
    <xf numFmtId="0" fontId="144" fillId="0" borderId="127" xfId="67" applyFont="1" applyBorder="1" applyAlignment="1">
      <alignment horizontal="left" vertical="center" indent="1"/>
    </xf>
    <xf numFmtId="0" fontId="144" fillId="0" borderId="128" xfId="67" applyFont="1" applyBorder="1" applyAlignment="1">
      <alignment horizontal="left" vertical="center" indent="1"/>
    </xf>
    <xf numFmtId="0" fontId="145" fillId="0" borderId="123" xfId="67" applyFont="1" applyBorder="1" applyAlignment="1">
      <alignment horizontal="left" vertical="center"/>
    </xf>
    <xf numFmtId="0" fontId="144" fillId="0" borderId="129" xfId="67" applyFont="1" applyBorder="1" applyAlignment="1">
      <alignment horizontal="center" vertical="center"/>
    </xf>
    <xf numFmtId="0" fontId="144" fillId="0" borderId="124" xfId="67" applyFont="1" applyBorder="1" applyAlignment="1">
      <alignment horizontal="center" vertical="center"/>
    </xf>
    <xf numFmtId="0" fontId="144" fillId="0" borderId="125" xfId="67" applyFont="1" applyBorder="1" applyAlignment="1">
      <alignment horizontal="left" vertical="center"/>
    </xf>
    <xf numFmtId="0" fontId="144" fillId="0" borderId="126" xfId="67" applyFont="1" applyBorder="1" applyAlignment="1">
      <alignment horizontal="center" vertical="center"/>
    </xf>
    <xf numFmtId="0" fontId="144" fillId="0" borderId="127" xfId="67" applyFont="1" applyBorder="1" applyAlignment="1">
      <alignment horizontal="left" vertical="center"/>
    </xf>
    <xf numFmtId="0" fontId="144" fillId="0" borderId="130" xfId="67" applyFont="1" applyBorder="1" applyAlignment="1">
      <alignment horizontal="center" vertical="center"/>
    </xf>
    <xf numFmtId="0" fontId="144" fillId="0" borderId="128" xfId="67" applyFont="1" applyBorder="1" applyAlignment="1">
      <alignment horizontal="center" vertical="center"/>
    </xf>
    <xf numFmtId="0" fontId="144" fillId="0" borderId="13" xfId="67" applyFont="1" applyBorder="1" applyAlignment="1">
      <alignment horizontal="left" vertical="center"/>
    </xf>
    <xf numFmtId="0" fontId="144" fillId="0" borderId="16" xfId="67" applyFont="1" applyBorder="1" applyAlignment="1">
      <alignment horizontal="center" vertical="center"/>
    </xf>
    <xf numFmtId="0" fontId="144" fillId="0" borderId="14" xfId="67" applyFont="1" applyBorder="1" applyAlignment="1">
      <alignment horizontal="center" vertical="center"/>
    </xf>
    <xf numFmtId="0" fontId="144" fillId="0" borderId="26" xfId="67" applyFont="1" applyBorder="1" applyAlignment="1">
      <alignment horizontal="left" vertical="center"/>
    </xf>
    <xf numFmtId="0" fontId="144" fillId="0" borderId="28" xfId="67" applyFont="1" applyBorder="1" applyAlignment="1">
      <alignment horizontal="center" vertical="center"/>
    </xf>
    <xf numFmtId="0" fontId="144" fillId="0" borderId="27" xfId="67" applyFont="1" applyBorder="1" applyAlignment="1">
      <alignment horizontal="center" vertical="center"/>
    </xf>
    <xf numFmtId="0" fontId="149" fillId="16" borderId="32" xfId="67" applyFont="1" applyFill="1" applyBorder="1" applyAlignment="1">
      <alignment horizontal="center" vertical="center"/>
    </xf>
    <xf numFmtId="0" fontId="144" fillId="0" borderId="47" xfId="67" applyFont="1" applyBorder="1" applyAlignment="1">
      <alignment horizontal="center" vertical="center"/>
    </xf>
    <xf numFmtId="0" fontId="144" fillId="0" borderId="31" xfId="67" applyFont="1" applyBorder="1" applyAlignment="1">
      <alignment horizontal="center" vertical="center"/>
    </xf>
    <xf numFmtId="0" fontId="149" fillId="16" borderId="13" xfId="67" applyFont="1" applyFill="1" applyBorder="1" applyAlignment="1">
      <alignment horizontal="center" vertical="center"/>
    </xf>
    <xf numFmtId="0" fontId="144" fillId="0" borderId="1" xfId="67" applyFont="1" applyBorder="1" applyAlignment="1">
      <alignment horizontal="center" vertical="center"/>
    </xf>
    <xf numFmtId="0" fontId="144" fillId="0" borderId="0" xfId="67" quotePrefix="1" applyFont="1" applyAlignment="1">
      <alignment horizontal="center" vertical="center"/>
    </xf>
    <xf numFmtId="0" fontId="147" fillId="58" borderId="131" xfId="67" applyFont="1" applyFill="1" applyBorder="1" applyAlignment="1">
      <alignment horizontal="center" vertical="center"/>
    </xf>
    <xf numFmtId="0" fontId="150" fillId="0" borderId="0" xfId="67" applyFont="1" applyAlignment="1">
      <alignment horizontal="center" vertical="center"/>
    </xf>
    <xf numFmtId="177" fontId="144" fillId="0" borderId="0" xfId="67" applyNumberFormat="1" applyFont="1" applyAlignment="1">
      <alignment horizontal="center" vertical="center"/>
    </xf>
    <xf numFmtId="0" fontId="144" fillId="0" borderId="131" xfId="67" applyFont="1" applyBorder="1" applyAlignment="1">
      <alignment horizontal="center" vertical="center"/>
    </xf>
    <xf numFmtId="0" fontId="144" fillId="0" borderId="132" xfId="67" applyFont="1" applyBorder="1" applyAlignment="1">
      <alignment horizontal="center" vertical="center"/>
    </xf>
    <xf numFmtId="0" fontId="149" fillId="16" borderId="26" xfId="67" applyFont="1" applyFill="1" applyBorder="1" applyAlignment="1">
      <alignment horizontal="center" vertical="center"/>
    </xf>
    <xf numFmtId="0" fontId="133" fillId="0" borderId="29" xfId="0" applyFont="1" applyBorder="1" applyAlignment="1">
      <alignment horizontal="left"/>
    </xf>
    <xf numFmtId="170" fontId="133" fillId="0" borderId="29" xfId="0" applyNumberFormat="1" applyFont="1" applyBorder="1" applyAlignment="1">
      <alignment horizontal="center"/>
    </xf>
    <xf numFmtId="0" fontId="133" fillId="0" borderId="29" xfId="0" applyFont="1" applyBorder="1" applyAlignment="1">
      <alignment horizontal="center"/>
    </xf>
    <xf numFmtId="170" fontId="133" fillId="32" borderId="29" xfId="0" applyNumberFormat="1" applyFont="1" applyFill="1" applyBorder="1" applyAlignment="1">
      <alignment horizontal="center"/>
    </xf>
    <xf numFmtId="168" fontId="133" fillId="32" borderId="29" xfId="0" applyNumberFormat="1" applyFont="1" applyFill="1" applyBorder="1" applyAlignment="1">
      <alignment horizontal="center"/>
    </xf>
    <xf numFmtId="2" fontId="133" fillId="0" borderId="29" xfId="0" applyNumberFormat="1" applyFont="1" applyBorder="1" applyAlignment="1">
      <alignment horizontal="center"/>
    </xf>
    <xf numFmtId="171" fontId="133" fillId="0" borderId="29" xfId="0" applyNumberFormat="1" applyFont="1" applyBorder="1" applyAlignment="1">
      <alignment horizontal="center"/>
    </xf>
    <xf numFmtId="176" fontId="133" fillId="0" borderId="29" xfId="0" applyNumberFormat="1" applyFont="1" applyBorder="1" applyAlignment="1">
      <alignment horizontal="center"/>
    </xf>
    <xf numFmtId="0" fontId="133" fillId="32" borderId="29" xfId="0" applyFont="1" applyFill="1" applyBorder="1" applyAlignment="1">
      <alignment horizontal="center"/>
    </xf>
    <xf numFmtId="186" fontId="133" fillId="0" borderId="29" xfId="0" applyNumberFormat="1" applyFont="1" applyBorder="1" applyAlignment="1">
      <alignment horizontal="center"/>
    </xf>
    <xf numFmtId="0" fontId="134" fillId="32" borderId="29" xfId="0" applyFont="1" applyFill="1" applyBorder="1" applyAlignment="1">
      <alignment horizontal="center"/>
    </xf>
    <xf numFmtId="2" fontId="135" fillId="18" borderId="29" xfId="0" applyNumberFormat="1" applyFont="1" applyFill="1" applyBorder="1" applyAlignment="1">
      <alignment horizontal="center"/>
    </xf>
    <xf numFmtId="2" fontId="133" fillId="32" borderId="29" xfId="0" applyNumberFormat="1" applyFont="1" applyFill="1" applyBorder="1" applyAlignment="1">
      <alignment horizontal="center"/>
    </xf>
    <xf numFmtId="178" fontId="133" fillId="32" borderId="29" xfId="0" applyNumberFormat="1" applyFont="1" applyFill="1" applyBorder="1" applyAlignment="1">
      <alignment horizontal="center"/>
    </xf>
    <xf numFmtId="178" fontId="135" fillId="18" borderId="29" xfId="0" applyNumberFormat="1" applyFont="1" applyFill="1" applyBorder="1" applyAlignment="1">
      <alignment horizontal="center"/>
    </xf>
    <xf numFmtId="9" fontId="144" fillId="0" borderId="6" xfId="71" applyFont="1" applyFill="1" applyBorder="1" applyAlignment="1">
      <alignment horizontal="center" vertical="center"/>
    </xf>
    <xf numFmtId="186" fontId="47" fillId="0" borderId="6" xfId="0" applyNumberFormat="1" applyFont="1" applyBorder="1" applyAlignment="1">
      <alignment horizontal="center"/>
    </xf>
    <xf numFmtId="178" fontId="54" fillId="18" borderId="6" xfId="0" applyNumberFormat="1" applyFont="1" applyFill="1" applyBorder="1" applyAlignment="1">
      <alignment horizontal="center"/>
    </xf>
    <xf numFmtId="178" fontId="135" fillId="18" borderId="6" xfId="0" applyNumberFormat="1" applyFont="1" applyFill="1" applyBorder="1" applyAlignment="1">
      <alignment horizontal="center"/>
    </xf>
    <xf numFmtId="0" fontId="54" fillId="19" borderId="6" xfId="0" quotePrefix="1" applyFont="1" applyFill="1" applyBorder="1" applyAlignment="1" applyProtection="1">
      <alignment horizontal="left"/>
      <protection locked="0"/>
    </xf>
    <xf numFmtId="0" fontId="50" fillId="38" borderId="6" xfId="0" quotePrefix="1" applyFont="1" applyFill="1" applyBorder="1" applyAlignment="1">
      <alignment horizontal="left"/>
    </xf>
    <xf numFmtId="0" fontId="42" fillId="0" borderId="6" xfId="26" applyBorder="1" applyAlignment="1">
      <alignment horizontal="center" vertical="center" wrapText="1"/>
    </xf>
    <xf numFmtId="49" fontId="47" fillId="0" borderId="30" xfId="0" applyNumberFormat="1" applyFont="1" applyBorder="1" applyAlignment="1" applyProtection="1">
      <alignment horizontal="left" vertical="center"/>
      <protection locked="0"/>
    </xf>
    <xf numFmtId="1" fontId="47" fillId="0" borderId="6" xfId="0" applyNumberFormat="1" applyFont="1" applyBorder="1" applyAlignment="1" applyProtection="1">
      <alignment horizontal="center"/>
      <protection locked="0"/>
    </xf>
    <xf numFmtId="173" fontId="47" fillId="0" borderId="6" xfId="0" applyNumberFormat="1" applyFont="1" applyBorder="1" applyAlignment="1" applyProtection="1">
      <alignment horizontal="center" vertical="center"/>
      <protection locked="0"/>
    </xf>
    <xf numFmtId="0" fontId="47" fillId="32" borderId="6" xfId="0" applyFont="1" applyFill="1" applyBorder="1" applyAlignment="1" applyProtection="1">
      <alignment horizontal="center" vertical="center"/>
      <protection locked="0"/>
    </xf>
    <xf numFmtId="0" fontId="47" fillId="16" borderId="6" xfId="0" applyFont="1" applyFill="1" applyBorder="1" applyAlignment="1" applyProtection="1">
      <alignment horizontal="center" vertical="center"/>
      <protection locked="0"/>
    </xf>
    <xf numFmtId="0" fontId="52" fillId="0" borderId="18" xfId="0" applyFont="1" applyBorder="1" applyAlignment="1">
      <alignment horizontal="left" vertical="center"/>
    </xf>
    <xf numFmtId="0" fontId="47" fillId="0" borderId="29" xfId="0" applyFont="1" applyBorder="1" applyAlignment="1">
      <alignment horizontal="left"/>
    </xf>
    <xf numFmtId="170" fontId="47" fillId="0" borderId="29" xfId="0" applyNumberFormat="1" applyFont="1" applyBorder="1" applyAlignment="1">
      <alignment horizontal="center"/>
    </xf>
    <xf numFmtId="170" fontId="47" fillId="32" borderId="29" xfId="0" applyNumberFormat="1" applyFont="1" applyFill="1" applyBorder="1" applyAlignment="1">
      <alignment horizontal="center"/>
    </xf>
    <xf numFmtId="168" fontId="47" fillId="32" borderId="29" xfId="0" applyNumberFormat="1" applyFont="1" applyFill="1" applyBorder="1" applyAlignment="1">
      <alignment horizontal="center"/>
    </xf>
    <xf numFmtId="171" fontId="47" fillId="0" borderId="29" xfId="0" applyNumberFormat="1" applyFont="1" applyBorder="1" applyAlignment="1">
      <alignment horizontal="center"/>
    </xf>
    <xf numFmtId="186" fontId="47" fillId="0" borderId="29" xfId="0" applyNumberFormat="1" applyFont="1" applyBorder="1" applyAlignment="1">
      <alignment horizontal="center"/>
    </xf>
    <xf numFmtId="0" fontId="107" fillId="32" borderId="29" xfId="0" applyFont="1" applyFill="1" applyBorder="1" applyAlignment="1">
      <alignment horizontal="center"/>
    </xf>
    <xf numFmtId="2" fontId="54" fillId="18" borderId="29" xfId="0" applyNumberFormat="1" applyFont="1" applyFill="1" applyBorder="1" applyAlignment="1">
      <alignment horizontal="center"/>
    </xf>
    <xf numFmtId="2" fontId="47" fillId="32" borderId="29" xfId="0" applyNumberFormat="1" applyFont="1" applyFill="1" applyBorder="1" applyAlignment="1">
      <alignment horizontal="center"/>
    </xf>
    <xf numFmtId="178" fontId="47" fillId="32" borderId="29" xfId="0" applyNumberFormat="1" applyFont="1" applyFill="1" applyBorder="1" applyAlignment="1">
      <alignment horizontal="center"/>
    </xf>
    <xf numFmtId="178" fontId="54" fillId="18" borderId="29" xfId="0" applyNumberFormat="1" applyFont="1" applyFill="1" applyBorder="1" applyAlignment="1">
      <alignment horizontal="center"/>
    </xf>
    <xf numFmtId="171" fontId="52" fillId="0" borderId="0" xfId="0" applyNumberFormat="1" applyFont="1" applyAlignment="1">
      <alignment horizontal="center" vertical="center"/>
    </xf>
    <xf numFmtId="170" fontId="47" fillId="0" borderId="0" xfId="0" applyNumberFormat="1" applyFont="1" applyAlignment="1">
      <alignment horizontal="center" vertical="center"/>
    </xf>
    <xf numFmtId="185" fontId="47" fillId="0" borderId="25" xfId="0" applyNumberFormat="1" applyFont="1" applyBorder="1" applyAlignment="1">
      <alignment horizontal="center" vertical="center"/>
    </xf>
    <xf numFmtId="185" fontId="73" fillId="32" borderId="33" xfId="0" applyNumberFormat="1" applyFont="1" applyFill="1" applyBorder="1" applyAlignment="1">
      <alignment horizontal="center" vertical="center"/>
    </xf>
    <xf numFmtId="2" fontId="107" fillId="0" borderId="0" xfId="0" applyNumberFormat="1" applyFont="1" applyAlignment="1">
      <alignment horizontal="center" vertical="center"/>
    </xf>
    <xf numFmtId="2" fontId="89" fillId="0" borderId="0" xfId="0" applyNumberFormat="1" applyFont="1" applyAlignment="1">
      <alignment horizontal="center" vertical="center"/>
    </xf>
    <xf numFmtId="188" fontId="73" fillId="32" borderId="33" xfId="0" applyNumberFormat="1" applyFont="1" applyFill="1" applyBorder="1" applyAlignment="1">
      <alignment horizontal="center" vertical="center"/>
    </xf>
    <xf numFmtId="0" fontId="52" fillId="0" borderId="17" xfId="0" applyFont="1" applyBorder="1" applyAlignment="1">
      <alignment horizontal="center" vertical="center"/>
    </xf>
    <xf numFmtId="49" fontId="47" fillId="0" borderId="31" xfId="0" applyNumberFormat="1" applyFont="1" applyBorder="1" applyAlignment="1" applyProtection="1">
      <alignment horizontal="left" vertical="center"/>
      <protection locked="0"/>
    </xf>
    <xf numFmtId="3" fontId="47" fillId="0" borderId="29" xfId="0" applyNumberFormat="1" applyFont="1" applyBorder="1" applyAlignment="1" applyProtection="1">
      <alignment horizontal="center" vertical="center"/>
      <protection locked="0"/>
    </xf>
    <xf numFmtId="167" fontId="47" fillId="0" borderId="29" xfId="0" applyNumberFormat="1" applyFont="1" applyBorder="1" applyAlignment="1" applyProtection="1">
      <alignment horizontal="center" vertical="center"/>
      <protection locked="0"/>
    </xf>
    <xf numFmtId="0" fontId="47" fillId="0" borderId="29" xfId="0" applyFont="1" applyBorder="1" applyAlignment="1" applyProtection="1">
      <alignment horizontal="center" vertical="center"/>
      <protection locked="0"/>
    </xf>
    <xf numFmtId="1" fontId="47" fillId="0" borderId="29" xfId="0" applyNumberFormat="1" applyFont="1" applyBorder="1" applyAlignment="1" applyProtection="1">
      <alignment horizontal="center" vertical="center"/>
      <protection locked="0"/>
    </xf>
    <xf numFmtId="169" fontId="47" fillId="0" borderId="29" xfId="24" applyNumberFormat="1" applyFont="1" applyFill="1" applyBorder="1" applyAlignment="1" applyProtection="1">
      <alignment horizontal="center" vertical="center"/>
      <protection locked="0"/>
    </xf>
    <xf numFmtId="1" fontId="47" fillId="0" borderId="29" xfId="0" applyNumberFormat="1" applyFont="1" applyBorder="1" applyAlignment="1" applyProtection="1">
      <alignment horizontal="center"/>
      <protection locked="0"/>
    </xf>
    <xf numFmtId="168" fontId="47" fillId="0" borderId="29" xfId="0" applyNumberFormat="1" applyFont="1" applyBorder="1" applyAlignment="1" applyProtection="1">
      <alignment horizontal="center" vertical="center"/>
      <protection locked="0"/>
    </xf>
    <xf numFmtId="3" fontId="47" fillId="32" borderId="29" xfId="0" applyNumberFormat="1" applyFont="1" applyFill="1" applyBorder="1" applyAlignment="1" applyProtection="1">
      <alignment horizontal="center" vertical="center"/>
      <protection locked="0"/>
    </xf>
    <xf numFmtId="175" fontId="47" fillId="32" borderId="29" xfId="0" applyNumberFormat="1" applyFont="1" applyFill="1" applyBorder="1" applyAlignment="1" applyProtection="1">
      <alignment horizontal="center" vertical="center"/>
      <protection locked="0"/>
    </xf>
    <xf numFmtId="173" fontId="47" fillId="0" borderId="29" xfId="0" applyNumberFormat="1" applyFont="1" applyBorder="1" applyAlignment="1" applyProtection="1">
      <alignment horizontal="center" vertical="center"/>
      <protection locked="0"/>
    </xf>
    <xf numFmtId="0" fontId="47" fillId="32" borderId="29" xfId="0" applyFont="1" applyFill="1" applyBorder="1" applyAlignment="1" applyProtection="1">
      <alignment horizontal="center" vertical="center"/>
      <protection locked="0"/>
    </xf>
    <xf numFmtId="0" fontId="47" fillId="16" borderId="29" xfId="0" applyFont="1" applyFill="1" applyBorder="1" applyAlignment="1" applyProtection="1">
      <alignment horizontal="center" vertical="center"/>
      <protection locked="0"/>
    </xf>
    <xf numFmtId="2" fontId="54" fillId="18" borderId="29" xfId="0" applyNumberFormat="1" applyFont="1" applyFill="1" applyBorder="1" applyAlignment="1">
      <alignment horizontal="center" vertical="center"/>
    </xf>
    <xf numFmtId="9" fontId="47" fillId="32" borderId="29" xfId="0" applyNumberFormat="1" applyFont="1" applyFill="1" applyBorder="1" applyAlignment="1">
      <alignment horizontal="center" vertical="center"/>
    </xf>
    <xf numFmtId="4" fontId="47" fillId="32" borderId="29" xfId="0" applyNumberFormat="1" applyFont="1" applyFill="1" applyBorder="1" applyAlignment="1">
      <alignment horizontal="center" vertical="center"/>
    </xf>
    <xf numFmtId="3" fontId="47" fillId="32" borderId="29" xfId="0" applyNumberFormat="1" applyFont="1" applyFill="1" applyBorder="1" applyAlignment="1">
      <alignment horizontal="center" vertical="center"/>
    </xf>
    <xf numFmtId="169" fontId="47" fillId="32" borderId="29" xfId="0" applyNumberFormat="1" applyFont="1" applyFill="1" applyBorder="1" applyAlignment="1">
      <alignment horizontal="center" vertical="center"/>
    </xf>
    <xf numFmtId="2" fontId="47" fillId="32" borderId="29" xfId="0" applyNumberFormat="1" applyFont="1" applyFill="1" applyBorder="1" applyAlignment="1">
      <alignment horizontal="center" vertical="center"/>
    </xf>
    <xf numFmtId="0" fontId="52" fillId="0" borderId="29" xfId="0" applyFont="1" applyBorder="1" applyAlignment="1">
      <alignment horizontal="center" vertical="center"/>
    </xf>
    <xf numFmtId="0" fontId="93" fillId="0" borderId="42" xfId="0" applyFont="1" applyBorder="1" applyAlignment="1" applyProtection="1">
      <alignment horizontal="center" vertical="center"/>
      <protection locked="0"/>
    </xf>
    <xf numFmtId="0" fontId="93" fillId="0" borderId="45" xfId="0" applyFont="1" applyBorder="1" applyAlignment="1" applyProtection="1">
      <alignment horizontal="center" vertical="center"/>
      <protection locked="0"/>
    </xf>
    <xf numFmtId="0" fontId="93" fillId="0" borderId="43" xfId="0" applyFont="1" applyBorder="1" applyAlignment="1" applyProtection="1">
      <alignment horizontal="center" vertical="center"/>
      <protection locked="0"/>
    </xf>
    <xf numFmtId="0" fontId="93" fillId="0" borderId="45" xfId="0" applyFont="1" applyBorder="1" applyAlignment="1" applyProtection="1">
      <alignment horizontal="center" wrapText="1"/>
      <protection locked="0"/>
    </xf>
    <xf numFmtId="0" fontId="93" fillId="0" borderId="13" xfId="0" applyFont="1" applyBorder="1" applyAlignment="1" applyProtection="1">
      <alignment horizontal="center" vertical="center"/>
      <protection locked="0"/>
    </xf>
    <xf numFmtId="0" fontId="93" fillId="0" borderId="0" xfId="0" applyFont="1" applyAlignment="1" applyProtection="1">
      <alignment horizontal="center" vertical="center"/>
      <protection locked="0"/>
    </xf>
    <xf numFmtId="0" fontId="93" fillId="0" borderId="14" xfId="0" applyFont="1" applyBorder="1" applyAlignment="1" applyProtection="1">
      <alignment horizontal="center" vertical="center"/>
      <protection locked="0"/>
    </xf>
    <xf numFmtId="0" fontId="93" fillId="0" borderId="40" xfId="0" applyFont="1" applyBorder="1" applyAlignment="1" applyProtection="1">
      <alignment horizontal="center"/>
      <protection locked="0"/>
    </xf>
    <xf numFmtId="0" fontId="93" fillId="0" borderId="42" xfId="0" applyFont="1" applyBorder="1" applyAlignment="1" applyProtection="1">
      <alignment horizontal="center"/>
      <protection locked="0"/>
    </xf>
    <xf numFmtId="0" fontId="93" fillId="0" borderId="35" xfId="0" applyFont="1" applyBorder="1" applyAlignment="1" applyProtection="1">
      <alignment horizontal="center"/>
      <protection locked="0"/>
    </xf>
    <xf numFmtId="0" fontId="93" fillId="0" borderId="45" xfId="0" applyFont="1" applyBorder="1" applyAlignment="1" applyProtection="1">
      <alignment horizontal="center"/>
      <protection locked="0"/>
    </xf>
    <xf numFmtId="0" fontId="93" fillId="0" borderId="40" xfId="0" applyFont="1" applyBorder="1" applyAlignment="1" applyProtection="1">
      <alignment horizontal="center" wrapText="1"/>
      <protection locked="0"/>
    </xf>
    <xf numFmtId="0" fontId="93" fillId="0" borderId="42" xfId="0" applyFont="1" applyBorder="1" applyAlignment="1" applyProtection="1">
      <alignment horizontal="center" vertical="center" wrapText="1"/>
      <protection locked="0"/>
    </xf>
    <xf numFmtId="0" fontId="93" fillId="0" borderId="45" xfId="0" applyFont="1" applyBorder="1" applyAlignment="1" applyProtection="1">
      <alignment horizontal="center" vertical="center" wrapText="1"/>
      <protection locked="0"/>
    </xf>
    <xf numFmtId="0" fontId="93" fillId="0" borderId="43" xfId="0" applyFont="1" applyBorder="1" applyAlignment="1" applyProtection="1">
      <alignment horizontal="center" vertical="center" wrapText="1"/>
      <protection locked="0"/>
    </xf>
    <xf numFmtId="0" fontId="93" fillId="0" borderId="16" xfId="0" applyFont="1" applyBorder="1" applyAlignment="1" applyProtection="1">
      <alignment horizontal="center" vertical="center"/>
      <protection locked="0"/>
    </xf>
    <xf numFmtId="0" fontId="93" fillId="0" borderId="46" xfId="0" applyFont="1" applyBorder="1" applyAlignment="1" applyProtection="1">
      <alignment horizontal="center" vertical="top"/>
      <protection locked="0"/>
    </xf>
    <xf numFmtId="0" fontId="93" fillId="0" borderId="44" xfId="0" applyFont="1" applyBorder="1" applyAlignment="1" applyProtection="1">
      <alignment horizontal="center" vertical="top"/>
      <protection locked="0"/>
    </xf>
    <xf numFmtId="0" fontId="93" fillId="0" borderId="13" xfId="0" applyFont="1" applyBorder="1" applyAlignment="1" applyProtection="1">
      <alignment horizontal="center" vertical="top"/>
      <protection locked="0"/>
    </xf>
    <xf numFmtId="0" fontId="109" fillId="0" borderId="13" xfId="0" applyFont="1" applyBorder="1" applyAlignment="1" applyProtection="1">
      <alignment horizontal="center" vertical="center"/>
      <protection locked="0"/>
    </xf>
    <xf numFmtId="0" fontId="109" fillId="0" borderId="14" xfId="0" applyFont="1" applyBorder="1" applyAlignment="1" applyProtection="1">
      <alignment horizontal="center" vertical="center"/>
      <protection locked="0"/>
    </xf>
    <xf numFmtId="0" fontId="93" fillId="0" borderId="0" xfId="0" applyFont="1" applyAlignment="1" applyProtection="1">
      <alignment horizontal="center" vertical="top"/>
      <protection locked="0"/>
    </xf>
    <xf numFmtId="0" fontId="93" fillId="0" borderId="14" xfId="0" applyFont="1" applyBorder="1" applyAlignment="1" applyProtection="1">
      <alignment horizontal="center" vertical="top"/>
      <protection locked="0"/>
    </xf>
    <xf numFmtId="1" fontId="96" fillId="0" borderId="13" xfId="0" applyNumberFormat="1" applyFont="1" applyBorder="1" applyAlignment="1">
      <alignment horizontal="center" vertical="center"/>
    </xf>
    <xf numFmtId="1" fontId="96" fillId="0" borderId="0" xfId="0" applyNumberFormat="1" applyFont="1" applyAlignment="1">
      <alignment horizontal="center" vertical="center"/>
    </xf>
    <xf numFmtId="1" fontId="96" fillId="0" borderId="83" xfId="0" applyNumberFormat="1" applyFont="1" applyBorder="1" applyAlignment="1">
      <alignment horizontal="center" vertical="center"/>
    </xf>
    <xf numFmtId="0" fontId="96" fillId="0" borderId="84" xfId="0" applyFont="1" applyBorder="1" applyAlignment="1" applyProtection="1">
      <alignment horizontal="center" vertical="center"/>
      <protection locked="0"/>
    </xf>
    <xf numFmtId="0" fontId="96" fillId="0" borderId="83" xfId="0" applyFont="1" applyBorder="1" applyAlignment="1" applyProtection="1">
      <alignment horizontal="center" vertical="center"/>
      <protection locked="0"/>
    </xf>
    <xf numFmtId="0" fontId="96" fillId="0" borderId="0" xfId="0" applyFont="1" applyAlignment="1" applyProtection="1">
      <alignment horizontal="center" vertical="center"/>
      <protection locked="0"/>
    </xf>
    <xf numFmtId="170" fontId="61" fillId="0" borderId="0" xfId="0" applyNumberFormat="1" applyFont="1" applyAlignment="1" applyProtection="1">
      <alignment horizontal="center" vertical="center"/>
      <protection locked="0"/>
    </xf>
    <xf numFmtId="170" fontId="62" fillId="0" borderId="0" xfId="0" applyNumberFormat="1" applyFont="1" applyAlignment="1" applyProtection="1">
      <alignment horizontal="center" vertical="center"/>
      <protection locked="0"/>
    </xf>
    <xf numFmtId="2" fontId="93" fillId="0" borderId="13" xfId="0" applyNumberFormat="1" applyFont="1" applyBorder="1" applyAlignment="1" applyProtection="1">
      <alignment horizontal="center" vertical="center"/>
      <protection locked="0"/>
    </xf>
    <xf numFmtId="2" fontId="93" fillId="0" borderId="14" xfId="0" applyNumberFormat="1" applyFont="1" applyBorder="1" applyAlignment="1" applyProtection="1">
      <alignment horizontal="center" vertical="center"/>
      <protection locked="0"/>
    </xf>
    <xf numFmtId="2" fontId="61" fillId="0" borderId="0" xfId="0" applyNumberFormat="1" applyFont="1" applyAlignment="1" applyProtection="1">
      <alignment horizontal="center" vertical="center"/>
      <protection locked="0"/>
    </xf>
    <xf numFmtId="2" fontId="93" fillId="0" borderId="0" xfId="0" applyNumberFormat="1" applyFont="1" applyAlignment="1" applyProtection="1">
      <alignment horizontal="center" vertical="center"/>
      <protection locked="0"/>
    </xf>
    <xf numFmtId="0" fontId="0" fillId="0" borderId="0" xfId="0" applyAlignment="1">
      <alignment horizontal="center" vertical="center"/>
    </xf>
    <xf numFmtId="0" fontId="0" fillId="0" borderId="14" xfId="0" applyBorder="1" applyAlignment="1">
      <alignment horizontal="center" vertical="center"/>
    </xf>
    <xf numFmtId="0" fontId="93" fillId="0" borderId="16" xfId="0" applyFont="1" applyBorder="1" applyAlignment="1" applyProtection="1">
      <alignment horizontal="center" wrapText="1"/>
      <protection locked="0"/>
    </xf>
    <xf numFmtId="0" fontId="93" fillId="0" borderId="28" xfId="0" applyFont="1" applyBorder="1" applyAlignment="1" applyProtection="1">
      <alignment horizontal="center" wrapText="1"/>
      <protection locked="0"/>
    </xf>
    <xf numFmtId="0" fontId="52" fillId="0" borderId="32" xfId="0" applyFont="1" applyBorder="1" applyAlignment="1">
      <alignment horizontal="center" vertical="center"/>
    </xf>
    <xf numFmtId="0" fontId="52" fillId="0" borderId="47" xfId="0" applyFont="1" applyBorder="1" applyAlignment="1">
      <alignment horizontal="center" vertical="center"/>
    </xf>
    <xf numFmtId="0" fontId="52" fillId="0" borderId="31" xfId="0" applyFont="1" applyBorder="1" applyAlignment="1">
      <alignment horizontal="center" vertical="center"/>
    </xf>
    <xf numFmtId="0" fontId="70" fillId="18" borderId="13" xfId="0" applyFont="1" applyFill="1" applyBorder="1" applyAlignment="1">
      <alignment horizontal="center" vertical="center"/>
    </xf>
    <xf numFmtId="0" fontId="70" fillId="18" borderId="0" xfId="0" applyFont="1" applyFill="1" applyAlignment="1">
      <alignment horizontal="center" vertical="center"/>
    </xf>
    <xf numFmtId="4" fontId="77" fillId="0" borderId="0" xfId="0" applyNumberFormat="1" applyFont="1" applyAlignment="1">
      <alignment horizontal="center"/>
    </xf>
    <xf numFmtId="176" fontId="48" fillId="18" borderId="6" xfId="0" applyNumberFormat="1" applyFont="1" applyFill="1" applyBorder="1" applyAlignment="1">
      <alignment horizontal="center" vertical="center"/>
    </xf>
    <xf numFmtId="0" fontId="48" fillId="34" borderId="6" xfId="0" applyFont="1" applyFill="1" applyBorder="1" applyAlignment="1">
      <alignment horizontal="center" vertical="center" wrapText="1"/>
    </xf>
    <xf numFmtId="2" fontId="47" fillId="14" borderId="0" xfId="0" applyNumberFormat="1" applyFont="1" applyFill="1" applyAlignment="1">
      <alignment horizontal="center" vertical="center" wrapText="1"/>
    </xf>
    <xf numFmtId="2" fontId="47" fillId="14" borderId="22" xfId="0" applyNumberFormat="1" applyFont="1" applyFill="1" applyBorder="1" applyAlignment="1">
      <alignment horizontal="center" vertical="center" wrapText="1"/>
    </xf>
    <xf numFmtId="2" fontId="47" fillId="14" borderId="5" xfId="0" applyNumberFormat="1" applyFont="1" applyFill="1" applyBorder="1" applyAlignment="1">
      <alignment horizontal="center" vertical="center" wrapText="1"/>
    </xf>
    <xf numFmtId="2" fontId="47" fillId="14" borderId="30" xfId="0" applyNumberFormat="1" applyFont="1" applyFill="1" applyBorder="1" applyAlignment="1">
      <alignment horizontal="center" vertical="center" wrapText="1"/>
    </xf>
    <xf numFmtId="0" fontId="70" fillId="18" borderId="6" xfId="0" applyFont="1" applyFill="1" applyBorder="1" applyAlignment="1">
      <alignment horizontal="center" vertical="center"/>
    </xf>
    <xf numFmtId="176" fontId="48" fillId="18" borderId="22" xfId="0" applyNumberFormat="1" applyFont="1" applyFill="1" applyBorder="1" applyAlignment="1">
      <alignment horizontal="center" vertical="center"/>
    </xf>
    <xf numFmtId="176" fontId="48" fillId="18" borderId="5" xfId="0" applyNumberFormat="1" applyFont="1" applyFill="1" applyBorder="1" applyAlignment="1">
      <alignment horizontal="center" vertical="center"/>
    </xf>
    <xf numFmtId="176" fontId="48" fillId="18" borderId="30" xfId="0" applyNumberFormat="1" applyFont="1" applyFill="1" applyBorder="1" applyAlignment="1">
      <alignment horizontal="center" vertical="center"/>
    </xf>
    <xf numFmtId="0" fontId="48" fillId="34" borderId="22" xfId="0" applyFont="1" applyFill="1" applyBorder="1" applyAlignment="1">
      <alignment horizontal="center" vertical="center"/>
    </xf>
    <xf numFmtId="0" fontId="48" fillId="34" borderId="5" xfId="0" applyFont="1" applyFill="1" applyBorder="1" applyAlignment="1">
      <alignment horizontal="center" vertical="center"/>
    </xf>
    <xf numFmtId="0" fontId="48" fillId="34" borderId="30" xfId="0" applyFont="1" applyFill="1" applyBorder="1" applyAlignment="1">
      <alignment horizontal="center" vertical="center"/>
    </xf>
    <xf numFmtId="168" fontId="52" fillId="0" borderId="1" xfId="0" applyNumberFormat="1" applyFont="1" applyBorder="1" applyAlignment="1">
      <alignment horizontal="center" vertical="center"/>
    </xf>
    <xf numFmtId="0" fontId="52" fillId="0" borderId="1" xfId="0" applyFont="1" applyBorder="1" applyAlignment="1">
      <alignment horizontal="center" vertical="center"/>
    </xf>
    <xf numFmtId="168" fontId="47" fillId="32" borderId="22" xfId="0" applyNumberFormat="1" applyFont="1" applyFill="1" applyBorder="1" applyAlignment="1">
      <alignment horizontal="center" vertical="center" wrapText="1"/>
    </xf>
    <xf numFmtId="168" fontId="47" fillId="32" borderId="5" xfId="0" applyNumberFormat="1" applyFont="1" applyFill="1" applyBorder="1" applyAlignment="1">
      <alignment horizontal="center" vertical="center" wrapText="1"/>
    </xf>
    <xf numFmtId="168" fontId="47" fillId="32" borderId="30" xfId="0" applyNumberFormat="1" applyFont="1" applyFill="1" applyBorder="1" applyAlignment="1">
      <alignment horizontal="center" vertical="center" wrapText="1"/>
    </xf>
    <xf numFmtId="0" fontId="137" fillId="55" borderId="0" xfId="65" applyFont="1" applyFill="1" applyAlignment="1">
      <alignment horizontal="left"/>
    </xf>
    <xf numFmtId="0" fontId="146" fillId="0" borderId="0" xfId="67" applyFont="1" applyAlignment="1">
      <alignment horizontal="center" vertical="center"/>
    </xf>
    <xf numFmtId="0" fontId="148" fillId="0" borderId="36" xfId="67" applyFont="1" applyBorder="1" applyAlignment="1">
      <alignment horizontal="center" vertical="center"/>
    </xf>
    <xf numFmtId="0" fontId="144" fillId="0" borderId="0" xfId="67" quotePrefix="1" applyFont="1" applyAlignment="1">
      <alignment horizontal="center" vertical="center"/>
    </xf>
    <xf numFmtId="0" fontId="144" fillId="0" borderId="0" xfId="67" applyFont="1" applyAlignment="1">
      <alignment horizontal="center" vertical="center"/>
    </xf>
    <xf numFmtId="0" fontId="148" fillId="0" borderId="91" xfId="67" applyFont="1" applyBorder="1" applyAlignment="1">
      <alignment horizontal="center" vertical="center"/>
    </xf>
    <xf numFmtId="4" fontId="52" fillId="32" borderId="22" xfId="0" applyNumberFormat="1" applyFont="1" applyFill="1" applyBorder="1" applyAlignment="1">
      <alignment horizontal="center" vertical="center" wrapText="1"/>
    </xf>
    <xf numFmtId="4" fontId="52" fillId="32" borderId="5" xfId="0" applyNumberFormat="1" applyFont="1" applyFill="1" applyBorder="1" applyAlignment="1">
      <alignment horizontal="center" vertical="center" wrapText="1"/>
    </xf>
    <xf numFmtId="4" fontId="52" fillId="32" borderId="30" xfId="0" applyNumberFormat="1" applyFont="1" applyFill="1" applyBorder="1" applyAlignment="1">
      <alignment horizontal="center" vertical="center" wrapText="1"/>
    </xf>
    <xf numFmtId="0" fontId="47" fillId="0" borderId="6" xfId="0" applyFont="1" applyBorder="1" applyAlignment="1">
      <alignment horizontal="center"/>
    </xf>
    <xf numFmtId="3" fontId="47" fillId="0" borderId="87" xfId="0" applyNumberFormat="1" applyFont="1" applyBorder="1" applyAlignment="1">
      <alignment horizontal="center"/>
    </xf>
    <xf numFmtId="3" fontId="47" fillId="0" borderId="5" xfId="0" applyNumberFormat="1" applyFont="1" applyBorder="1" applyAlignment="1">
      <alignment horizontal="center"/>
    </xf>
    <xf numFmtId="3" fontId="47" fillId="0" borderId="88" xfId="0" applyNumberFormat="1" applyFont="1" applyBorder="1" applyAlignment="1">
      <alignment horizontal="center"/>
    </xf>
    <xf numFmtId="0" fontId="47" fillId="0" borderId="5" xfId="0" applyFont="1" applyBorder="1" applyAlignment="1">
      <alignment horizontal="center"/>
    </xf>
    <xf numFmtId="0" fontId="47" fillId="0" borderId="30" xfId="0" applyFont="1" applyBorder="1" applyAlignment="1">
      <alignment horizontal="center"/>
    </xf>
    <xf numFmtId="3" fontId="47" fillId="0" borderId="89" xfId="0" applyNumberFormat="1" applyFont="1" applyBorder="1" applyAlignment="1">
      <alignment horizontal="center"/>
    </xf>
    <xf numFmtId="3" fontId="47" fillId="0" borderId="71" xfId="0" applyNumberFormat="1" applyFont="1" applyBorder="1" applyAlignment="1">
      <alignment horizontal="center"/>
    </xf>
    <xf numFmtId="3" fontId="47" fillId="0" borderId="72" xfId="0" applyNumberFormat="1" applyFont="1" applyBorder="1" applyAlignment="1">
      <alignment horizontal="center"/>
    </xf>
    <xf numFmtId="3" fontId="47" fillId="0" borderId="90" xfId="0" applyNumberFormat="1" applyFont="1" applyBorder="1" applyAlignment="1">
      <alignment horizontal="center"/>
    </xf>
    <xf numFmtId="0" fontId="47" fillId="53" borderId="6" xfId="0" applyFont="1" applyFill="1" applyBorder="1" applyAlignment="1">
      <alignment horizontal="center" vertical="center" textRotation="90"/>
    </xf>
    <xf numFmtId="0" fontId="47" fillId="51" borderId="6" xfId="0" applyFont="1" applyFill="1" applyBorder="1" applyAlignment="1">
      <alignment horizontal="center" vertical="center" textRotation="90"/>
    </xf>
    <xf numFmtId="0" fontId="47" fillId="51" borderId="6" xfId="0" applyFont="1" applyFill="1" applyBorder="1" applyAlignment="1">
      <alignment horizontal="center" textRotation="90" wrapText="1"/>
    </xf>
    <xf numFmtId="0" fontId="47" fillId="52" borderId="6" xfId="0" applyFont="1" applyFill="1" applyBorder="1" applyAlignment="1">
      <alignment horizontal="center" textRotation="90" wrapText="1"/>
    </xf>
    <xf numFmtId="0" fontId="47" fillId="0" borderId="29" xfId="0" applyFont="1" applyBorder="1" applyAlignment="1">
      <alignment horizontal="center" vertical="center" textRotation="90"/>
    </xf>
    <xf numFmtId="0" fontId="47" fillId="0" borderId="16" xfId="0" applyFont="1" applyBorder="1" applyAlignment="1">
      <alignment horizontal="center" vertical="center" textRotation="90"/>
    </xf>
    <xf numFmtId="0" fontId="47" fillId="0" borderId="28" xfId="0" applyFont="1" applyBorder="1" applyAlignment="1">
      <alignment horizontal="center" vertical="center" textRotation="90"/>
    </xf>
    <xf numFmtId="0" fontId="47" fillId="52" borderId="6" xfId="0" applyFont="1" applyFill="1" applyBorder="1" applyAlignment="1">
      <alignment horizontal="center" vertical="center" textRotation="90"/>
    </xf>
    <xf numFmtId="0" fontId="47" fillId="0" borderId="13" xfId="0" applyFont="1" applyBorder="1" applyAlignment="1">
      <alignment horizontal="center"/>
    </xf>
    <xf numFmtId="0" fontId="47" fillId="48" borderId="6" xfId="0" applyFont="1" applyFill="1" applyBorder="1" applyAlignment="1">
      <alignment horizontal="center" vertical="center" textRotation="90"/>
    </xf>
    <xf numFmtId="0" fontId="47" fillId="49" borderId="6" xfId="0" applyFont="1" applyFill="1" applyBorder="1" applyAlignment="1">
      <alignment horizontal="center" vertical="center" textRotation="90"/>
    </xf>
    <xf numFmtId="0" fontId="47" fillId="50" borderId="6" xfId="0" applyFont="1" applyFill="1" applyBorder="1" applyAlignment="1">
      <alignment horizontal="center" vertical="center" textRotation="90"/>
    </xf>
    <xf numFmtId="0" fontId="47" fillId="0" borderId="6" xfId="0" applyFont="1" applyBorder="1" applyAlignment="1">
      <alignment horizontal="center" vertical="center" textRotation="90"/>
    </xf>
    <xf numFmtId="0" fontId="47" fillId="48" borderId="6" xfId="0" applyFont="1" applyFill="1" applyBorder="1" applyAlignment="1">
      <alignment horizontal="center" textRotation="90" wrapText="1"/>
    </xf>
    <xf numFmtId="0" fontId="47" fillId="49" borderId="6" xfId="0" applyFont="1" applyFill="1" applyBorder="1" applyAlignment="1">
      <alignment horizontal="center" textRotation="90" wrapText="1"/>
    </xf>
    <xf numFmtId="0" fontId="47" fillId="50" borderId="6" xfId="0" applyFont="1" applyFill="1" applyBorder="1" applyAlignment="1">
      <alignment horizontal="center" textRotation="90" wrapText="1"/>
    </xf>
    <xf numFmtId="0" fontId="48" fillId="18" borderId="32" xfId="0" applyFont="1" applyFill="1" applyBorder="1" applyAlignment="1">
      <alignment horizontal="center"/>
    </xf>
    <xf numFmtId="0" fontId="48" fillId="18" borderId="31" xfId="0" applyFont="1" applyFill="1" applyBorder="1" applyAlignment="1">
      <alignment horizontal="center"/>
    </xf>
    <xf numFmtId="0" fontId="48" fillId="18" borderId="116" xfId="0" applyFont="1" applyFill="1" applyBorder="1" applyAlignment="1">
      <alignment horizontal="center"/>
    </xf>
    <xf numFmtId="0" fontId="52" fillId="0" borderId="16" xfId="0" applyFont="1" applyBorder="1" applyAlignment="1">
      <alignment horizontal="center" vertical="center"/>
    </xf>
    <xf numFmtId="0" fontId="52" fillId="0" borderId="28" xfId="0" applyFont="1" applyBorder="1" applyAlignment="1">
      <alignment horizontal="center" vertical="center"/>
    </xf>
    <xf numFmtId="0" fontId="47" fillId="0" borderId="16" xfId="0" applyFont="1" applyBorder="1" applyAlignment="1">
      <alignment horizontal="center" vertical="center"/>
    </xf>
    <xf numFmtId="0" fontId="47" fillId="0" borderId="28" xfId="0" applyFont="1" applyBorder="1" applyAlignment="1">
      <alignment horizontal="center" vertical="center"/>
    </xf>
    <xf numFmtId="0" fontId="47" fillId="0" borderId="1" xfId="0" applyFont="1" applyBorder="1" applyAlignment="1">
      <alignment horizontal="center" vertical="center"/>
    </xf>
    <xf numFmtId="0" fontId="53" fillId="0" borderId="16" xfId="0" applyFont="1" applyBorder="1" applyAlignment="1">
      <alignment horizontal="center" vertical="center"/>
    </xf>
    <xf numFmtId="0" fontId="53" fillId="0" borderId="28" xfId="0" applyFont="1" applyBorder="1" applyAlignment="1">
      <alignment horizontal="center" vertical="center"/>
    </xf>
    <xf numFmtId="0" fontId="111" fillId="18" borderId="98" xfId="0" applyFont="1" applyFill="1" applyBorder="1" applyAlignment="1">
      <alignment horizontal="left" vertical="center"/>
    </xf>
    <xf numFmtId="0" fontId="111" fillId="18" borderId="99" xfId="0" applyFont="1" applyFill="1" applyBorder="1" applyAlignment="1">
      <alignment horizontal="left" vertical="center"/>
    </xf>
    <xf numFmtId="0" fontId="112" fillId="0" borderId="0" xfId="0" applyFont="1" applyAlignment="1">
      <alignment horizontal="left"/>
    </xf>
    <xf numFmtId="0" fontId="47" fillId="0" borderId="29" xfId="0" applyNumberFormat="1" applyFont="1" applyFill="1" applyBorder="1" applyAlignment="1">
      <alignment horizontal="left"/>
    </xf>
    <xf numFmtId="0" fontId="47" fillId="0" borderId="29" xfId="0" applyNumberFormat="1" applyFont="1" applyFill="1" applyBorder="1" applyAlignment="1">
      <alignment horizontal="center"/>
    </xf>
    <xf numFmtId="170" fontId="47" fillId="0" borderId="29" xfId="0" applyNumberFormat="1" applyFont="1" applyFill="1" applyBorder="1" applyAlignment="1">
      <alignment horizontal="center"/>
    </xf>
    <xf numFmtId="171" fontId="47" fillId="0" borderId="29" xfId="0" applyNumberFormat="1" applyFont="1" applyFill="1" applyBorder="1" applyAlignment="1">
      <alignment horizontal="center"/>
    </xf>
    <xf numFmtId="176" fontId="47" fillId="0" borderId="29" xfId="0" applyNumberFormat="1" applyFont="1" applyFill="1" applyBorder="1" applyAlignment="1">
      <alignment horizontal="center"/>
    </xf>
    <xf numFmtId="2" fontId="47" fillId="0" borderId="29" xfId="0" applyNumberFormat="1" applyFont="1" applyFill="1" applyBorder="1" applyAlignment="1">
      <alignment horizontal="center"/>
    </xf>
    <xf numFmtId="0" fontId="47" fillId="32" borderId="29" xfId="0" applyNumberFormat="1" applyFont="1" applyFill="1" applyBorder="1" applyAlignment="1">
      <alignment horizontal="center"/>
    </xf>
    <xf numFmtId="186" fontId="47" fillId="0" borderId="29" xfId="0" applyNumberFormat="1" applyFont="1" applyFill="1" applyBorder="1" applyAlignment="1">
      <alignment horizontal="center"/>
    </xf>
    <xf numFmtId="0" fontId="107" fillId="32" borderId="29" xfId="0" applyNumberFormat="1" applyFont="1" applyFill="1" applyBorder="1" applyAlignment="1">
      <alignment horizontal="center"/>
    </xf>
  </cellXfs>
  <cellStyles count="72">
    <cellStyle name="Akzent1" xfId="1" builtinId="29" customBuiltin="1"/>
    <cellStyle name="Akzent2" xfId="2" builtinId="33" customBuiltin="1"/>
    <cellStyle name="Akzent3" xfId="3" builtinId="37" customBuiltin="1"/>
    <cellStyle name="Akzent4" xfId="4" builtinId="41" customBuiltin="1"/>
    <cellStyle name="Akzent5" xfId="5" builtinId="45" customBuiltin="1"/>
    <cellStyle name="Akzent6" xfId="6" builtinId="49" customBuiltin="1"/>
    <cellStyle name="Ausgabe" xfId="7" builtinId="21" customBuiltin="1"/>
    <cellStyle name="Berechnung" xfId="8" builtinId="22" customBuiltin="1"/>
    <cellStyle name="Eingabe" xfId="9" builtinId="20" customBuiltin="1"/>
    <cellStyle name="Ergebnis" xfId="10" builtinId="25" customBuiltin="1"/>
    <cellStyle name="Erklärender Text" xfId="11" builtinId="53" customBuiltin="1"/>
    <cellStyle name="Euro 3 2" xfId="31" xr:uid="{4AD61D6F-D9D5-4C66-B026-152CC76EE9B5}"/>
    <cellStyle name="Euro 3 2 2" xfId="45" xr:uid="{1D4731C7-BD78-42D4-8082-F8A8CB154AA4}"/>
    <cellStyle name="Gut" xfId="12" builtinId="26" customBuiltin="1"/>
    <cellStyle name="Komma" xfId="25" builtinId="3"/>
    <cellStyle name="Komma 2" xfId="36" xr:uid="{138E250E-EC51-4DBD-B6E6-41AA3B4C060B}"/>
    <cellStyle name="Komma 2 2" xfId="48" xr:uid="{396F0C32-67C4-4E6E-A3D7-5CE846C6A465}"/>
    <cellStyle name="Komma 3" xfId="43" xr:uid="{91084994-2666-4EE5-97C9-7E08913C5199}"/>
    <cellStyle name="Komma 4" xfId="68" xr:uid="{3CAEF268-AC30-4315-BD89-98A99D7EB804}"/>
    <cellStyle name="Link" xfId="26" builtinId="8"/>
    <cellStyle name="Link 2" xfId="60" xr:uid="{2C206E9E-AA0A-43E8-8147-E295D88AF56F}"/>
    <cellStyle name="Neutral" xfId="13" builtinId="28" customBuiltin="1"/>
    <cellStyle name="Notiz" xfId="14" builtinId="10" customBuiltin="1"/>
    <cellStyle name="Notiz 2" xfId="42" xr:uid="{0C59FF71-E7F1-4D8E-94A3-06E798EAA3D1}"/>
    <cellStyle name="Per cent 2" xfId="64" xr:uid="{38ADA404-43EE-4298-8C6B-A8804EDB65FF}"/>
    <cellStyle name="Prozent" xfId="24" builtinId="5"/>
    <cellStyle name="Prozent 10" xfId="69" xr:uid="{A46D0F03-B077-42A3-84E4-B74AA55EE808}"/>
    <cellStyle name="Prozent 10 2" xfId="66" xr:uid="{D4704BEF-B5EC-4D48-8A2C-598D79DF5DB0}"/>
    <cellStyle name="Prozent 11" xfId="70" xr:uid="{3398B510-FAB0-411A-B495-7634BC921E80}"/>
    <cellStyle name="Prozent 12" xfId="71" xr:uid="{65A58FEF-9DF2-4161-A4C1-003710B30282}"/>
    <cellStyle name="Prozent 2" xfId="28" xr:uid="{479241DA-99FE-44AC-A7EB-05DBA0458849}"/>
    <cellStyle name="Prozent 3" xfId="54" xr:uid="{88D1953A-A294-48CC-8758-3E3FB5D80F77}"/>
    <cellStyle name="Prozent 4" xfId="56" xr:uid="{AAAF91E7-D1F8-4382-A439-4363BADCC37E}"/>
    <cellStyle name="Prozent 5" xfId="57" xr:uid="{D0D9C7D7-A701-41B2-B277-254E6045985E}"/>
    <cellStyle name="Prozent 6" xfId="58" xr:uid="{BEA98A1E-C6EC-4EA5-8BCE-61E0F3A0F0A9}"/>
    <cellStyle name="Prozent 7" xfId="59" xr:uid="{2326C0EA-8D33-4996-AC8E-57CE5CF57866}"/>
    <cellStyle name="Prozent 8" xfId="61" xr:uid="{60A904C3-AD62-4938-A692-E2C323BDE171}"/>
    <cellStyle name="Prozent 9" xfId="63" xr:uid="{BB20F207-AC9D-4629-B8D8-1E0F895B08C0}"/>
    <cellStyle name="Schlecht" xfId="15" builtinId="27" customBuiltin="1"/>
    <cellStyle name="Standard" xfId="0" builtinId="0"/>
    <cellStyle name="Standard 2" xfId="27" xr:uid="{F0791C7F-A613-4A7A-A972-905C0F626313}"/>
    <cellStyle name="Standard 2 2" xfId="32" xr:uid="{24FA8401-5634-4A49-B89B-E78644938105}"/>
    <cellStyle name="Standard 2 3" xfId="39" xr:uid="{5210D6FA-C743-448E-A532-7064CA15326D}"/>
    <cellStyle name="Standard 2 3 2" xfId="51" xr:uid="{548E49EB-2038-4AF2-AE0A-C6699F025ABC}"/>
    <cellStyle name="Standard 3" xfId="40" xr:uid="{2F38A88B-3EB2-4194-A8E8-6A77B5FBB38C}"/>
    <cellStyle name="Standard 3 2" xfId="52" xr:uid="{14BB600E-6F0F-4510-8495-6D224F6CF5CB}"/>
    <cellStyle name="Standard 4" xfId="29" xr:uid="{02FD22F1-A42A-488E-A8B6-4129C88E2E77}"/>
    <cellStyle name="Standard 5" xfId="35" xr:uid="{A44D42BE-6934-4CC9-A24A-5C9B15178543}"/>
    <cellStyle name="Standard 6" xfId="41" xr:uid="{59CED6EE-D67D-4807-BCD5-C91F4BEB878B}"/>
    <cellStyle name="Standard 6 2" xfId="53" xr:uid="{81144EDB-696E-41D1-B363-B27937442AB5}"/>
    <cellStyle name="Standard 6 3 3" xfId="30" xr:uid="{5F028B75-312A-4011-A927-A5192EB6D159}"/>
    <cellStyle name="Standard 6 3 3 2" xfId="37" xr:uid="{5615800B-D84A-4384-841C-C0758DCA5B2E}"/>
    <cellStyle name="Standard 6 3 3 2 2" xfId="49" xr:uid="{B1542938-8184-4800-AD2E-9BEBC68B9356}"/>
    <cellStyle name="Standard 6 3 3 3" xfId="38" xr:uid="{E5CB2371-034D-481E-8517-9303992EC491}"/>
    <cellStyle name="Standard 6 3 3 3 2" xfId="50" xr:uid="{79CCE115-49C5-4238-ABC6-65E7DC712951}"/>
    <cellStyle name="Standard 6 3 3 4" xfId="44" xr:uid="{C55EFF07-D76C-4662-8031-2A3D407F5A8D}"/>
    <cellStyle name="Standard 7" xfId="55" xr:uid="{C3D1684A-AE54-4AE1-9E4F-0E187994ADD0}"/>
    <cellStyle name="Standard 8" xfId="62" xr:uid="{485C927F-9943-443D-A907-D8BB663ABF4F}"/>
    <cellStyle name="Standard 9" xfId="65" xr:uid="{3682D11D-882F-4D7A-99E8-36B0613C7058}"/>
    <cellStyle name="Standard_Stückliste_Platine_APA_2008-09-10" xfId="67" xr:uid="{6EC81481-D3D9-45DF-85E4-C2240455EE36}"/>
    <cellStyle name="Überschrift" xfId="16" builtinId="15" customBuiltin="1"/>
    <cellStyle name="Überschrift 1" xfId="17" builtinId="16" customBuiltin="1"/>
    <cellStyle name="Überschrift 2" xfId="18" builtinId="17" customBuiltin="1"/>
    <cellStyle name="Überschrift 3" xfId="19" builtinId="18" customBuiltin="1"/>
    <cellStyle name="Überschrift 4" xfId="20" builtinId="19" customBuiltin="1"/>
    <cellStyle name="Verknüpfte Zelle" xfId="21" builtinId="24" customBuiltin="1"/>
    <cellStyle name="Währung 2" xfId="33" xr:uid="{24592887-4CA4-488A-AD81-139A87C113A1}"/>
    <cellStyle name="Währung 2 2" xfId="46" xr:uid="{61F5FE9E-5ECE-46C8-B2C1-2C0FCEE7E55D}"/>
    <cellStyle name="Währung 6" xfId="34" xr:uid="{FF1DFEC1-D207-4CC5-9240-EC7486023532}"/>
    <cellStyle name="Währung 6 2" xfId="47" xr:uid="{F2BEBB87-6A4D-4AD6-B049-F6F502E21584}"/>
    <cellStyle name="Warnender Text" xfId="22" builtinId="11" customBuiltin="1"/>
    <cellStyle name="Zelle überprüfen" xfId="23" builtinId="23" customBuiltin="1"/>
  </cellStyles>
  <dxfs count="1367">
    <dxf>
      <numFmt numFmtId="0" formatCode="General"/>
    </dxf>
    <dxf>
      <numFmt numFmtId="0" formatCode="General"/>
    </dxf>
    <dxf>
      <numFmt numFmtId="186" formatCode="m/d/yyyy"/>
    </dxf>
    <dxf>
      <numFmt numFmtId="186" formatCode="m/d/yyyy"/>
    </dxf>
    <dxf>
      <numFmt numFmtId="0" formatCode="General"/>
    </dxf>
    <dxf>
      <numFmt numFmtId="0" formatCode="General"/>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horizontal="left" vertical="center" textRotation="0" wrapText="0" indent="0" justifyLastLine="0" shrinkToFit="0" readingOrder="0"/>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vertical="center" textRotation="0" wrapText="0" indent="0" justifyLastLine="0" shrinkToFit="0" readingOrder="0"/>
    </dxf>
    <dxf>
      <font>
        <strike val="0"/>
        <outline val="0"/>
        <shadow val="0"/>
        <u val="none"/>
        <vertAlign val="baseline"/>
        <sz val="10"/>
        <color auto="1"/>
        <name val="Arial Narrow"/>
        <scheme val="minor"/>
      </font>
    </dxf>
    <dxf>
      <font>
        <color theme="7"/>
      </font>
    </dxf>
    <dxf>
      <font>
        <color theme="7"/>
      </font>
    </dxf>
    <dxf>
      <font>
        <color theme="7"/>
      </font>
    </dxf>
    <dxf>
      <font>
        <color theme="7"/>
      </font>
    </dxf>
    <dxf>
      <font>
        <color theme="7"/>
      </font>
    </dxf>
    <dxf>
      <font>
        <color theme="7"/>
      </font>
    </dxf>
    <dxf>
      <font>
        <color theme="7"/>
      </font>
    </dxf>
    <dxf>
      <alignment horizontal="center" vertical="bottom" textRotation="0" wrapText="0" indent="0" justifyLastLine="0" shrinkToFit="0" readingOrder="0"/>
      <border diagonalUp="0" diagonalDown="0" outline="0">
        <left/>
        <right style="medium">
          <color indexed="64"/>
        </right>
        <top/>
        <bottom style="medium">
          <color indexed="64"/>
        </bottom>
      </border>
    </dxf>
    <dxf>
      <numFmt numFmtId="0" formatCode="General"/>
      <fill>
        <patternFill>
          <fgColor indexed="64"/>
          <bgColor theme="0" tint="-4.9989318521683403E-2"/>
        </patternFill>
      </fill>
      <alignment horizontal="center" textRotation="0" wrapText="0" indent="0" justifyLastLine="0" shrinkToFit="0" readingOrder="0"/>
      <border diagonalUp="0" diagonalDown="0" outline="0">
        <left/>
        <right style="medium">
          <color indexed="64"/>
        </right>
      </border>
    </dxf>
    <dxf>
      <alignment horizontal="center" vertical="bottom" textRotation="0" wrapText="0" indent="0" justifyLastLine="0" shrinkToFit="0" readingOrder="0"/>
      <border diagonalUp="0" diagonalDown="0" outline="0">
        <left/>
        <right/>
        <top/>
        <bottom style="medium">
          <color indexed="64"/>
        </bottom>
      </border>
    </dxf>
    <dxf>
      <numFmt numFmtId="0" formatCode="General"/>
      <fill>
        <patternFill patternType="solid">
          <fgColor indexed="64"/>
          <bgColor theme="0" tint="-4.9989318521683403E-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medium">
          <color indexed="64"/>
        </left>
        <right/>
        <top/>
        <bottom style="medium">
          <color indexed="64"/>
        </bottom>
      </border>
    </dxf>
    <dxf>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medium">
          <color indexed="64"/>
        </left>
        <right/>
      </border>
    </dxf>
    <dxf>
      <numFmt numFmtId="168" formatCode="0.0"/>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style="medium">
          <color indexed="64"/>
        </bottom>
      </border>
    </dxf>
    <dxf>
      <numFmt numFmtId="168" formatCode="0.0"/>
      <fill>
        <patternFill patternType="solid">
          <fgColor indexed="64"/>
          <bgColor theme="9" tint="0.79998168889431442"/>
        </patternFill>
      </fill>
      <alignment horizontal="center" textRotation="0" wrapText="0" indent="0" justifyLastLine="0" shrinkToFit="0" readingOrder="0"/>
      <border diagonalUp="0" diagonalDown="0" outline="0">
        <left/>
        <right style="medium">
          <color indexed="64"/>
        </right>
        <top/>
        <bottom/>
      </border>
    </dxf>
    <dxf>
      <alignment horizontal="center" vertical="bottom" textRotation="0" wrapText="0" indent="0" justifyLastLine="0" shrinkToFit="0" readingOrder="0"/>
      <border diagonalUp="0" diagonalDown="0" outline="0">
        <left/>
        <right/>
        <top/>
        <bottom style="medium">
          <color indexed="64"/>
        </bottom>
      </border>
    </dxf>
    <dxf>
      <numFmt numFmtId="168"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68" formatCode="0.0"/>
      <fill>
        <patternFill patternType="solid">
          <fgColor indexed="64"/>
          <bgColor theme="9" tint="0.79998168889431442"/>
        </patternFill>
      </fill>
      <alignment horizontal="center"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0" formatCode="General"/>
      <fill>
        <patternFill patternType="solid">
          <fgColor indexed="64"/>
          <bgColor theme="9" tint="0.79998168889431442"/>
        </patternFill>
      </fill>
      <alignment horizontal="center"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vertical="bottom"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68" formatCode="0.0"/>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 formatCode="0"/>
      <fill>
        <patternFill patternType="solid">
          <fgColor indexed="64"/>
          <bgColor theme="9" tint="0.79998168889431442"/>
        </patternFill>
      </fill>
      <alignment horizontal="center" vertical="bottom"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vertical="bottom" textRotation="0" wrapText="0" indent="0" justifyLastLine="0" shrinkToFit="0" readingOrder="0"/>
    </dxf>
    <dxf>
      <alignment horizontal="center" vertical="bottom" textRotation="0" wrapText="0" indent="0" justifyLastLine="0" shrinkToFit="0" readingOrder="0"/>
      <border diagonalUp="0" diagonalDown="0" outline="0">
        <left style="medium">
          <color indexed="64"/>
        </left>
        <right/>
        <top/>
        <bottom style="medium">
          <color indexed="64"/>
        </bottom>
      </border>
    </dxf>
    <dxf>
      <fill>
        <patternFill patternType="solid">
          <fgColor indexed="64"/>
          <bgColor theme="9" tint="0.79998168889431442"/>
        </patternFill>
      </fill>
      <alignment horizontal="center" textRotation="0" wrapText="0" indent="0" justifyLastLine="0" shrinkToFit="0" readingOrder="0"/>
      <border diagonalUp="0" diagonalDown="0" outline="0">
        <left style="medium">
          <color indexed="64"/>
        </left>
        <right/>
        <top/>
        <bottom/>
      </border>
    </dxf>
    <dxf>
      <border>
        <bottom style="thin">
          <color rgb="FF000000"/>
        </bottom>
      </border>
    </dxf>
    <dxf>
      <font>
        <strike val="0"/>
        <outline val="0"/>
        <shadow val="0"/>
        <u val="none"/>
        <vertAlign val="baseline"/>
        <sz val="10"/>
        <color auto="1"/>
        <name val="Arial"/>
        <scheme val="none"/>
      </font>
      <fill>
        <patternFill patternType="solid">
          <fgColor indexed="64"/>
          <bgColor theme="8"/>
        </patternFill>
      </fill>
      <alignment vertical="top" textRotation="0" wrapText="0" indent="0" justifyLastLine="0" shrinkToFit="0" readingOrder="0"/>
    </dxf>
    <dxf>
      <font>
        <color rgb="FF006100"/>
      </font>
      <fill>
        <patternFill>
          <bgColor rgb="FFC6EFCE"/>
        </patternFill>
      </fill>
    </dxf>
    <dxf>
      <font>
        <color rgb="FF9C0006"/>
      </font>
      <fill>
        <patternFill>
          <bgColor rgb="FFFFC7CE"/>
        </patternFill>
      </fill>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border outline="0">
        <top style="thin">
          <color theme="4" tint="0.39997558519241921"/>
        </top>
      </border>
    </dxf>
    <dxf>
      <alignment horizontal="center"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relativeIndent="-1"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color theme="5"/>
      </font>
    </dxf>
    <dxf>
      <font>
        <color rgb="FF9C0006"/>
      </font>
      <fill>
        <patternFill>
          <bgColor rgb="FFFFC7CE"/>
        </patternFill>
      </fill>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theme="5"/>
      </font>
    </dxf>
    <dxf>
      <font>
        <color theme="5"/>
      </font>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b val="0"/>
        <strike val="0"/>
        <outline val="0"/>
        <shadow val="0"/>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7"/>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7"/>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color theme="7"/>
      </font>
    </dxf>
    <dxf>
      <font>
        <color theme="7"/>
      </font>
    </dxf>
    <dxf>
      <font>
        <color theme="7"/>
      </font>
    </dxf>
    <dxf>
      <font>
        <strike val="0"/>
        <outline val="0"/>
        <shadow val="0"/>
        <u val="none"/>
        <vertAlign val="baseline"/>
        <sz val="10"/>
        <color auto="1"/>
        <name val="Arial Narrow"/>
        <scheme val="minor"/>
      </font>
      <numFmt numFmtId="0" formatCode="General"/>
      <alignment horizontal="center" vertical="bottom" textRotation="0" wrapText="0" indent="0" justifyLastLine="0" shrinkToFit="0" readingOrder="0"/>
    </dxf>
    <dxf>
      <font>
        <strike val="0"/>
        <outline val="0"/>
        <shadow val="0"/>
        <u val="none"/>
        <vertAlign val="baseline"/>
        <sz val="10"/>
        <color auto="1"/>
        <name val="Arial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Narrow"/>
        <scheme val="minor"/>
      </font>
      <numFmt numFmtId="0" formatCode="General"/>
      <alignment horizontal="center" vertical="bottom" textRotation="0" wrapText="0" indent="0" justifyLastLine="0" shrinkToFit="0" readingOrder="0"/>
    </dxf>
    <dxf>
      <font>
        <strike val="0"/>
        <outline val="0"/>
        <shadow val="0"/>
        <u val="none"/>
        <vertAlign val="baseline"/>
        <sz val="10"/>
        <name val="Arial Narrow"/>
        <scheme val="minor"/>
      </font>
      <numFmt numFmtId="0" formatCode="General"/>
      <fill>
        <patternFill patternType="none">
          <fgColor indexed="64"/>
          <bgColor auto="1"/>
        </patternFill>
      </fill>
      <alignment horizontal="general" vertical="center" textRotation="0" wrapText="1" indent="0" justifyLastLine="0" shrinkToFit="0" readingOrder="0"/>
    </dxf>
    <dxf>
      <font>
        <strike val="0"/>
        <outline val="0"/>
        <shadow val="0"/>
        <u val="none"/>
        <vertAlign val="baseline"/>
        <sz val="10"/>
        <name val="Arial Narrow"/>
        <scheme val="minor"/>
      </font>
      <numFmt numFmtId="0" formatCode="General"/>
      <fill>
        <patternFill patternType="none">
          <fgColor indexed="64"/>
          <bgColor auto="1"/>
        </patternFill>
      </fill>
      <alignment horizontal="general" vertical="center" textRotation="0" wrapText="1" indent="0" justifyLastLine="0" shrinkToFit="0" readingOrder="0"/>
    </dxf>
    <dxf>
      <fill>
        <patternFill patternType="none">
          <fgColor indexed="64"/>
          <bgColor auto="1"/>
        </patternFill>
      </fill>
      <alignment horizontal="general" vertical="center" textRotation="0" indent="0" justifyLastLine="0" shrinkToFit="0" readingOrder="0"/>
    </dxf>
    <dxf>
      <numFmt numFmtId="0" formatCode="General"/>
      <alignment horizontal="center" vertical="bottom" textRotation="0" wrapText="0" indent="0" justifyLastLine="0" shrinkToFit="0" readingOrder="0"/>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color auto="1"/>
        <name val="Arial Narrow"/>
        <scheme val="minor"/>
      </font>
      <alignmen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strike val="0"/>
        <outline val="0"/>
        <shadow val="0"/>
        <u val="none"/>
        <vertAlign val="baseline"/>
        <sz val="10"/>
        <color theme="9" tint="0.39997558519241921"/>
        <name val="Arial Narrow"/>
        <family val="2"/>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strike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strike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b val="0"/>
        <i val="0"/>
        <strike val="0"/>
        <condense val="0"/>
        <extend val="0"/>
        <outline val="0"/>
        <shadow val="0"/>
        <u val="none"/>
        <vertAlign val="baseline"/>
        <sz val="10"/>
        <color theme="0"/>
        <name val="Arial Narrow"/>
        <scheme val="minor"/>
      </font>
      <numFmt numFmtId="177" formatCode="#,##0.00\ &quot;€&quot;"/>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1" indent="1"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0" formatCode="General"/>
      <fill>
        <patternFill patternType="solid">
          <fgColor indexed="64"/>
          <bgColor theme="0"/>
        </patternFill>
      </fill>
      <alignment horizontal="center" textRotation="0" wrapText="0" indent="0" justifyLastLine="0" shrinkToFit="0" readingOrder="0"/>
      <border diagonalUp="0" diagonalDown="0" outline="0">
        <left style="thin">
          <color indexed="64"/>
        </left>
        <right style="thin">
          <color indexed="64"/>
        </right>
        <top/>
        <bottom/>
      </border>
    </dxf>
    <dxf>
      <font>
        <strike val="0"/>
        <outline val="0"/>
        <shadow val="0"/>
        <vertAlign val="baseline"/>
        <sz val="10"/>
      </font>
    </dxf>
    <dxf>
      <font>
        <b val="0"/>
        <strike val="0"/>
        <outline val="0"/>
        <shadow val="0"/>
        <vertAlign val="baseline"/>
        <sz val="10"/>
      </font>
      <numFmt numFmtId="0" formatCode="General"/>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0"/>
        <name val="Arial Narrow"/>
        <scheme val="minor"/>
      </font>
      <numFmt numFmtId="0" formatCode="General"/>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rgb="FF448E5B"/>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6"/>
        </patternFill>
      </fill>
      <alignment horizontal="center" vertical="bottom" textRotation="0" wrapText="0" indent="0" justifyLastLine="0" shrinkToFit="0" readingOrder="0"/>
    </dxf>
    <dxf>
      <border diagonalUp="0" diagonalDown="0">
        <left/>
        <right style="thin">
          <color indexed="64"/>
        </right>
        <top/>
        <bottom style="thin">
          <color indexed="64"/>
        </bottom>
      </border>
    </dxf>
    <dxf>
      <font>
        <strike val="0"/>
        <outline val="0"/>
        <shadow val="0"/>
        <vertAlign val="baseline"/>
        <sz val="10"/>
        <name val="Arial Narrow"/>
        <scheme val="minor"/>
      </font>
    </dxf>
    <dxf>
      <font>
        <b val="0"/>
        <strike val="0"/>
        <outline val="0"/>
        <shadow val="0"/>
        <vertAlign val="baseline"/>
        <sz val="10"/>
        <name val="Arial Narrow"/>
        <scheme val="minor"/>
      </font>
    </dxf>
    <dxf>
      <font>
        <b val="0"/>
        <i val="0"/>
        <strike val="0"/>
        <condense val="0"/>
        <extend val="0"/>
        <outline val="0"/>
        <shadow val="0"/>
        <u val="none"/>
        <vertAlign val="baseline"/>
        <sz val="10"/>
        <color auto="1"/>
        <name val="Arial Narrow"/>
        <scheme val="minor"/>
      </font>
      <fill>
        <patternFill patternType="solid">
          <fgColor indexed="64"/>
          <bgColor theme="8"/>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vertAlign val="baseline"/>
        <sz val="10"/>
      </font>
    </dxf>
    <dxf>
      <border>
        <bottom style="thin">
          <color indexed="64"/>
        </bottom>
      </border>
    </dxf>
    <dxf>
      <font>
        <b val="0"/>
        <strike val="0"/>
        <outline val="0"/>
        <shadow val="0"/>
        <vertAlign val="baseline"/>
        <sz val="10"/>
      </font>
      <numFmt numFmtId="0" formatCode="General"/>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7"/>
        <name val="Arial Narrow"/>
        <scheme val="minor"/>
      </font>
      <numFmt numFmtId="2" formatCode="0.00"/>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theme="7"/>
        <name val="Arial Narrow"/>
        <scheme val="minor"/>
      </font>
      <numFmt numFmtId="2" formatCode="0.00"/>
      <fill>
        <patternFill patternType="none">
          <fgColor indexed="64"/>
          <bgColor indexed="65"/>
        </patternFill>
      </fill>
      <alignment horizontal="center" vertical="bottom" textRotation="0" wrapText="1" indent="0" justifyLastLine="0" shrinkToFit="0" readingOrder="0"/>
    </dxf>
    <dxf>
      <font>
        <strike val="0"/>
        <outline val="0"/>
        <shadow val="0"/>
        <vertAlign val="baseline"/>
        <sz val="10"/>
        <name val="Arial Narrow"/>
        <scheme val="minor"/>
      </font>
    </dxf>
    <dxf>
      <font>
        <b/>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10"/>
        <name val="Arial Narrow"/>
        <scheme val="minor"/>
      </font>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0"/>
        <name val="Arial Narrow"/>
        <scheme val="minor"/>
      </font>
      <numFmt numFmtId="0" formatCode="General"/>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6"/>
        </patternFill>
      </fill>
      <alignment horizontal="center" vertical="bottom" textRotation="0" wrapText="0" indent="0" justifyLastLine="0" shrinkToFit="0" readingOrder="0"/>
    </dxf>
    <dxf>
      <font>
        <strike val="0"/>
        <outline val="0"/>
        <shadow val="0"/>
        <vertAlign val="baseline"/>
        <sz val="10"/>
        <name val="Arial Narrow"/>
        <scheme val="minor"/>
      </font>
    </dxf>
    <dxf>
      <font>
        <b val="0"/>
        <strike val="0"/>
        <outline val="0"/>
        <shadow val="0"/>
        <vertAlign val="baseline"/>
        <sz val="10"/>
        <name val="Arial Narrow"/>
        <scheme val="minor"/>
      </font>
    </dxf>
    <dxf>
      <fill>
        <patternFill patternType="none">
          <bgColor auto="1"/>
        </patternFill>
      </fill>
      <border>
        <left/>
        <right/>
        <top/>
        <bottom/>
        <vertical/>
        <horizontal/>
      </border>
    </dxf>
    <dxf>
      <fill>
        <patternFill patternType="none">
          <bgColor auto="1"/>
        </patternFill>
      </fill>
      <border>
        <left/>
        <right/>
        <top/>
        <bottom/>
        <vertical/>
        <horizontal/>
      </border>
    </dxf>
    <dxf>
      <font>
        <b val="0"/>
        <i val="0"/>
        <strike val="0"/>
        <condense val="0"/>
        <extend val="0"/>
        <outline val="0"/>
        <shadow val="0"/>
        <u val="none"/>
        <vertAlign val="baseline"/>
        <sz val="10"/>
        <color auto="1"/>
        <name val="Arial Narrow"/>
        <scheme val="minor"/>
      </font>
      <numFmt numFmtId="3" formatCode="#,##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ttom style="thin">
          <color indexed="64"/>
        </bottom>
      </border>
    </dxf>
    <dxf>
      <font>
        <strike val="0"/>
        <outline val="0"/>
        <shadow val="0"/>
        <u val="none"/>
        <vertAlign val="baseline"/>
        <name val="Arial Narrow"/>
        <scheme val="minor"/>
      </font>
      <fill>
        <patternFill patternType="solid">
          <fgColor indexed="64"/>
          <bgColor theme="9" tint="0.79998168889431442"/>
        </patternFill>
      </fill>
    </dxf>
    <dxf>
      <font>
        <b val="0"/>
        <i val="0"/>
        <strike val="0"/>
        <condense val="0"/>
        <extend val="0"/>
        <outline val="0"/>
        <shadow val="0"/>
        <u val="none"/>
        <vertAlign val="baseline"/>
        <sz val="10"/>
        <color theme="0"/>
        <name val="Arial Narrow"/>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scheme val="minor"/>
      </font>
      <alignment horizontal="center" vertical="bottom" textRotation="0" wrapText="0" indent="0" justifyLastLine="0" shrinkToFit="0" readingOrder="0"/>
      <border diagonalUp="0" diagonalDown="0" outline="0">
        <left style="thin">
          <color indexed="64"/>
        </left>
        <right style="thin">
          <color indexed="64"/>
        </right>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ck">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ck">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3"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scheme val="minor"/>
      </font>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theme="0"/>
        <name val="Arial Narrow"/>
        <scheme val="minor"/>
      </font>
      <alignment horizontal="center" vertical="bottom"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0"/>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dxf>
    <dxf>
      <border outline="0">
        <top style="thin">
          <color theme="8"/>
        </top>
      </border>
    </dxf>
    <dxf>
      <font>
        <strike val="0"/>
        <outline val="0"/>
        <shadow val="0"/>
        <vertAlign val="baseline"/>
        <sz val="8"/>
        <name val="Roboto Light"/>
        <scheme val="none"/>
      </font>
    </dxf>
    <dxf>
      <font>
        <b val="0"/>
        <i val="0"/>
        <strike val="0"/>
        <condense val="0"/>
        <extend val="0"/>
        <outline val="0"/>
        <shadow val="0"/>
        <u val="none"/>
        <vertAlign val="baseline"/>
        <sz val="8"/>
        <color theme="0"/>
        <name val="Roboto Light"/>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9" formatCode="dd/mm/yyyy"/>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87" formatCode="#,##0.0000\ &quot;€&quo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1"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Roboto Light"/>
        <scheme val="none"/>
      </font>
      <numFmt numFmtId="0" formatCode="General"/>
      <fill>
        <patternFill patternType="solid">
          <fgColor indexed="64"/>
          <bgColor theme="8"/>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8"/>
        <color theme="0"/>
        <name val="Roboto Light"/>
        <scheme val="none"/>
      </font>
      <fill>
        <patternFill patternType="solid">
          <fgColor indexed="64"/>
          <bgColor theme="8"/>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6699"/>
        </patternFill>
      </fill>
    </dxf>
    <dxf>
      <font>
        <color rgb="FF9C0006"/>
      </font>
      <fill>
        <patternFill>
          <bgColor rgb="FFFFC7CE"/>
        </patternFill>
      </fill>
    </dxf>
    <dxf>
      <font>
        <color rgb="FF9C5700"/>
      </font>
      <fill>
        <patternFill>
          <bgColor rgb="FFFFEB9C"/>
        </patternFill>
      </fill>
    </dxf>
    <dxf>
      <fill>
        <patternFill>
          <bgColor rgb="FFFF66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0"/>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dxf>
    <dxf>
      <border outline="0">
        <top style="thin">
          <color theme="8"/>
        </top>
      </border>
    </dxf>
    <dxf>
      <font>
        <strike val="0"/>
        <outline val="0"/>
        <shadow val="0"/>
        <vertAlign val="baseline"/>
        <sz val="8"/>
        <name val="Roboto Light"/>
        <scheme val="none"/>
      </font>
    </dxf>
    <dxf>
      <font>
        <b val="0"/>
        <i val="0"/>
        <strike val="0"/>
        <condense val="0"/>
        <extend val="0"/>
        <outline val="0"/>
        <shadow val="0"/>
        <u val="none"/>
        <vertAlign val="baseline"/>
        <sz val="8"/>
        <color theme="0"/>
        <name val="Roboto Light"/>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9" formatCode="dd/mm/yyyy"/>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87" formatCode="#,##0.0000\ &quot;€&quo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1"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Roboto Light"/>
        <scheme val="none"/>
      </font>
      <numFmt numFmtId="0" formatCode="General"/>
      <fill>
        <patternFill patternType="solid">
          <fgColor indexed="64"/>
          <bgColor theme="8"/>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8"/>
        <color theme="0"/>
        <name val="Roboto Light"/>
        <scheme val="none"/>
      </font>
      <fill>
        <patternFill patternType="solid">
          <fgColor indexed="64"/>
          <bgColor theme="8"/>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6699"/>
        </patternFill>
      </fill>
    </dxf>
    <dxf>
      <font>
        <color rgb="FF9C0006"/>
      </font>
      <fill>
        <patternFill>
          <bgColor rgb="FFFFC7CE"/>
        </patternFill>
      </fill>
    </dxf>
    <dxf>
      <font>
        <color rgb="FF9C5700"/>
      </font>
      <fill>
        <patternFill>
          <bgColor rgb="FFFFEB9C"/>
        </patternFill>
      </fill>
    </dxf>
    <dxf>
      <fill>
        <patternFill>
          <bgColor rgb="FFFF66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0"/>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dxf>
    <dxf>
      <border outline="0">
        <top style="thin">
          <color theme="8"/>
        </top>
      </border>
    </dxf>
    <dxf>
      <font>
        <strike val="0"/>
        <outline val="0"/>
        <shadow val="0"/>
        <vertAlign val="baseline"/>
        <sz val="8"/>
        <name val="Roboto Light"/>
        <scheme val="none"/>
      </font>
    </dxf>
    <dxf>
      <font>
        <b val="0"/>
        <i val="0"/>
        <strike val="0"/>
        <condense val="0"/>
        <extend val="0"/>
        <outline val="0"/>
        <shadow val="0"/>
        <u val="none"/>
        <vertAlign val="baseline"/>
        <sz val="8"/>
        <color theme="0"/>
        <name val="Roboto Light"/>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9" formatCode="dd/mm/yyyy"/>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87" formatCode="#,##0.0000\ &quot;€&quo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1"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Roboto Light"/>
        <scheme val="none"/>
      </font>
      <numFmt numFmtId="0" formatCode="General"/>
      <fill>
        <patternFill patternType="solid">
          <fgColor indexed="64"/>
          <bgColor theme="8"/>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8"/>
        <color theme="0"/>
        <name val="Roboto Light"/>
        <scheme val="none"/>
      </font>
      <fill>
        <patternFill patternType="solid">
          <fgColor indexed="64"/>
          <bgColor theme="8"/>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6699"/>
        </patternFill>
      </fill>
    </dxf>
    <dxf>
      <font>
        <color rgb="FF9C0006"/>
      </font>
      <fill>
        <patternFill>
          <bgColor rgb="FFFFC7CE"/>
        </patternFill>
      </fill>
    </dxf>
    <dxf>
      <font>
        <color rgb="FF9C5700"/>
      </font>
      <fill>
        <patternFill>
          <bgColor rgb="FFFFEB9C"/>
        </patternFill>
      </fill>
    </dxf>
    <dxf>
      <fill>
        <patternFill>
          <bgColor rgb="FFFF66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trike val="0"/>
        <outline val="0"/>
        <shadow val="0"/>
        <u val="none"/>
        <vertAlign val="baseline"/>
        <sz val="10"/>
        <color auto="1"/>
        <name val="Arial Narrow"/>
        <family val="2"/>
        <scheme val="minor"/>
      </font>
      <fill>
        <patternFill patternType="solid">
          <fgColor indexed="64"/>
          <bgColor theme="4"/>
        </patternFill>
      </fill>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4"/>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Narrow"/>
        <family val="2"/>
        <scheme val="minor"/>
      </font>
      <numFmt numFmtId="4"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4" formatCode="#,##0\ &quot;km&quo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3" formatCode="0.0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3" formatCode="0.000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numFmt numFmtId="0" formatCode="Genera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numFmt numFmtId="0" formatCode="Genera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numFmt numFmtId="0" formatCode="General"/>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alignment textRotation="0" wrapText="0" indent="0" justifyLastLine="0" shrinkToFit="0" readingOrder="0"/>
    </dxf>
    <dxf>
      <border>
        <bottom style="thin">
          <color indexed="64"/>
        </bottom>
      </border>
    </dxf>
    <dxf>
      <font>
        <b/>
        <i val="0"/>
        <strike val="0"/>
        <condense val="0"/>
        <extend val="0"/>
        <outline val="0"/>
        <shadow val="0"/>
        <u val="none"/>
        <vertAlign val="baseline"/>
        <sz val="10"/>
        <color theme="0"/>
        <name val="Arial Narrow"/>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theme="0"/>
        <name val="Arial Narrow"/>
        <scheme val="minor"/>
      </font>
      <numFmt numFmtId="178" formatCode="0.0000"/>
      <fill>
        <patternFill patternType="solid">
          <fgColor indexed="64"/>
          <bgColor theme="8"/>
        </patternFill>
      </fill>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78"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78"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0"/>
        <name val="Arial Narrow"/>
        <scheme val="minor"/>
      </font>
      <numFmt numFmtId="2" formatCode="0.00"/>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9" tint="0.79998168889431442"/>
        <name val="Arial Narrow"/>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86" formatCode="m/d/yyyy"/>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76" formatCode="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71" formatCode="0.00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scheme val="minor"/>
      </font>
      <numFmt numFmtId="171" formatCode="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70" formatCode="#,##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70" formatCode="#,##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dxf>
    <dxf>
      <border>
        <bottom style="thin">
          <color indexed="64"/>
        </bottom>
      </border>
    </dxf>
    <dxf>
      <font>
        <b val="0"/>
        <strike val="0"/>
        <outline val="0"/>
        <shadow val="0"/>
        <u val="none"/>
        <vertAlign val="baseline"/>
        <sz val="10"/>
        <color theme="0"/>
        <name val="Arial Narrow"/>
        <scheme val="minor"/>
      </font>
      <fill>
        <patternFill patternType="none">
          <fgColor indexed="64"/>
          <bgColor auto="1"/>
        </patternFill>
      </fill>
      <alignment horizontal="center" vertical="center" textRotation="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4"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4"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2"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2"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4"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1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theme="0"/>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4"/>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73" formatCode="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Narrow"/>
        <family val="2"/>
        <scheme val="minor"/>
      </font>
      <numFmt numFmtId="173" formatCode="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Narrow"/>
        <family val="2"/>
        <scheme val="minor"/>
      </font>
      <numFmt numFmtId="173" formatCode="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75" formatCode="#,##0_ ;\-#,##0\ "/>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75" formatCode="#,##0_ ;\-#,##0\ "/>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8"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7"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10"/>
        <color auto="1"/>
        <name val="Arial Narrow"/>
        <family val="2"/>
        <scheme val="minor"/>
      </font>
      <fill>
        <patternFill patternType="none">
          <fgColor indexed="64"/>
          <bgColor auto="1"/>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0"/>
        <color theme="0"/>
        <name val="Arial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strike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top/>
        <bottom/>
      </border>
    </dxf>
    <dxf>
      <font>
        <strike val="0"/>
        <outline val="0"/>
        <shadow val="0"/>
        <u val="none"/>
        <vertAlign val="baseline"/>
        <sz val="10"/>
        <name val="Arial Narrow"/>
        <scheme val="minor"/>
      </font>
    </dxf>
    <dxf>
      <border>
        <bottom style="thin">
          <color indexed="64"/>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strike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top/>
        <bottom/>
      </border>
    </dxf>
    <dxf>
      <font>
        <strike val="0"/>
        <outline val="0"/>
        <shadow val="0"/>
        <u val="none"/>
        <vertAlign val="baseline"/>
        <sz val="10"/>
        <name val="Arial Narrow"/>
        <scheme val="minor"/>
      </font>
    </dxf>
    <dxf>
      <border>
        <bottom style="thin">
          <color indexed="64"/>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strike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top/>
        <bottom/>
      </border>
    </dxf>
    <dxf>
      <font>
        <strike val="0"/>
        <outline val="0"/>
        <shadow val="0"/>
        <u val="none"/>
        <vertAlign val="baseline"/>
        <sz val="10"/>
        <name val="Arial Narrow"/>
        <scheme val="minor"/>
      </font>
    </dxf>
    <dxf>
      <border>
        <bottom style="thin">
          <color indexed="64"/>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border diagonalUp="0" diagonalDown="0" outline="0">
        <left/>
        <right/>
        <top style="thin">
          <color indexed="64"/>
        </top>
        <bottom/>
      </border>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top style="thin">
          <color indexed="64"/>
        </top>
        <bottom/>
      </border>
    </dxf>
    <dxf>
      <font>
        <strike val="0"/>
        <outline val="0"/>
        <shadow val="0"/>
        <u val="none"/>
        <vertAlign val="baseline"/>
        <sz val="10"/>
        <name val="Arial Narrow"/>
        <scheme val="minor"/>
      </font>
    </dxf>
    <dxf>
      <border>
        <bottom style="thin">
          <color indexed="64"/>
        </bottom>
      </border>
    </dxf>
    <dxf>
      <font>
        <strike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font>
        <color theme="0"/>
      </font>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0" indent="2" justifyLastLine="0" shrinkToFit="0" readingOrder="0"/>
    </dxf>
    <dxf>
      <font>
        <strike val="0"/>
        <outline val="0"/>
        <shadow val="0"/>
        <u val="none"/>
        <vertAlign val="baseline"/>
        <sz val="10"/>
        <name val="Arial Narrow"/>
        <scheme val="minor"/>
      </font>
    </dxf>
    <dxf>
      <font>
        <strike val="0"/>
        <outline val="0"/>
        <shadow val="0"/>
        <u val="none"/>
        <vertAlign val="baseline"/>
        <sz val="10"/>
        <name val="Arial Narrow"/>
        <scheme val="minor"/>
      </font>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0" indent="2" justifyLastLine="0" shrinkToFit="0" readingOrder="0"/>
    </dxf>
    <dxf>
      <font>
        <strike val="0"/>
        <outline val="0"/>
        <shadow val="0"/>
        <u val="none"/>
        <vertAlign val="baseline"/>
        <sz val="10"/>
        <name val="Arial Narrow"/>
        <scheme val="minor"/>
      </font>
    </dxf>
    <dxf>
      <font>
        <strike val="0"/>
        <outline val="0"/>
        <shadow val="0"/>
        <u val="none"/>
        <vertAlign val="baseline"/>
        <sz val="10"/>
        <name val="Arial Narrow"/>
        <scheme val="minor"/>
      </font>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bottom"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0" indent="2" justifyLastLine="0" shrinkToFit="0" readingOrder="0"/>
      <border diagonalUp="0" diagonalDown="0" outline="0">
        <left/>
        <right style="thin">
          <color theme="0"/>
        </right>
        <top/>
        <bottom/>
      </border>
    </dxf>
    <dxf>
      <font>
        <strike val="0"/>
        <outline val="0"/>
        <shadow val="0"/>
        <u val="none"/>
        <vertAlign val="baseline"/>
        <sz val="10"/>
        <name val="Arial Narrow"/>
        <scheme val="minor"/>
      </font>
    </dxf>
    <dxf>
      <font>
        <strike val="0"/>
        <outline val="0"/>
        <shadow val="0"/>
        <u val="none"/>
        <vertAlign val="baseline"/>
        <sz val="10"/>
        <name val="Arial Narrow"/>
        <scheme val="minor"/>
      </font>
      <fill>
        <patternFill patternType="none">
          <fgColor indexed="64"/>
          <bgColor auto="1"/>
        </patternFill>
      </fill>
    </dxf>
    <dxf>
      <font>
        <strike val="0"/>
        <outline val="0"/>
        <shadow val="0"/>
        <u val="none"/>
        <vertAlign val="baseline"/>
        <sz val="10"/>
        <name val="Arial Narrow"/>
        <scheme val="minor"/>
      </font>
      <fill>
        <patternFill patternType="none">
          <fgColor indexed="64"/>
          <bgColor auto="1"/>
        </patternFill>
      </fill>
      <alignment vertical="center" textRotation="0" wrapText="0" indent="0" justifyLastLine="0" shrinkToFit="0" readingOrder="0"/>
    </dxf>
    <dxf>
      <font>
        <strike val="0"/>
        <outline val="0"/>
        <shadow val="0"/>
        <u val="none"/>
        <vertAlign val="baseline"/>
        <sz val="10"/>
        <name val="Arial Narrow"/>
        <scheme val="minor"/>
      </font>
      <numFmt numFmtId="2" formatCode="0.0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3"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Narrow"/>
        <scheme val="minor"/>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Narrow"/>
        <scheme val="minor"/>
      </font>
      <numFmt numFmtId="3" formatCode="#,##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13" formatCode="0%"/>
      <fill>
        <patternFill patternType="none">
          <fgColor indexed="64"/>
          <bgColor indexed="65"/>
        </patternFill>
      </fill>
      <alignment horizontal="center" vertical="center" textRotation="0" wrapText="0" indent="0" justifyLastLine="0" shrinkToFit="0" readingOrder="0"/>
      <border outline="0">
        <left style="thin">
          <color indexed="64"/>
        </left>
      </border>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2" formatCode="0.0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bottom/>
      </border>
    </dxf>
    <dxf>
      <font>
        <strike val="0"/>
        <outline val="0"/>
        <shadow val="0"/>
        <u val="none"/>
        <vertAlign val="baseline"/>
        <sz val="10"/>
        <name val="Arial Narrow"/>
        <scheme val="minor"/>
      </font>
      <numFmt numFmtId="2" formatCode="0.00"/>
      <fill>
        <patternFill patternType="none">
          <fgColor indexed="64"/>
          <bgColor auto="1"/>
        </patternFill>
      </fill>
      <alignment horizontal="center" vertical="center" textRotation="0" wrapText="0" indent="0" justifyLastLine="0" shrinkToFit="0" readingOrder="0"/>
      <border outline="0">
        <right style="thin">
          <color indexed="64"/>
        </right>
      </border>
    </dxf>
    <dxf>
      <font>
        <strike val="0"/>
        <outline val="0"/>
        <shadow val="0"/>
        <u val="none"/>
        <vertAlign val="baseline"/>
        <sz val="10"/>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Narrow"/>
        <scheme val="minor"/>
      </font>
      <numFmt numFmtId="1" formatCode="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1" formatCode="0"/>
      <fill>
        <patternFill patternType="none">
          <fgColor indexed="64"/>
          <bgColor auto="1"/>
        </patternFill>
      </fill>
      <alignment vertical="center" textRotation="0" wrapText="0" indent="0" justifyLastLine="0" shrinkToFit="0" readingOrder="0"/>
    </dxf>
    <dxf>
      <font>
        <strike val="0"/>
        <outline val="0"/>
        <shadow val="0"/>
        <u val="none"/>
        <vertAlign val="baseline"/>
        <sz val="10"/>
        <name val="Arial Narrow"/>
        <scheme val="minor"/>
      </font>
      <fill>
        <patternFill patternType="none">
          <fgColor indexed="64"/>
          <bgColor auto="1"/>
        </patternFill>
      </fill>
      <alignment vertical="center" textRotation="0" wrapText="0" indent="0" justifyLastLine="0" shrinkToFit="0" readingOrder="0"/>
    </dxf>
    <dxf>
      <font>
        <b val="0"/>
        <strike val="0"/>
        <outline val="0"/>
        <shadow val="0"/>
        <u val="none"/>
        <vertAlign val="baseline"/>
        <sz val="10"/>
        <color theme="0"/>
        <name val="Arial Narrow"/>
        <scheme val="minor"/>
      </font>
      <fill>
        <patternFill patternType="none">
          <fgColor indexed="64"/>
          <bgColor auto="1"/>
        </patternFill>
      </fill>
      <alignment vertical="center" textRotation="0" wrapText="1" indent="0" justifyLastLine="0" shrinkToFit="0" readingOrder="0"/>
    </dxf>
    <dxf>
      <font>
        <color theme="0"/>
      </font>
      <fill>
        <patternFill>
          <bgColor theme="8"/>
        </patternFill>
      </fill>
    </dxf>
    <dxf>
      <font>
        <color theme="0"/>
      </font>
      <fill>
        <patternFill>
          <bgColor theme="8"/>
        </patternFill>
      </fill>
    </dxf>
    <dxf>
      <font>
        <color theme="0"/>
      </font>
      <fill>
        <patternFill>
          <bgColor theme="8"/>
        </patternFill>
      </fill>
    </dxf>
    <dxf>
      <font>
        <color theme="0"/>
      </font>
      <fill>
        <patternFill>
          <bgColor theme="8"/>
        </patternFill>
      </fill>
    </dxf>
    <dxf>
      <font>
        <color theme="0"/>
      </font>
      <fill>
        <patternFill>
          <bgColor theme="8"/>
        </patternFill>
      </fill>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vertical="center" textRotation="0" wrapText="1" indent="0" justifyLastLine="0" shrinkToFit="0" readingOrder="0"/>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horizontal="left" vertical="center" textRotation="0" wrapText="1" relativeIndent="1" justifyLastLine="0" shrinkToFit="0" readingOrder="0"/>
    </dxf>
    <dxf>
      <font>
        <strike val="0"/>
        <outline val="0"/>
        <shadow val="0"/>
        <u val="none"/>
        <vertAlign val="baseline"/>
        <sz val="10"/>
        <name val="Arial Narrow"/>
        <scheme val="minor"/>
      </font>
      <numFmt numFmtId="173" formatCode="0000"/>
      <alignment horizontal="center" vertical="center" textRotation="0" wrapText="1" indent="0" justifyLastLine="0" shrinkToFit="0" readingOrder="0"/>
    </dxf>
    <dxf>
      <font>
        <strike val="0"/>
        <outline val="0"/>
        <shadow val="0"/>
        <u val="none"/>
        <vertAlign val="baseline"/>
        <sz val="10"/>
        <name val="Arial Narrow"/>
        <scheme val="minor"/>
      </font>
      <numFmt numFmtId="173" formatCode="0000"/>
      <alignment horizontal="center" vertical="center" textRotation="0" wrapText="1" indent="0" justifyLastLine="0" shrinkToFit="0" readingOrder="0"/>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horizontal="center" vertical="bottom" textRotation="0" wrapText="1" indent="0" justifyLastLine="0" shrinkToFit="0" readingOrder="0"/>
    </dxf>
    <dxf>
      <fill>
        <patternFill>
          <bgColor rgb="FFFFFF00"/>
        </patternFill>
      </fill>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strike val="0"/>
        <color auto="1"/>
      </font>
      <fill>
        <patternFill patternType="none">
          <fgColor indexed="64"/>
          <bgColor auto="1"/>
        </patternFill>
      </fill>
      <border>
        <left style="thin">
          <color theme="8" tint="0.39994506668294322"/>
        </left>
        <right style="thin">
          <color theme="8" tint="0.39994506668294322"/>
        </right>
        <top/>
        <vertical/>
        <horizontal/>
      </border>
    </dxf>
    <dxf>
      <font>
        <color theme="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s>
  <tableStyles count="3" defaultTableStyle="TableStyleMedium2" defaultPivotStyle="PivotStyleLight16">
    <tableStyle name="Tabellenformat 2" pivot="0" count="0" xr9:uid="{61BCDA9C-6A9D-4F24-988E-0E0374AB5D7B}"/>
    <tableStyle name="TableStyleMedium6 2" pivot="0" count="7" xr9:uid="{B88D6C6B-631D-4C66-9C6C-B9519649ECCD}">
      <tableStyleElement type="wholeTable" dxfId="1366"/>
      <tableStyleElement type="headerRow" dxfId="1365"/>
      <tableStyleElement type="totalRow" dxfId="1364"/>
      <tableStyleElement type="firstColumn" dxfId="1363"/>
      <tableStyleElement type="lastColumn" dxfId="1362"/>
      <tableStyleElement type="firstRowStripe" dxfId="1361"/>
      <tableStyleElement type="firstColumnStripe" dxfId="1360"/>
    </tableStyle>
    <tableStyle name="Tabellenformat 1" pivot="0" count="1" xr9:uid="{5FAECE8A-E6BF-44F9-9361-6347D918FD13}">
      <tableStyleElement type="wholeTable" dxfId="1359"/>
    </tableStyle>
  </tableStyles>
  <colors>
    <indexedColors>
      <rgbColor rgb="00000000"/>
      <rgbColor rgb="00FFFFFF"/>
      <rgbColor rgb="00FF0000"/>
      <rgbColor rgb="0000FF00"/>
      <rgbColor rgb="000000FF"/>
      <rgbColor rgb="00FFFF00"/>
      <rgbColor rgb="00FF00FF"/>
      <rgbColor rgb="0000FFFF"/>
      <rgbColor rgb="00FFFF9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448E5B"/>
      <color rgb="FF3A3184"/>
      <color rgb="FF000000"/>
      <color rgb="FFFF9900"/>
      <color rgb="FFFF0066"/>
      <color rgb="FFF8F0F5"/>
      <color rgb="FFFDFCC0"/>
      <color rgb="FFCF4559"/>
      <color rgb="FFD4FA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4.xml"/><Relationship Id="rId39" Type="http://schemas.openxmlformats.org/officeDocument/2006/relationships/customXml" Target="../customXml/item2.xml"/><Relationship Id="rId21" Type="http://schemas.openxmlformats.org/officeDocument/2006/relationships/worksheet" Target="worksheets/sheet19.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2.xml"/><Relationship Id="rId29" Type="http://schemas.openxmlformats.org/officeDocument/2006/relationships/worksheet" Target="worksheets/sheet27.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2.xml"/><Relationship Id="rId32" Type="http://schemas.openxmlformats.org/officeDocument/2006/relationships/connections" Target="connections.xml"/><Relationship Id="rId37" Type="http://schemas.openxmlformats.org/officeDocument/2006/relationships/customXml" Target="../customXml/item1.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3.xml"/><Relationship Id="rId33" Type="http://schemas.openxmlformats.org/officeDocument/2006/relationships/styles" Target="styles.xml"/><Relationship Id="rId38"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barChart>
        <c:barDir val="col"/>
        <c:grouping val="stacked"/>
        <c:varyColors val="0"/>
        <c:ser>
          <c:idx val="1"/>
          <c:order val="0"/>
          <c:tx>
            <c:v>Leer</c:v>
          </c:tx>
          <c:spPr>
            <a:noFill/>
            <a:ln>
              <a:noFill/>
            </a:ln>
            <a:effectLst/>
          </c:spPr>
          <c:invertIfNegative val="0"/>
          <c:dLbls>
            <c:delete val="1"/>
          </c:dLbls>
          <c:val>
            <c:numRef>
              <c:f>Analysis!$F$3:$F$19</c:f>
              <c:numCache>
                <c:formatCode>0.00</c:formatCode>
                <c:ptCount val="17"/>
                <c:pt idx="0">
                  <c:v>0</c:v>
                </c:pt>
                <c:pt idx="1">
                  <c:v>0.67595454884142847</c:v>
                </c:pt>
                <c:pt idx="2">
                  <c:v>0.96739096675526515</c:v>
                </c:pt>
                <c:pt idx="3">
                  <c:v>1.3293737640766716</c:v>
                </c:pt>
                <c:pt idx="4">
                  <c:v>1.3293737640766716</c:v>
                </c:pt>
                <c:pt idx="5">
                  <c:v>1.3293737640766716</c:v>
                </c:pt>
                <c:pt idx="6">
                  <c:v>1.3397531375383001</c:v>
                </c:pt>
                <c:pt idx="7">
                  <c:v>0</c:v>
                </c:pt>
                <c:pt idx="8">
                  <c:v>1.4993716942899109</c:v>
                </c:pt>
                <c:pt idx="9">
                  <c:v>19.620396107420497</c:v>
                </c:pt>
                <c:pt idx="10">
                  <c:v>19.801621680207802</c:v>
                </c:pt>
                <c:pt idx="11">
                  <c:v>1.4993716942899109</c:v>
                </c:pt>
                <c:pt idx="12">
                  <c:v>0</c:v>
                </c:pt>
                <c:pt idx="13">
                  <c:v>19.987372150045026</c:v>
                </c:pt>
                <c:pt idx="14">
                  <c:v>22.484687855317951</c:v>
                </c:pt>
                <c:pt idx="15">
                  <c:v>23.661380831291481</c:v>
                </c:pt>
                <c:pt idx="16">
                  <c:v>0</c:v>
                </c:pt>
              </c:numCache>
            </c:numRef>
          </c:val>
          <c:extLst>
            <c:ext xmlns:c16="http://schemas.microsoft.com/office/drawing/2014/chart" uri="{C3380CC4-5D6E-409C-BE32-E72D297353CC}">
              <c16:uniqueId val="{00000001-9461-4C30-AE63-BBFBD72BC098}"/>
            </c:ext>
          </c:extLst>
        </c:ser>
        <c:ser>
          <c:idx val="0"/>
          <c:order val="1"/>
          <c:tx>
            <c:v>Daten</c:v>
          </c:tx>
          <c:spPr>
            <a:solidFill>
              <a:schemeClr val="accent6">
                <a:lumMod val="20000"/>
                <a:lumOff val="80000"/>
              </a:schemeClr>
            </a:solidFill>
            <a:ln>
              <a:noFill/>
            </a:ln>
            <a:effectLst/>
          </c:spPr>
          <c:invertIfNegative val="0"/>
          <c:dPt>
            <c:idx val="7"/>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4-9461-4C30-AE63-BBFBD72BC098}"/>
              </c:ext>
            </c:extLst>
          </c:dPt>
          <c:dPt>
            <c:idx val="11"/>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8-9461-4C30-AE63-BBFBD72BC098}"/>
              </c:ext>
            </c:extLst>
          </c:dPt>
          <c:dPt>
            <c:idx val="12"/>
            <c:invertIfNegative val="0"/>
            <c:bubble3D val="0"/>
            <c:spPr>
              <a:solidFill>
                <a:schemeClr val="accent5"/>
              </a:solidFill>
              <a:ln>
                <a:noFill/>
              </a:ln>
              <a:effectLst/>
            </c:spPr>
            <c:extLst>
              <c:ext xmlns:c16="http://schemas.microsoft.com/office/drawing/2014/chart" uri="{C3380CC4-5D6E-409C-BE32-E72D297353CC}">
                <c16:uniqueId val="{00000005-9461-4C30-AE63-BBFBD72BC098}"/>
              </c:ext>
            </c:extLst>
          </c:dPt>
          <c:dPt>
            <c:idx val="16"/>
            <c:invertIfNegative val="0"/>
            <c:bubble3D val="0"/>
            <c:spPr>
              <a:solidFill>
                <a:srgbClr val="FFC000"/>
              </a:solidFill>
              <a:ln>
                <a:noFill/>
              </a:ln>
              <a:effectLst/>
            </c:spPr>
            <c:extLst>
              <c:ext xmlns:c16="http://schemas.microsoft.com/office/drawing/2014/chart" uri="{C3380CC4-5D6E-409C-BE32-E72D297353CC}">
                <c16:uniqueId val="{00000007-9461-4C30-AE63-BBFBD72BC098}"/>
              </c:ext>
            </c:extLst>
          </c:dPt>
          <c:dLbls>
            <c:delete val="1"/>
          </c:dLbls>
          <c:cat>
            <c:strRef>
              <c:f>Analysis!$E$3:$E$19</c:f>
              <c:strCache>
                <c:ptCount val="17"/>
                <c:pt idx="0">
                  <c:v>Machine cost</c:v>
                </c:pt>
                <c:pt idx="1">
                  <c:v>Set-up costs</c:v>
                </c:pt>
                <c:pt idx="2">
                  <c:v>Labour Costs</c:v>
                </c:pt>
                <c:pt idx="3">
                  <c:v>Tool costs</c:v>
                </c:pt>
                <c:pt idx="4">
                  <c:v>Wear tool costs</c:v>
                </c:pt>
                <c:pt idx="5">
                  <c:v>Scrap added value</c:v>
                </c:pt>
                <c:pt idx="6">
                  <c:v>Production overheads</c:v>
                </c:pt>
                <c:pt idx="7">
                  <c:v>Manufacturing costs</c:v>
                </c:pt>
                <c:pt idx="8">
                  <c:v>Direct material costs</c:v>
                </c:pt>
                <c:pt idx="9">
                  <c:v>Scrap material</c:v>
                </c:pt>
                <c:pt idx="10">
                  <c:v>Indirect material</c:v>
                </c:pt>
                <c:pt idx="11">
                  <c:v>Material costs</c:v>
                </c:pt>
                <c:pt idx="12">
                  <c:v>Production costs</c:v>
                </c:pt>
                <c:pt idx="13">
                  <c:v>SG&amp;A</c:v>
                </c:pt>
                <c:pt idx="14">
                  <c:v>Profit</c:v>
                </c:pt>
                <c:pt idx="15">
                  <c:v>Other</c:v>
                </c:pt>
                <c:pt idx="16">
                  <c:v>Price</c:v>
                </c:pt>
              </c:strCache>
            </c:strRef>
          </c:cat>
          <c:val>
            <c:numRef>
              <c:f>Analysis!$H$3:$H$19</c:f>
              <c:numCache>
                <c:formatCode>0.0000</c:formatCode>
                <c:ptCount val="17"/>
                <c:pt idx="0">
                  <c:v>0.67595454884142847</c:v>
                </c:pt>
                <c:pt idx="1">
                  <c:v>0.29143641791383668</c:v>
                </c:pt>
                <c:pt idx="2">
                  <c:v>0.36198279732140659</c:v>
                </c:pt>
                <c:pt idx="3">
                  <c:v>0</c:v>
                </c:pt>
                <c:pt idx="4">
                  <c:v>0</c:v>
                </c:pt>
                <c:pt idx="5">
                  <c:v>1.0379373461628363E-2</c:v>
                </c:pt>
                <c:pt idx="6">
                  <c:v>0.15961855675160952</c:v>
                </c:pt>
                <c:pt idx="7">
                  <c:v>1.4993716942899109</c:v>
                </c:pt>
                <c:pt idx="8">
                  <c:v>18.121024413130588</c:v>
                </c:pt>
                <c:pt idx="9">
                  <c:v>0.18122557278730586</c:v>
                </c:pt>
                <c:pt idx="10">
                  <c:v>0.18575046983722143</c:v>
                </c:pt>
                <c:pt idx="11">
                  <c:v>18.488000455755113</c:v>
                </c:pt>
                <c:pt idx="12">
                  <c:v>19.987372150045026</c:v>
                </c:pt>
                <c:pt idx="13">
                  <c:v>2.4973157052729236</c:v>
                </c:pt>
                <c:pt idx="14">
                  <c:v>1.1766929759735318</c:v>
                </c:pt>
                <c:pt idx="15">
                  <c:v>0</c:v>
                </c:pt>
                <c:pt idx="16">
                  <c:v>23.661380831291481</c:v>
                </c:pt>
              </c:numCache>
            </c:numRef>
          </c:val>
          <c:extLst>
            <c:ext xmlns:c16="http://schemas.microsoft.com/office/drawing/2014/chart" uri="{C3380CC4-5D6E-409C-BE32-E72D297353CC}">
              <c16:uniqueId val="{00000000-9461-4C30-AE63-BBFBD72BC098}"/>
            </c:ext>
          </c:extLst>
        </c:ser>
        <c:dLbls>
          <c:showLegendKey val="0"/>
          <c:showVal val="1"/>
          <c:showCatName val="0"/>
          <c:showSerName val="0"/>
          <c:showPercent val="0"/>
          <c:showBubbleSize val="0"/>
        </c:dLbls>
        <c:gapWidth val="50"/>
        <c:overlap val="100"/>
        <c:axId val="1367780032"/>
        <c:axId val="1367772128"/>
      </c:barChart>
      <c:lineChart>
        <c:grouping val="standard"/>
        <c:varyColors val="0"/>
        <c:ser>
          <c:idx val="2"/>
          <c:order val="2"/>
          <c:tx>
            <c:v>Summe</c:v>
          </c:tx>
          <c:spPr>
            <a:ln w="28575" cap="rnd">
              <a:noFill/>
              <a:round/>
            </a:ln>
            <a:effectLst/>
          </c:spPr>
          <c:marker>
            <c:symbol val="none"/>
          </c:marker>
          <c:dLbls>
            <c:dLbl>
              <c:idx val="0"/>
              <c:tx>
                <c:rich>
                  <a:bodyPr/>
                  <a:lstStyle/>
                  <a:p>
                    <a:fld id="{554713E0-CD11-4DA0-BA2C-38091553284C}" type="CELLRANGE">
                      <a:rPr lang="en-US"/>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9461-4C30-AE63-BBFBD72BC098}"/>
                </c:ext>
              </c:extLst>
            </c:dLbl>
            <c:dLbl>
              <c:idx val="1"/>
              <c:tx>
                <c:rich>
                  <a:bodyPr/>
                  <a:lstStyle/>
                  <a:p>
                    <a:fld id="{F53A6FC2-2F41-4BE8-AFB7-4B28C764C09F}"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9461-4C30-AE63-BBFBD72BC098}"/>
                </c:ext>
              </c:extLst>
            </c:dLbl>
            <c:dLbl>
              <c:idx val="2"/>
              <c:tx>
                <c:rich>
                  <a:bodyPr/>
                  <a:lstStyle/>
                  <a:p>
                    <a:fld id="{D9B82869-BF61-4199-9D09-C4449EE82F68}"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9461-4C30-AE63-BBFBD72BC098}"/>
                </c:ext>
              </c:extLst>
            </c:dLbl>
            <c:dLbl>
              <c:idx val="3"/>
              <c:tx>
                <c:rich>
                  <a:bodyPr/>
                  <a:lstStyle/>
                  <a:p>
                    <a:fld id="{9E37DB24-781D-4F97-9EC0-9FA971871824}"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9461-4C30-AE63-BBFBD72BC098}"/>
                </c:ext>
              </c:extLst>
            </c:dLbl>
            <c:dLbl>
              <c:idx val="4"/>
              <c:tx>
                <c:rich>
                  <a:bodyPr/>
                  <a:lstStyle/>
                  <a:p>
                    <a:fld id="{71E5074C-953A-4E7A-9248-DFC2FD945A18}"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9461-4C30-AE63-BBFBD72BC098}"/>
                </c:ext>
              </c:extLst>
            </c:dLbl>
            <c:dLbl>
              <c:idx val="5"/>
              <c:tx>
                <c:rich>
                  <a:bodyPr/>
                  <a:lstStyle/>
                  <a:p>
                    <a:fld id="{B74DBDD8-68AE-4DD8-AD88-ED8828780DC3}"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9461-4C30-AE63-BBFBD72BC098}"/>
                </c:ext>
              </c:extLst>
            </c:dLbl>
            <c:dLbl>
              <c:idx val="6"/>
              <c:tx>
                <c:rich>
                  <a:bodyPr/>
                  <a:lstStyle/>
                  <a:p>
                    <a:fld id="{5EAF98F7-CDFE-4215-9D01-79CEFB41DDF8}"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9461-4C30-AE63-BBFBD72BC098}"/>
                </c:ext>
              </c:extLst>
            </c:dLbl>
            <c:dLbl>
              <c:idx val="7"/>
              <c:tx>
                <c:rich>
                  <a:bodyPr/>
                  <a:lstStyle/>
                  <a:p>
                    <a:fld id="{B7088EF8-877B-499F-9F8E-85CA70EDE66D}"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9461-4C30-AE63-BBFBD72BC098}"/>
                </c:ext>
              </c:extLst>
            </c:dLbl>
            <c:dLbl>
              <c:idx val="8"/>
              <c:tx>
                <c:rich>
                  <a:bodyPr/>
                  <a:lstStyle/>
                  <a:p>
                    <a:fld id="{8FE8DD84-6ACF-4AE4-8B9A-8D4124450DC2}"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9461-4C30-AE63-BBFBD72BC098}"/>
                </c:ext>
              </c:extLst>
            </c:dLbl>
            <c:dLbl>
              <c:idx val="9"/>
              <c:tx>
                <c:rich>
                  <a:bodyPr/>
                  <a:lstStyle/>
                  <a:p>
                    <a:fld id="{CDAB14D5-5A54-44FF-A93C-11A97DD2FED7}"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9461-4C30-AE63-BBFBD72BC098}"/>
                </c:ext>
              </c:extLst>
            </c:dLbl>
            <c:dLbl>
              <c:idx val="10"/>
              <c:tx>
                <c:rich>
                  <a:bodyPr/>
                  <a:lstStyle/>
                  <a:p>
                    <a:fld id="{D2A12B29-4B42-43CD-A0E7-F56136DB7C13}"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9461-4C30-AE63-BBFBD72BC098}"/>
                </c:ext>
              </c:extLst>
            </c:dLbl>
            <c:dLbl>
              <c:idx val="11"/>
              <c:tx>
                <c:rich>
                  <a:bodyPr/>
                  <a:lstStyle/>
                  <a:p>
                    <a:fld id="{FC8E5201-892F-4341-9A2E-E9F4D0B28839}"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9461-4C30-AE63-BBFBD72BC098}"/>
                </c:ext>
              </c:extLst>
            </c:dLbl>
            <c:dLbl>
              <c:idx val="12"/>
              <c:tx>
                <c:rich>
                  <a:bodyPr/>
                  <a:lstStyle/>
                  <a:p>
                    <a:fld id="{D8A1F424-40BB-42BE-A2A9-90BC8AD17B9B}"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9461-4C30-AE63-BBFBD72BC098}"/>
                </c:ext>
              </c:extLst>
            </c:dLbl>
            <c:dLbl>
              <c:idx val="13"/>
              <c:tx>
                <c:rich>
                  <a:bodyPr/>
                  <a:lstStyle/>
                  <a:p>
                    <a:fld id="{72970502-B6AE-4362-B089-76EA54147422}"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9461-4C30-AE63-BBFBD72BC098}"/>
                </c:ext>
              </c:extLst>
            </c:dLbl>
            <c:dLbl>
              <c:idx val="14"/>
              <c:tx>
                <c:rich>
                  <a:bodyPr/>
                  <a:lstStyle/>
                  <a:p>
                    <a:fld id="{526FECCA-7AA7-4D61-9933-CB2F7DD8AE25}"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9461-4C30-AE63-BBFBD72BC098}"/>
                </c:ext>
              </c:extLst>
            </c:dLbl>
            <c:dLbl>
              <c:idx val="15"/>
              <c:tx>
                <c:rich>
                  <a:bodyPr/>
                  <a:lstStyle/>
                  <a:p>
                    <a:fld id="{B58AD4CF-034E-4618-9B6C-F93F67DBF80C}"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9461-4C30-AE63-BBFBD72BC098}"/>
                </c:ext>
              </c:extLst>
            </c:dLbl>
            <c:dLbl>
              <c:idx val="16"/>
              <c:tx>
                <c:rich>
                  <a:bodyPr/>
                  <a:lstStyle/>
                  <a:p>
                    <a:fld id="{15691ECB-681D-4824-B997-A6E29B6E2D99}"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461-4C30-AE63-BBFBD72BC0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de-DE"/>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Analysis!$G$3:$G$19</c:f>
              <c:numCache>
                <c:formatCode>0.00</c:formatCode>
                <c:ptCount val="17"/>
                <c:pt idx="0">
                  <c:v>0.67595454884142847</c:v>
                </c:pt>
                <c:pt idx="1">
                  <c:v>0.96739096675526515</c:v>
                </c:pt>
                <c:pt idx="2">
                  <c:v>1.3293737640766716</c:v>
                </c:pt>
                <c:pt idx="3">
                  <c:v>1.3293737640766716</c:v>
                </c:pt>
                <c:pt idx="4">
                  <c:v>1.3293737640766716</c:v>
                </c:pt>
                <c:pt idx="5">
                  <c:v>1.3397531375383001</c:v>
                </c:pt>
                <c:pt idx="6">
                  <c:v>1.4993716942899096</c:v>
                </c:pt>
                <c:pt idx="7">
                  <c:v>1.4993716942899109</c:v>
                </c:pt>
                <c:pt idx="8">
                  <c:v>19.620396107420497</c:v>
                </c:pt>
                <c:pt idx="9">
                  <c:v>19.801621680207802</c:v>
                </c:pt>
                <c:pt idx="10">
                  <c:v>19.987372150045022</c:v>
                </c:pt>
                <c:pt idx="11">
                  <c:v>19.987372150045026</c:v>
                </c:pt>
                <c:pt idx="12">
                  <c:v>19.987372150045026</c:v>
                </c:pt>
                <c:pt idx="13">
                  <c:v>22.484687855317951</c:v>
                </c:pt>
                <c:pt idx="14">
                  <c:v>23.661380831291481</c:v>
                </c:pt>
                <c:pt idx="15">
                  <c:v>23.661380831291481</c:v>
                </c:pt>
                <c:pt idx="16">
                  <c:v>23.661380831291481</c:v>
                </c:pt>
              </c:numCache>
            </c:numRef>
          </c:val>
          <c:smooth val="0"/>
          <c:extLst>
            <c:ext xmlns:c15="http://schemas.microsoft.com/office/drawing/2012/chart" uri="{02D57815-91ED-43cb-92C2-25804820EDAC}">
              <c15:datalabelsRange>
                <c15:f>Analysis!$H$3:$H$19</c15:f>
                <c15:dlblRangeCache>
                  <c:ptCount val="17"/>
                  <c:pt idx="0">
                    <c:v>0,6760</c:v>
                  </c:pt>
                  <c:pt idx="1">
                    <c:v>0,2914</c:v>
                  </c:pt>
                  <c:pt idx="2">
                    <c:v>0,3620</c:v>
                  </c:pt>
                  <c:pt idx="3">
                    <c:v>0,0000</c:v>
                  </c:pt>
                  <c:pt idx="4">
                    <c:v>0,0000</c:v>
                  </c:pt>
                  <c:pt idx="5">
                    <c:v>0,0104</c:v>
                  </c:pt>
                  <c:pt idx="6">
                    <c:v>0,1596</c:v>
                  </c:pt>
                  <c:pt idx="7">
                    <c:v>1,4994</c:v>
                  </c:pt>
                  <c:pt idx="8">
                    <c:v>18,1210</c:v>
                  </c:pt>
                  <c:pt idx="9">
                    <c:v>0,1812</c:v>
                  </c:pt>
                  <c:pt idx="10">
                    <c:v>0,1858</c:v>
                  </c:pt>
                  <c:pt idx="11">
                    <c:v>18,4880</c:v>
                  </c:pt>
                  <c:pt idx="12">
                    <c:v>19,9874</c:v>
                  </c:pt>
                  <c:pt idx="13">
                    <c:v>2,4973</c:v>
                  </c:pt>
                  <c:pt idx="14">
                    <c:v>1,1767</c:v>
                  </c:pt>
                  <c:pt idx="15">
                    <c:v>0,0000</c:v>
                  </c:pt>
                  <c:pt idx="16">
                    <c:v>23,6614</c:v>
                  </c:pt>
                </c15:dlblRangeCache>
              </c15:datalabelsRange>
            </c:ext>
            <c:ext xmlns:c16="http://schemas.microsoft.com/office/drawing/2014/chart" uri="{C3380CC4-5D6E-409C-BE32-E72D297353CC}">
              <c16:uniqueId val="{00000006-9461-4C30-AE63-BBFBD72BC098}"/>
            </c:ext>
          </c:extLst>
        </c:ser>
        <c:dLbls>
          <c:showLegendKey val="0"/>
          <c:showVal val="0"/>
          <c:showCatName val="0"/>
          <c:showSerName val="0"/>
          <c:showPercent val="0"/>
          <c:showBubbleSize val="0"/>
        </c:dLbls>
        <c:marker val="1"/>
        <c:smooth val="0"/>
        <c:axId val="1367780032"/>
        <c:axId val="1367772128"/>
      </c:lineChart>
      <c:catAx>
        <c:axId val="136778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de-DE"/>
          </a:p>
        </c:txPr>
        <c:crossAx val="1367772128"/>
        <c:crosses val="autoZero"/>
        <c:auto val="1"/>
        <c:lblAlgn val="ctr"/>
        <c:lblOffset val="100"/>
        <c:noMultiLvlLbl val="0"/>
      </c:catAx>
      <c:valAx>
        <c:axId val="1367772128"/>
        <c:scaling>
          <c:orientation val="minMax"/>
        </c:scaling>
        <c:delete val="1"/>
        <c:axPos val="l"/>
        <c:numFmt formatCode="0.00" sourceLinked="1"/>
        <c:majorTickMark val="none"/>
        <c:minorTickMark val="none"/>
        <c:tickLblPos val="nextTo"/>
        <c:crossAx val="1367780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6"/>
          <c:tx>
            <c:v>Strom</c:v>
          </c:tx>
          <c:spPr>
            <a:noFill/>
            <a:ln>
              <a:noFill/>
            </a:ln>
            <a:effectLst/>
            <a:extLst>
              <a:ext uri="{909E8E84-426E-40DD-AFC4-6F175D3DCCD1}">
                <a14:hiddenFill xmlns:a14="http://schemas.microsoft.com/office/drawing/2010/main">
                  <a:solidFill>
                    <a:srgbClr val="94C356"/>
                  </a:solidFill>
                </a14:hiddenFill>
              </a:ext>
            </a:extLst>
          </c:spPr>
          <c:invertIfNegative val="0"/>
          <c:cat>
            <c:strLit>
              <c:ptCount val="40"/>
              <c:pt idx="0">
                <c:v>Strom</c:v>
              </c:pt>
              <c:pt idx="1">
                <c:v>Erdgas</c:v>
              </c:pt>
              <c:pt idx="2">
                <c:v>Maschinen</c:v>
              </c:pt>
              <c:pt idx="3">
                <c:v>Rüsten</c:v>
              </c:pt>
              <c:pt idx="4">
                <c:v>Lohnkosten</c:v>
              </c:pt>
              <c:pt idx="5">
                <c:v>Ausschuss Wertschöpfung</c:v>
              </c:pt>
              <c:pt idx="6">
                <c:v>FGK</c:v>
              </c:pt>
              <c:pt idx="7">
                <c:v>FK</c:v>
              </c:pt>
              <c:pt idx="8">
                <c:v>MEK</c:v>
              </c:pt>
              <c:pt idx="9">
                <c:v>Ausschuss Material</c:v>
              </c:pt>
              <c:pt idx="10">
                <c:v>MGK</c:v>
              </c:pt>
              <c:pt idx="11">
                <c:v>MK</c:v>
              </c:pt>
              <c:pt idx="12">
                <c:v>HK</c:v>
              </c:pt>
              <c:pt idx="13">
                <c:v>VVGK</c:v>
              </c:pt>
              <c:pt idx="14">
                <c:v>Gewinn</c:v>
              </c:pt>
              <c:pt idx="15">
                <c:v>Overhead</c:v>
              </c:pt>
              <c:pt idx="16">
                <c:v>Sonstige</c:v>
              </c:pt>
              <c:pt idx="17">
                <c:v>Preis</c:v>
              </c:pt>
            </c:strLit>
          </c:cat>
          <c:val>
            <c:numRef>
              <c:f>Temp!$M$4:$AW$4</c:f>
            </c:numRef>
          </c:val>
          <c:extLst>
            <c:ext xmlns:c16="http://schemas.microsoft.com/office/drawing/2014/chart" uri="{C3380CC4-5D6E-409C-BE32-E72D297353CC}">
              <c16:uniqueId val="{0000001A-C080-4318-8091-9FA78DBC5F5F}"/>
            </c:ext>
          </c:extLst>
        </c:ser>
        <c:ser>
          <c:idx val="1"/>
          <c:order val="7"/>
          <c:tx>
            <c:v>Erdgas</c:v>
          </c:tx>
          <c:spPr>
            <a:noFill/>
            <a:ln>
              <a:noFill/>
            </a:ln>
            <a:effectLst/>
            <a:extLst>
              <a:ext uri="{909E8E84-426E-40DD-AFC4-6F175D3DCCD1}">
                <a14:hiddenFill xmlns:a14="http://schemas.microsoft.com/office/drawing/2010/main">
                  <a:solidFill>
                    <a:srgbClr val="99CFB8"/>
                  </a:solidFill>
                </a14:hiddenFill>
              </a:ext>
            </a:extLst>
          </c:spPr>
          <c:invertIfNegative val="0"/>
          <c:val>
            <c:numRef>
              <c:f>Temp!$M$5:$AW$5</c:f>
            </c:numRef>
          </c:val>
          <c:extLst>
            <c:ext xmlns:c16="http://schemas.microsoft.com/office/drawing/2014/chart" uri="{C3380CC4-5D6E-409C-BE32-E72D297353CC}">
              <c16:uniqueId val="{0000001B-C080-4318-8091-9FA78DBC5F5F}"/>
            </c:ext>
          </c:extLst>
        </c:ser>
        <c:ser>
          <c:idx val="2"/>
          <c:order val="8"/>
          <c:tx>
            <c:v>Maschinen</c:v>
          </c:tx>
          <c:spPr>
            <a:noFill/>
            <a:ln>
              <a:noFill/>
            </a:ln>
            <a:effectLst/>
            <a:extLst>
              <a:ext uri="{909E8E84-426E-40DD-AFC4-6F175D3DCCD1}">
                <a14:hiddenFill xmlns:a14="http://schemas.microsoft.com/office/drawing/2010/main">
                  <a:solidFill>
                    <a:srgbClr val="0079B0"/>
                  </a:solidFill>
                </a14:hiddenFill>
              </a:ext>
            </a:extLst>
          </c:spPr>
          <c:invertIfNegative val="0"/>
          <c:val>
            <c:numRef>
              <c:f>Temp!$M$7:$AW$7</c:f>
            </c:numRef>
          </c:val>
          <c:extLst>
            <c:ext xmlns:c16="http://schemas.microsoft.com/office/drawing/2014/chart" uri="{C3380CC4-5D6E-409C-BE32-E72D297353CC}">
              <c16:uniqueId val="{0000001C-C080-4318-8091-9FA78DBC5F5F}"/>
            </c:ext>
          </c:extLst>
        </c:ser>
        <c:ser>
          <c:idx val="3"/>
          <c:order val="9"/>
          <c:tx>
            <c:v>Rüsten</c:v>
          </c:tx>
          <c:spPr>
            <a:noFill/>
            <a:ln>
              <a:noFill/>
            </a:ln>
            <a:effectLst/>
            <a:extLst>
              <a:ext uri="{909E8E84-426E-40DD-AFC4-6F175D3DCCD1}">
                <a14:hiddenFill xmlns:a14="http://schemas.microsoft.com/office/drawing/2010/main">
                  <a:solidFill>
                    <a:srgbClr val="004698"/>
                  </a:solidFill>
                </a14:hiddenFill>
              </a:ext>
            </a:extLst>
          </c:spPr>
          <c:invertIfNegative val="0"/>
          <c:val>
            <c:numRef>
              <c:f>Temp!$M$11:$AW$11</c:f>
            </c:numRef>
          </c:val>
          <c:extLst>
            <c:ext xmlns:c16="http://schemas.microsoft.com/office/drawing/2014/chart" uri="{C3380CC4-5D6E-409C-BE32-E72D297353CC}">
              <c16:uniqueId val="{0000001D-C080-4318-8091-9FA78DBC5F5F}"/>
            </c:ext>
          </c:extLst>
        </c:ser>
        <c:ser>
          <c:idx val="4"/>
          <c:order val="10"/>
          <c:tx>
            <c:v>Lohnkosten</c:v>
          </c:tx>
          <c:spPr>
            <a:noFill/>
            <a:ln>
              <a:noFill/>
            </a:ln>
            <a:effectLst/>
            <a:extLst>
              <a:ext uri="{909E8E84-426E-40DD-AFC4-6F175D3DCCD1}">
                <a14:hiddenFill xmlns:a14="http://schemas.microsoft.com/office/drawing/2010/main">
                  <a:solidFill>
                    <a:srgbClr val="002F63"/>
                  </a:solidFill>
                </a14:hiddenFill>
              </a:ext>
            </a:extLst>
          </c:spPr>
          <c:invertIfNegative val="0"/>
          <c:val>
            <c:numRef>
              <c:f>Temp!$M$12:$AW$12</c:f>
            </c:numRef>
          </c:val>
          <c:extLst>
            <c:ext xmlns:c16="http://schemas.microsoft.com/office/drawing/2014/chart" uri="{C3380CC4-5D6E-409C-BE32-E72D297353CC}">
              <c16:uniqueId val="{0000001E-C080-4318-8091-9FA78DBC5F5F}"/>
            </c:ext>
          </c:extLst>
        </c:ser>
        <c:ser>
          <c:idx val="5"/>
          <c:order val="11"/>
          <c:tx>
            <c:v>Ausschuss Wertschöpfung</c:v>
          </c:tx>
          <c:spPr>
            <a:noFill/>
            <a:ln>
              <a:noFill/>
            </a:ln>
            <a:effectLst/>
            <a:extLst>
              <a:ext uri="{909E8E84-426E-40DD-AFC4-6F175D3DCCD1}">
                <a14:hiddenFill xmlns:a14="http://schemas.microsoft.com/office/drawing/2010/main">
                  <a:solidFill>
                    <a:srgbClr val="3F4E55"/>
                  </a:solidFill>
                </a14:hiddenFill>
              </a:ext>
            </a:extLst>
          </c:spPr>
          <c:invertIfNegative val="0"/>
          <c:val>
            <c:numRef>
              <c:f>Temp!$M$18:$AW$18</c:f>
            </c:numRef>
          </c:val>
          <c:extLst>
            <c:ext xmlns:c16="http://schemas.microsoft.com/office/drawing/2014/chart" uri="{C3380CC4-5D6E-409C-BE32-E72D297353CC}">
              <c16:uniqueId val="{0000001F-C080-4318-8091-9FA78DBC5F5F}"/>
            </c:ext>
          </c:extLst>
        </c:ser>
        <c:ser>
          <c:idx val="6"/>
          <c:order val="12"/>
          <c:tx>
            <c:v>FGK</c:v>
          </c:tx>
          <c:spPr>
            <a:noFill/>
            <a:ln>
              <a:noFill/>
            </a:ln>
            <a:effectLst/>
            <a:extLst>
              <a:ext uri="{909E8E84-426E-40DD-AFC4-6F175D3DCCD1}">
                <a14:hiddenFill xmlns:a14="http://schemas.microsoft.com/office/drawing/2010/main">
                  <a:solidFill>
                    <a:srgbClr val="94C356">
                      <a:lumMod val="60000"/>
                    </a:srgbClr>
                  </a:solidFill>
                </a14:hiddenFill>
              </a:ext>
            </a:extLst>
          </c:spPr>
          <c:invertIfNegative val="0"/>
          <c:val>
            <c:numRef>
              <c:f>Temp!$M$19:$AW$19</c:f>
            </c:numRef>
          </c:val>
          <c:extLst>
            <c:ext xmlns:c16="http://schemas.microsoft.com/office/drawing/2014/chart" uri="{C3380CC4-5D6E-409C-BE32-E72D297353CC}">
              <c16:uniqueId val="{00000020-C080-4318-8091-9FA78DBC5F5F}"/>
            </c:ext>
          </c:extLst>
        </c:ser>
        <c:ser>
          <c:idx val="7"/>
          <c:order val="13"/>
          <c:tx>
            <c:v>FK</c:v>
          </c:tx>
          <c:spPr>
            <a:noFill/>
            <a:ln>
              <a:noFill/>
            </a:ln>
            <a:effectLst/>
            <a:extLst>
              <a:ext uri="{909E8E84-426E-40DD-AFC4-6F175D3DCCD1}">
                <a14:hiddenFill xmlns:a14="http://schemas.microsoft.com/office/drawing/2010/main">
                  <a:solidFill>
                    <a:srgbClr val="99CFB8">
                      <a:lumMod val="60000"/>
                    </a:srgbClr>
                  </a:solidFill>
                </a14:hiddenFill>
              </a:ext>
            </a:extLst>
          </c:spPr>
          <c:invertIfNegative val="0"/>
          <c:val>
            <c:numRef>
              <c:f>Temp!$M$21:$AW$21</c:f>
            </c:numRef>
          </c:val>
          <c:extLst>
            <c:ext xmlns:c16="http://schemas.microsoft.com/office/drawing/2014/chart" uri="{C3380CC4-5D6E-409C-BE32-E72D297353CC}">
              <c16:uniqueId val="{00000021-C080-4318-8091-9FA78DBC5F5F}"/>
            </c:ext>
          </c:extLst>
        </c:ser>
        <c:ser>
          <c:idx val="8"/>
          <c:order val="14"/>
          <c:tx>
            <c:v>MEK</c:v>
          </c:tx>
          <c:spPr>
            <a:noFill/>
            <a:ln>
              <a:noFill/>
            </a:ln>
            <a:effectLst/>
            <a:extLst>
              <a:ext uri="{909E8E84-426E-40DD-AFC4-6F175D3DCCD1}">
                <a14:hiddenFill xmlns:a14="http://schemas.microsoft.com/office/drawing/2010/main">
                  <a:solidFill>
                    <a:srgbClr val="0079B0">
                      <a:lumMod val="60000"/>
                    </a:srgbClr>
                  </a:solidFill>
                </a14:hiddenFill>
              </a:ext>
            </a:extLst>
          </c:spPr>
          <c:invertIfNegative val="0"/>
          <c:val>
            <c:numRef>
              <c:f>Temp!$M$22:$AW$22</c:f>
            </c:numRef>
          </c:val>
          <c:extLst>
            <c:ext xmlns:c16="http://schemas.microsoft.com/office/drawing/2014/chart" uri="{C3380CC4-5D6E-409C-BE32-E72D297353CC}">
              <c16:uniqueId val="{00000022-C080-4318-8091-9FA78DBC5F5F}"/>
            </c:ext>
          </c:extLst>
        </c:ser>
        <c:ser>
          <c:idx val="9"/>
          <c:order val="15"/>
          <c:tx>
            <c:v>MEK</c:v>
          </c:tx>
          <c:spPr>
            <a:noFill/>
            <a:ln>
              <a:noFill/>
            </a:ln>
            <a:effectLst/>
            <a:extLst>
              <a:ext uri="{909E8E84-426E-40DD-AFC4-6F175D3DCCD1}">
                <a14:hiddenFill xmlns:a14="http://schemas.microsoft.com/office/drawing/2010/main">
                  <a:solidFill>
                    <a:srgbClr val="004698">
                      <a:lumMod val="60000"/>
                    </a:srgbClr>
                  </a:solidFill>
                </a14:hiddenFill>
              </a:ext>
            </a:extLst>
          </c:spPr>
          <c:invertIfNegative val="0"/>
          <c:dPt>
            <c:idx val="8"/>
            <c:invertIfNegative val="0"/>
            <c:bubble3D val="0"/>
            <c:spPr>
              <a:solidFill>
                <a:srgbClr val="8398A3"/>
              </a:solidFill>
              <a:ln>
                <a:noFill/>
              </a:ln>
              <a:effectLst/>
            </c:spPr>
            <c:extLst>
              <c:ext xmlns:c16="http://schemas.microsoft.com/office/drawing/2014/chart" uri="{C3380CC4-5D6E-409C-BE32-E72D297353CC}">
                <c16:uniqueId val="{00000024-C080-4318-8091-9FA78DBC5F5F}"/>
              </c:ext>
            </c:extLst>
          </c:dPt>
          <c:dLbls>
            <c:dLbl>
              <c:idx val="8"/>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de-DE"/>
                </a:p>
              </c:txP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4-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Temp!$M$23:$AW$23</c:f>
            </c:numRef>
          </c:val>
          <c:extLst>
            <c:ext xmlns:c16="http://schemas.microsoft.com/office/drawing/2014/chart" uri="{C3380CC4-5D6E-409C-BE32-E72D297353CC}">
              <c16:uniqueId val="{00000023-C080-4318-8091-9FA78DBC5F5F}"/>
            </c:ext>
          </c:extLst>
        </c:ser>
        <c:ser>
          <c:idx val="10"/>
          <c:order val="16"/>
          <c:tx>
            <c:v>Ausschuss Material</c:v>
          </c:tx>
          <c:spPr>
            <a:noFill/>
            <a:ln>
              <a:noFill/>
            </a:ln>
            <a:effectLst/>
            <a:extLst>
              <a:ext uri="{909E8E84-426E-40DD-AFC4-6F175D3DCCD1}">
                <a14:hiddenFill xmlns:a14="http://schemas.microsoft.com/office/drawing/2010/main">
                  <a:solidFill>
                    <a:srgbClr val="002F63">
                      <a:lumMod val="60000"/>
                    </a:srgbClr>
                  </a:solidFill>
                </a14:hiddenFill>
              </a:ext>
            </a:extLst>
          </c:spPr>
          <c:invertIfNegative val="0"/>
          <c:dPt>
            <c:idx val="9"/>
            <c:invertIfNegative val="0"/>
            <c:bubble3D val="0"/>
            <c:spPr>
              <a:solidFill>
                <a:srgbClr val="D6DDE0"/>
              </a:solidFill>
              <a:ln>
                <a:noFill/>
              </a:ln>
              <a:effectLst/>
            </c:spPr>
            <c:extLst>
              <c:ext xmlns:c16="http://schemas.microsoft.com/office/drawing/2014/chart" uri="{C3380CC4-5D6E-409C-BE32-E72D297353CC}">
                <c16:uniqueId val="{00000026-C080-4318-8091-9FA78DBC5F5F}"/>
              </c:ext>
            </c:extLst>
          </c:dPt>
          <c:dLbls>
            <c:dLbl>
              <c:idx val="9"/>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Temp!$M$24:$AW$24</c:f>
            </c:numRef>
          </c:val>
          <c:extLst>
            <c:ext xmlns:c16="http://schemas.microsoft.com/office/drawing/2014/chart" uri="{C3380CC4-5D6E-409C-BE32-E72D297353CC}">
              <c16:uniqueId val="{00000025-C080-4318-8091-9FA78DBC5F5F}"/>
            </c:ext>
          </c:extLst>
        </c:ser>
        <c:ser>
          <c:idx val="11"/>
          <c:order val="17"/>
          <c:tx>
            <c:v>MGK</c:v>
          </c:tx>
          <c:spPr>
            <a:noFill/>
            <a:ln>
              <a:noFill/>
            </a:ln>
            <a:effectLst/>
            <a:extLst>
              <a:ext uri="{909E8E84-426E-40DD-AFC4-6F175D3DCCD1}">
                <a14:hiddenFill xmlns:a14="http://schemas.microsoft.com/office/drawing/2010/main">
                  <a:solidFill>
                    <a:srgbClr val="3F4E55">
                      <a:lumMod val="60000"/>
                    </a:srgbClr>
                  </a:solidFill>
                </a14:hiddenFill>
              </a:ext>
            </a:extLst>
          </c:spPr>
          <c:invertIfNegative val="0"/>
          <c:dPt>
            <c:idx val="10"/>
            <c:invertIfNegative val="0"/>
            <c:bubble3D val="0"/>
            <c:spPr>
              <a:solidFill>
                <a:srgbClr val="D6DDE0"/>
              </a:solidFill>
              <a:ln>
                <a:noFill/>
              </a:ln>
              <a:effectLst/>
            </c:spPr>
            <c:extLst>
              <c:ext xmlns:c16="http://schemas.microsoft.com/office/drawing/2014/chart" uri="{C3380CC4-5D6E-409C-BE32-E72D297353CC}">
                <c16:uniqueId val="{00000028-C080-4318-8091-9FA78DBC5F5F}"/>
              </c:ext>
            </c:extLst>
          </c:dPt>
          <c:dLbls>
            <c:dLbl>
              <c:idx val="1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Temp!$M$25:$AW$25</c:f>
            </c:numRef>
          </c:val>
          <c:extLst>
            <c:ext xmlns:c16="http://schemas.microsoft.com/office/drawing/2014/chart" uri="{C3380CC4-5D6E-409C-BE32-E72D297353CC}">
              <c16:uniqueId val="{00000027-C080-4318-8091-9FA78DBC5F5F}"/>
            </c:ext>
          </c:extLst>
        </c:ser>
        <c:ser>
          <c:idx val="12"/>
          <c:order val="18"/>
          <c:tx>
            <c:v>MK</c:v>
          </c:tx>
          <c:spPr>
            <a:noFill/>
            <a:ln>
              <a:noFill/>
            </a:ln>
            <a:effectLst/>
            <a:extLst>
              <a:ext uri="{909E8E84-426E-40DD-AFC4-6F175D3DCCD1}">
                <a14:hiddenFill xmlns:a14="http://schemas.microsoft.com/office/drawing/2010/main">
                  <a:solidFill>
                    <a:srgbClr val="94C356">
                      <a:lumMod val="80000"/>
                      <a:lumOff val="20000"/>
                    </a:srgbClr>
                  </a:solidFill>
                </a14:hiddenFill>
              </a:ext>
            </a:extLst>
          </c:spPr>
          <c:invertIfNegative val="0"/>
          <c:dPt>
            <c:idx val="11"/>
            <c:invertIfNegative val="0"/>
            <c:bubble3D val="0"/>
            <c:spPr>
              <a:solidFill>
                <a:srgbClr val="0060CA"/>
              </a:solidFill>
              <a:ln>
                <a:noFill/>
              </a:ln>
              <a:effectLst/>
            </c:spPr>
            <c:extLst>
              <c:ext xmlns:c16="http://schemas.microsoft.com/office/drawing/2014/chart" uri="{C3380CC4-5D6E-409C-BE32-E72D297353CC}">
                <c16:uniqueId val="{0000002A-C080-4318-8091-9FA78DBC5F5F}"/>
              </c:ext>
            </c:extLst>
          </c:dPt>
          <c:dLbls>
            <c:dLbl>
              <c:idx val="11"/>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Temp!$M$27:$AW$27</c:f>
            </c:numRef>
          </c:val>
          <c:extLst>
            <c:ext xmlns:c16="http://schemas.microsoft.com/office/drawing/2014/chart" uri="{C3380CC4-5D6E-409C-BE32-E72D297353CC}">
              <c16:uniqueId val="{00000029-C080-4318-8091-9FA78DBC5F5F}"/>
            </c:ext>
          </c:extLst>
        </c:ser>
        <c:ser>
          <c:idx val="13"/>
          <c:order val="19"/>
          <c:tx>
            <c:v>HK</c:v>
          </c:tx>
          <c:spPr>
            <a:noFill/>
            <a:ln>
              <a:noFill/>
            </a:ln>
            <a:effectLst/>
            <a:extLst>
              <a:ext uri="{909E8E84-426E-40DD-AFC4-6F175D3DCCD1}">
                <a14:hiddenFill xmlns:a14="http://schemas.microsoft.com/office/drawing/2010/main">
                  <a:solidFill>
                    <a:srgbClr val="99CFB8">
                      <a:lumMod val="80000"/>
                      <a:lumOff val="20000"/>
                    </a:srgbClr>
                  </a:solidFill>
                </a14:hiddenFill>
              </a:ext>
            </a:extLst>
          </c:spPr>
          <c:invertIfNegative val="0"/>
          <c:dPt>
            <c:idx val="12"/>
            <c:invertIfNegative val="0"/>
            <c:bubble3D val="0"/>
            <c:spPr>
              <a:solidFill>
                <a:srgbClr val="002F63"/>
              </a:solidFill>
              <a:ln>
                <a:noFill/>
              </a:ln>
              <a:effectLst/>
            </c:spPr>
            <c:extLst>
              <c:ext xmlns:c16="http://schemas.microsoft.com/office/drawing/2014/chart" uri="{C3380CC4-5D6E-409C-BE32-E72D297353CC}">
                <c16:uniqueId val="{0000002C-C080-4318-8091-9FA78DBC5F5F}"/>
              </c:ext>
            </c:extLst>
          </c:dPt>
          <c:dLbls>
            <c:dLbl>
              <c:idx val="12"/>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Temp!$M$29:$AW$29</c:f>
            </c:numRef>
          </c:val>
          <c:extLst>
            <c:ext xmlns:c16="http://schemas.microsoft.com/office/drawing/2014/chart" uri="{C3380CC4-5D6E-409C-BE32-E72D297353CC}">
              <c16:uniqueId val="{0000002B-C080-4318-8091-9FA78DBC5F5F}"/>
            </c:ext>
          </c:extLst>
        </c:ser>
        <c:ser>
          <c:idx val="14"/>
          <c:order val="20"/>
          <c:tx>
            <c:v>VVGK</c:v>
          </c:tx>
          <c:spPr>
            <a:noFill/>
            <a:ln>
              <a:noFill/>
            </a:ln>
            <a:effectLst/>
            <a:extLst>
              <a:ext uri="{909E8E84-426E-40DD-AFC4-6F175D3DCCD1}">
                <a14:hiddenFill xmlns:a14="http://schemas.microsoft.com/office/drawing/2010/main">
                  <a:solidFill>
                    <a:srgbClr val="0079B0">
                      <a:lumMod val="80000"/>
                      <a:lumOff val="20000"/>
                    </a:srgbClr>
                  </a:solidFill>
                </a14:hiddenFill>
              </a:ext>
            </a:extLst>
          </c:spPr>
          <c:invertIfNegative val="0"/>
          <c:dPt>
            <c:idx val="13"/>
            <c:invertIfNegative val="0"/>
            <c:bubble3D val="0"/>
            <c:spPr>
              <a:solidFill>
                <a:srgbClr val="D6DDE0"/>
              </a:solidFill>
              <a:ln>
                <a:noFill/>
              </a:ln>
              <a:effectLst/>
            </c:spPr>
            <c:extLst>
              <c:ext xmlns:c16="http://schemas.microsoft.com/office/drawing/2014/chart" uri="{C3380CC4-5D6E-409C-BE32-E72D297353CC}">
                <c16:uniqueId val="{0000002E-C080-4318-8091-9FA78DBC5F5F}"/>
              </c:ext>
            </c:extLst>
          </c:dPt>
          <c:dLbls>
            <c:dLbl>
              <c:idx val="13"/>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Temp!$M$32:$AW$32</c:f>
            </c:numRef>
          </c:val>
          <c:extLst>
            <c:ext xmlns:c16="http://schemas.microsoft.com/office/drawing/2014/chart" uri="{C3380CC4-5D6E-409C-BE32-E72D297353CC}">
              <c16:uniqueId val="{0000002D-C080-4318-8091-9FA78DBC5F5F}"/>
            </c:ext>
          </c:extLst>
        </c:ser>
        <c:ser>
          <c:idx val="15"/>
          <c:order val="21"/>
          <c:tx>
            <c:v>Gewinn</c:v>
          </c:tx>
          <c:spPr>
            <a:noFill/>
            <a:ln>
              <a:noFill/>
            </a:ln>
            <a:effectLst/>
            <a:extLst>
              <a:ext uri="{909E8E84-426E-40DD-AFC4-6F175D3DCCD1}">
                <a14:hiddenFill xmlns:a14="http://schemas.microsoft.com/office/drawing/2010/main">
                  <a:solidFill>
                    <a:srgbClr val="004698">
                      <a:lumMod val="80000"/>
                      <a:lumOff val="20000"/>
                    </a:srgbClr>
                  </a:solidFill>
                </a14:hiddenFill>
              </a:ext>
            </a:extLst>
          </c:spPr>
          <c:invertIfNegative val="0"/>
          <c:dPt>
            <c:idx val="14"/>
            <c:invertIfNegative val="0"/>
            <c:bubble3D val="0"/>
            <c:spPr>
              <a:solidFill>
                <a:srgbClr val="D6DDE0"/>
              </a:solidFill>
              <a:ln>
                <a:noFill/>
              </a:ln>
              <a:effectLst/>
            </c:spPr>
            <c:extLst>
              <c:ext xmlns:c16="http://schemas.microsoft.com/office/drawing/2014/chart" uri="{C3380CC4-5D6E-409C-BE32-E72D297353CC}">
                <c16:uniqueId val="{00000030-C080-4318-8091-9FA78DBC5F5F}"/>
              </c:ext>
            </c:extLst>
          </c:dPt>
          <c:dLbls>
            <c:dLbl>
              <c:idx val="14"/>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Temp!$M$35:$AW$35</c:f>
            </c:numRef>
          </c:val>
          <c:extLst>
            <c:ext xmlns:c16="http://schemas.microsoft.com/office/drawing/2014/chart" uri="{C3380CC4-5D6E-409C-BE32-E72D297353CC}">
              <c16:uniqueId val="{0000002F-C080-4318-8091-9FA78DBC5F5F}"/>
            </c:ext>
          </c:extLst>
        </c:ser>
        <c:ser>
          <c:idx val="16"/>
          <c:order val="22"/>
          <c:tx>
            <c:v>Overhead</c:v>
          </c:tx>
          <c:spPr>
            <a:noFill/>
            <a:ln>
              <a:noFill/>
            </a:ln>
            <a:effectLst/>
            <a:extLst>
              <a:ext uri="{909E8E84-426E-40DD-AFC4-6F175D3DCCD1}">
                <a14:hiddenFill xmlns:a14="http://schemas.microsoft.com/office/drawing/2010/main">
                  <a:solidFill>
                    <a:srgbClr val="002F63">
                      <a:lumMod val="80000"/>
                      <a:lumOff val="20000"/>
                    </a:srgbClr>
                  </a:solidFill>
                </a14:hiddenFill>
              </a:ext>
            </a:extLst>
          </c:spPr>
          <c:invertIfNegative val="0"/>
          <c:dPt>
            <c:idx val="15"/>
            <c:invertIfNegative val="0"/>
            <c:bubble3D val="0"/>
            <c:spPr>
              <a:solidFill>
                <a:srgbClr val="002F63"/>
              </a:solidFill>
              <a:ln>
                <a:noFill/>
              </a:ln>
              <a:effectLst/>
            </c:spPr>
            <c:extLst>
              <c:ext xmlns:c16="http://schemas.microsoft.com/office/drawing/2014/chart" uri="{C3380CC4-5D6E-409C-BE32-E72D297353CC}">
                <c16:uniqueId val="{00000032-C080-4318-8091-9FA78DBC5F5F}"/>
              </c:ext>
            </c:extLst>
          </c:dPt>
          <c:dLbls>
            <c:dLbl>
              <c:idx val="15"/>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Temp!$M$37:$AW$37</c:f>
            </c:numRef>
          </c:val>
          <c:extLst>
            <c:ext xmlns:c16="http://schemas.microsoft.com/office/drawing/2014/chart" uri="{C3380CC4-5D6E-409C-BE32-E72D297353CC}">
              <c16:uniqueId val="{00000031-C080-4318-8091-9FA78DBC5F5F}"/>
            </c:ext>
          </c:extLst>
        </c:ser>
        <c:ser>
          <c:idx val="23"/>
          <c:order val="23"/>
          <c:tx>
            <c:v>Sonstige</c:v>
          </c:tx>
          <c:spPr>
            <a:noFill/>
            <a:ln>
              <a:noFill/>
            </a:ln>
            <a:effectLst/>
            <a:extLst>
              <a:ext uri="{909E8E84-426E-40DD-AFC4-6F175D3DCCD1}">
                <a14:hiddenFill xmlns:a14="http://schemas.microsoft.com/office/drawing/2010/main">
                  <a:solidFill>
                    <a:srgbClr val="3F4E55">
                      <a:lumMod val="80000"/>
                    </a:srgbClr>
                  </a:solidFill>
                </a14:hiddenFill>
              </a:ext>
            </a:extLst>
          </c:spPr>
          <c:invertIfNegative val="0"/>
          <c:val>
            <c:numRef>
              <c:f>Temp!$M$38:$AW$38</c:f>
            </c:numRef>
          </c:val>
          <c:extLst>
            <c:ext xmlns:c16="http://schemas.microsoft.com/office/drawing/2014/chart" uri="{C3380CC4-5D6E-409C-BE32-E72D297353CC}">
              <c16:uniqueId val="{00000033-C080-4318-8091-9FA78DBC5F5F}"/>
            </c:ext>
          </c:extLst>
        </c:ser>
        <c:ser>
          <c:idx val="24"/>
          <c:order val="24"/>
          <c:tx>
            <c:v>Spotlight</c:v>
          </c:tx>
          <c:spPr>
            <a:noFill/>
            <a:ln>
              <a:noFill/>
            </a:ln>
            <a:effectLst/>
            <a:extLst>
              <a:ext uri="{909E8E84-426E-40DD-AFC4-6F175D3DCCD1}">
                <a14:hiddenFill xmlns:a14="http://schemas.microsoft.com/office/drawing/2010/main">
                  <a:solidFill>
                    <a:srgbClr val="94C356">
                      <a:lumMod val="60000"/>
                      <a:lumOff val="40000"/>
                    </a:srgbClr>
                  </a:solidFill>
                </a14:hiddenFill>
              </a:ext>
            </a:extLst>
          </c:spPr>
          <c:invertIfNegative val="0"/>
          <c:val>
            <c:numRef>
              <c:f>Temp!$M$40:$AW$40</c:f>
            </c:numRef>
          </c:val>
          <c:extLst>
            <c:ext xmlns:c16="http://schemas.microsoft.com/office/drawing/2014/chart" uri="{C3380CC4-5D6E-409C-BE32-E72D297353CC}">
              <c16:uniqueId val="{00000034-C080-4318-8091-9FA78DBC5F5F}"/>
            </c:ext>
          </c:extLst>
        </c:ser>
        <c:ser>
          <c:idx val="25"/>
          <c:order val="25"/>
          <c:tx>
            <c:v>Preis</c:v>
          </c:tx>
          <c:spPr>
            <a:noFill/>
            <a:ln>
              <a:noFill/>
            </a:ln>
            <a:effectLst/>
            <a:extLst>
              <a:ext uri="{909E8E84-426E-40DD-AFC4-6F175D3DCCD1}">
                <a14:hiddenFill xmlns:a14="http://schemas.microsoft.com/office/drawing/2010/main">
                  <a:solidFill>
                    <a:srgbClr val="99CFB8">
                      <a:lumMod val="60000"/>
                      <a:lumOff val="40000"/>
                    </a:srgbClr>
                  </a:solidFill>
                </a14:hiddenFill>
              </a:ext>
            </a:extLst>
          </c:spPr>
          <c:invertIfNegative val="0"/>
          <c:dPt>
            <c:idx val="17"/>
            <c:invertIfNegative val="0"/>
            <c:bubble3D val="0"/>
            <c:spPr>
              <a:solidFill>
                <a:srgbClr val="FFC000"/>
              </a:solidFill>
              <a:ln>
                <a:noFill/>
              </a:ln>
              <a:effectLst/>
            </c:spPr>
            <c:extLst>
              <c:ext xmlns:c16="http://schemas.microsoft.com/office/drawing/2014/chart" uri="{C3380CC4-5D6E-409C-BE32-E72D297353CC}">
                <c16:uniqueId val="{00000036-C080-4318-8091-9FA78DBC5F5F}"/>
              </c:ext>
            </c:extLst>
          </c:dPt>
          <c:dLbls>
            <c:dLbl>
              <c:idx val="17"/>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Temp!$M$41:$AW$41</c:f>
            </c:numRef>
          </c:val>
          <c:extLst>
            <c:ext xmlns:c16="http://schemas.microsoft.com/office/drawing/2014/chart" uri="{C3380CC4-5D6E-409C-BE32-E72D297353CC}">
              <c16:uniqueId val="{00000035-C080-4318-8091-9FA78DBC5F5F}"/>
            </c:ext>
          </c:extLst>
        </c:ser>
        <c:ser>
          <c:idx val="26"/>
          <c:order val="26"/>
          <c:tx>
            <c:v>Summe</c:v>
          </c:tx>
          <c:spPr>
            <a:noFill/>
            <a:ln>
              <a:noFill/>
            </a:ln>
            <a:effectLst/>
            <a:extLst>
              <a:ext uri="{909E8E84-426E-40DD-AFC4-6F175D3DCCD1}">
                <a14:hiddenFill xmlns:a14="http://schemas.microsoft.com/office/drawing/2010/main">
                  <a:solidFill>
                    <a:srgbClr val="0079B0">
                      <a:lumMod val="60000"/>
                      <a:lumOff val="40000"/>
                    </a:srgbClr>
                  </a:solidFill>
                </a14:hiddenFill>
              </a:ext>
            </a:extLst>
          </c:spPr>
          <c:invertIfNegative val="0"/>
          <c:dLbls>
            <c:dLbl>
              <c:idx val="11"/>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C080-4318-8091-9FA78DBC5F5F}"/>
                </c:ext>
              </c:extLst>
            </c:dLbl>
            <c:dLbl>
              <c:idx val="12"/>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C080-4318-8091-9FA78DBC5F5F}"/>
                </c:ext>
              </c:extLst>
            </c:dLbl>
            <c:dLbl>
              <c:idx val="15"/>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C080-4318-8091-9FA78DBC5F5F}"/>
                </c:ext>
              </c:extLst>
            </c:dLbl>
            <c:dLbl>
              <c:idx val="17"/>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5.7226200896113504</c:v>
              </c:pt>
              <c:pt idx="12">
                <c:v>5.7226200896113504</c:v>
              </c:pt>
              <c:pt idx="13">
                <c:v>0</c:v>
              </c:pt>
              <c:pt idx="14">
                <c:v>0</c:v>
              </c:pt>
              <c:pt idx="15">
                <c:v>0.56287077560821397</c:v>
              </c:pt>
              <c:pt idx="16">
                <c:v>0</c:v>
              </c:pt>
              <c:pt idx="17">
                <c:v>6.2854908652195602</c:v>
              </c:pt>
            </c:numLit>
          </c:val>
          <c:extLst>
            <c:ext xmlns:c16="http://schemas.microsoft.com/office/drawing/2014/chart" uri="{C3380CC4-5D6E-409C-BE32-E72D297353CC}">
              <c16:uniqueId val="{00000037-C080-4318-8091-9FA78DBC5F5F}"/>
            </c:ext>
          </c:extLst>
        </c:ser>
        <c:ser>
          <c:idx val="17"/>
          <c:order val="0"/>
          <c:tx>
            <c:v>Machine Costs</c:v>
          </c:tx>
          <c:spPr>
            <a:noFill/>
            <a:ln>
              <a:noFill/>
            </a:ln>
            <a:effectLst/>
            <a:extLst>
              <a:ext uri="{909E8E84-426E-40DD-AFC4-6F175D3DCCD1}">
                <a14:hiddenFill xmlns:a14="http://schemas.microsoft.com/office/drawing/2010/main">
                  <a:solidFill>
                    <a:srgbClr val="3F4E55">
                      <a:lumMod val="80000"/>
                      <a:lumOff val="20000"/>
                    </a:srgbClr>
                  </a:solidFill>
                </a14:hiddenFill>
              </a:ext>
            </a:extLst>
          </c:spPr>
          <c:invertIfNegative val="0"/>
          <c:cat>
            <c:strLit>
              <c:ptCount val="31"/>
              <c:pt idx="0">
                <c:v>Machine Costs</c:v>
              </c:pt>
              <c:pt idx="1">
                <c:v>Lohnkosten</c:v>
              </c:pt>
              <c:pt idx="2">
                <c:v>Material Costs</c:v>
              </c:pt>
              <c:pt idx="3">
                <c:v>Production Costs</c:v>
              </c:pt>
              <c:pt idx="4">
                <c:v>Selling Price</c:v>
              </c:pt>
            </c:strLit>
          </c:cat>
          <c:val>
            <c:numRef>
              <c:f>Temp!$BE$12:$CF$12</c:f>
            </c:numRef>
          </c:val>
          <c:extLst>
            <c:ext xmlns:c16="http://schemas.microsoft.com/office/drawing/2014/chart" uri="{C3380CC4-5D6E-409C-BE32-E72D297353CC}">
              <c16:uniqueId val="{000002C4-6B3A-4A1F-B39C-59A587A40BDC}"/>
            </c:ext>
          </c:extLst>
        </c:ser>
        <c:ser>
          <c:idx val="18"/>
          <c:order val="1"/>
          <c:tx>
            <c:v>Lohnkosten</c:v>
          </c:tx>
          <c:spPr>
            <a:noFill/>
            <a:ln>
              <a:noFill/>
            </a:ln>
            <a:effectLst/>
            <a:extLst>
              <a:ext uri="{909E8E84-426E-40DD-AFC4-6F175D3DCCD1}">
                <a14:hiddenFill xmlns:a14="http://schemas.microsoft.com/office/drawing/2010/main">
                  <a:solidFill>
                    <a:srgbClr val="94C356">
                      <a:lumMod val="80000"/>
                    </a:srgbClr>
                  </a:solidFill>
                </a14:hiddenFill>
              </a:ext>
            </a:extLst>
          </c:spPr>
          <c:invertIfNegative val="0"/>
          <c:dPt>
            <c:idx val="1"/>
            <c:invertIfNegative val="0"/>
            <c:bubble3D val="0"/>
            <c:spPr>
              <a:solidFill>
                <a:srgbClr val="92D050"/>
              </a:solidFill>
              <a:ln>
                <a:noFill/>
              </a:ln>
              <a:effectLst/>
            </c:spPr>
            <c:extLst>
              <c:ext xmlns:c16="http://schemas.microsoft.com/office/drawing/2014/chart" uri="{C3380CC4-5D6E-409C-BE32-E72D297353CC}">
                <c16:uniqueId val="{000002C6-6B3A-4A1F-B39C-59A587A40BDC}"/>
              </c:ext>
            </c:extLst>
          </c:dPt>
          <c:dLbls>
            <c:dLbl>
              <c:idx val="1"/>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6-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Temp!$BE$18:$CF$18</c:f>
            </c:numRef>
          </c:val>
          <c:extLst>
            <c:ext xmlns:c16="http://schemas.microsoft.com/office/drawing/2014/chart" uri="{C3380CC4-5D6E-409C-BE32-E72D297353CC}">
              <c16:uniqueId val="{000002C5-6B3A-4A1F-B39C-59A587A40BDC}"/>
            </c:ext>
          </c:extLst>
        </c:ser>
        <c:ser>
          <c:idx val="19"/>
          <c:order val="2"/>
          <c:tx>
            <c:v>Material Costs</c:v>
          </c:tx>
          <c:spPr>
            <a:noFill/>
            <a:ln>
              <a:noFill/>
            </a:ln>
            <a:effectLst/>
            <a:extLst>
              <a:ext uri="{909E8E84-426E-40DD-AFC4-6F175D3DCCD1}">
                <a14:hiddenFill xmlns:a14="http://schemas.microsoft.com/office/drawing/2010/main">
                  <a:solidFill>
                    <a:srgbClr val="99CFB8">
                      <a:lumMod val="80000"/>
                    </a:srgbClr>
                  </a:solidFill>
                </a14:hiddenFill>
              </a:ext>
            </a:extLst>
          </c:spPr>
          <c:invertIfNegative val="0"/>
          <c:dPt>
            <c:idx val="2"/>
            <c:invertIfNegative val="0"/>
            <c:bubble3D val="0"/>
            <c:spPr>
              <a:solidFill>
                <a:srgbClr val="92D050"/>
              </a:solidFill>
              <a:ln>
                <a:noFill/>
              </a:ln>
              <a:effectLst/>
            </c:spPr>
            <c:extLst>
              <c:ext xmlns:c16="http://schemas.microsoft.com/office/drawing/2014/chart" uri="{C3380CC4-5D6E-409C-BE32-E72D297353CC}">
                <c16:uniqueId val="{000002C8-6B3A-4A1F-B39C-59A587A40BDC}"/>
              </c:ext>
            </c:extLst>
          </c:dPt>
          <c:dLbls>
            <c:dLbl>
              <c:idx val="2"/>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8-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Temp!$BE$24:$CF$24</c:f>
            </c:numRef>
          </c:val>
          <c:extLst>
            <c:ext xmlns:c16="http://schemas.microsoft.com/office/drawing/2014/chart" uri="{C3380CC4-5D6E-409C-BE32-E72D297353CC}">
              <c16:uniqueId val="{000002C7-6B3A-4A1F-B39C-59A587A40BDC}"/>
            </c:ext>
          </c:extLst>
        </c:ser>
        <c:ser>
          <c:idx val="20"/>
          <c:order val="3"/>
          <c:tx>
            <c:v>Production Costs</c:v>
          </c:tx>
          <c:spPr>
            <a:noFill/>
            <a:ln>
              <a:noFill/>
            </a:ln>
            <a:effectLst/>
            <a:extLst>
              <a:ext uri="{909E8E84-426E-40DD-AFC4-6F175D3DCCD1}">
                <a14:hiddenFill xmlns:a14="http://schemas.microsoft.com/office/drawing/2010/main">
                  <a:solidFill>
                    <a:srgbClr val="0079B0">
                      <a:lumMod val="80000"/>
                    </a:srgbClr>
                  </a:solidFill>
                </a14:hiddenFill>
              </a:ext>
            </a:extLst>
          </c:spPr>
          <c:invertIfNegative val="0"/>
          <c:dPt>
            <c:idx val="3"/>
            <c:invertIfNegative val="0"/>
            <c:bubble3D val="0"/>
            <c:spPr>
              <a:solidFill>
                <a:srgbClr val="92D050"/>
              </a:solidFill>
              <a:ln>
                <a:noFill/>
              </a:ln>
              <a:effectLst/>
            </c:spPr>
            <c:extLst>
              <c:ext xmlns:c16="http://schemas.microsoft.com/office/drawing/2014/chart" uri="{C3380CC4-5D6E-409C-BE32-E72D297353CC}">
                <c16:uniqueId val="{000002CA-6B3A-4A1F-B39C-59A587A40BDC}"/>
              </c:ext>
            </c:extLst>
          </c:dPt>
          <c:dLbls>
            <c:dLbl>
              <c:idx val="3"/>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A-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Temp!$BE$26:$CF$26</c:f>
            </c:numRef>
          </c:val>
          <c:extLst>
            <c:ext xmlns:c16="http://schemas.microsoft.com/office/drawing/2014/chart" uri="{C3380CC4-5D6E-409C-BE32-E72D297353CC}">
              <c16:uniqueId val="{000002C9-6B3A-4A1F-B39C-59A587A40BDC}"/>
            </c:ext>
          </c:extLst>
        </c:ser>
        <c:ser>
          <c:idx val="21"/>
          <c:order val="4"/>
          <c:tx>
            <c:v>Spotlight</c:v>
          </c:tx>
          <c:spPr>
            <a:noFill/>
            <a:ln>
              <a:noFill/>
            </a:ln>
            <a:effectLst/>
            <a:extLst>
              <a:ext uri="{909E8E84-426E-40DD-AFC4-6F175D3DCCD1}">
                <a14:hiddenFill xmlns:a14="http://schemas.microsoft.com/office/drawing/2010/main">
                  <a:solidFill>
                    <a:srgbClr val="004698">
                      <a:lumMod val="80000"/>
                    </a:srgbClr>
                  </a:solidFill>
                </a14:hiddenFill>
              </a:ext>
            </a:extLst>
          </c:spPr>
          <c:invertIfNegative val="0"/>
          <c:val>
            <c:numRef>
              <c:f>Temp!$BE$31:$CF$31</c:f>
            </c:numRef>
          </c:val>
          <c:extLst>
            <c:ext xmlns:c16="http://schemas.microsoft.com/office/drawing/2014/chart" uri="{C3380CC4-5D6E-409C-BE32-E72D297353CC}">
              <c16:uniqueId val="{000002CB-6B3A-4A1F-B39C-59A587A40BDC}"/>
            </c:ext>
          </c:extLst>
        </c:ser>
        <c:ser>
          <c:idx val="22"/>
          <c:order val="5"/>
          <c:tx>
            <c:v>Selling Price</c:v>
          </c:tx>
          <c:spPr>
            <a:noFill/>
            <a:ln>
              <a:noFill/>
            </a:ln>
            <a:effectLst/>
            <a:extLst>
              <a:ext uri="{909E8E84-426E-40DD-AFC4-6F175D3DCCD1}">
                <a14:hiddenFill xmlns:a14="http://schemas.microsoft.com/office/drawing/2010/main">
                  <a:solidFill>
                    <a:srgbClr val="002F63">
                      <a:lumMod val="80000"/>
                    </a:srgbClr>
                  </a:solidFill>
                </a14:hiddenFill>
              </a:ext>
            </a:extLst>
          </c:spPr>
          <c:invertIfNegative val="0"/>
          <c:dPt>
            <c:idx val="4"/>
            <c:invertIfNegative val="0"/>
            <c:bubble3D val="0"/>
            <c:spPr>
              <a:solidFill>
                <a:srgbClr val="448E5B"/>
              </a:solidFill>
              <a:ln>
                <a:noFill/>
              </a:ln>
              <a:effectLst/>
            </c:spPr>
            <c:extLst>
              <c:ext xmlns:c16="http://schemas.microsoft.com/office/drawing/2014/chart" uri="{C3380CC4-5D6E-409C-BE32-E72D297353CC}">
                <c16:uniqueId val="{000002CD-6B3A-4A1F-B39C-59A587A40BDC}"/>
              </c:ext>
            </c:extLst>
          </c:dPt>
          <c:dLbls>
            <c:dLbl>
              <c:idx val="4"/>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D-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Temp!$BE$32:$CF$32</c:f>
            </c:numRef>
          </c:val>
          <c:extLst>
            <c:ext xmlns:c16="http://schemas.microsoft.com/office/drawing/2014/chart" uri="{C3380CC4-5D6E-409C-BE32-E72D297353CC}">
              <c16:uniqueId val="{000002CC-6B3A-4A1F-B39C-59A587A40BDC}"/>
            </c:ext>
          </c:extLst>
        </c:ser>
        <c:dLbls>
          <c:showLegendKey val="0"/>
          <c:showVal val="0"/>
          <c:showCatName val="0"/>
          <c:showSerName val="0"/>
          <c:showPercent val="0"/>
          <c:showBubbleSize val="0"/>
        </c:dLbls>
        <c:gapWidth val="10"/>
        <c:overlap val="100"/>
        <c:axId val="1925543440"/>
        <c:axId val="1925629568"/>
      </c:barChart>
      <c:catAx>
        <c:axId val="192554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925629568"/>
        <c:crosses val="autoZero"/>
        <c:auto val="1"/>
        <c:lblAlgn val="ctr"/>
        <c:lblOffset val="100"/>
        <c:noMultiLvlLbl val="0"/>
      </c:catAx>
      <c:valAx>
        <c:axId val="1925629568"/>
        <c:scaling>
          <c:orientation val="minMax"/>
          <c:max val="7"/>
        </c:scaling>
        <c:delete val="0"/>
        <c:axPos val="l"/>
        <c:majorGridlines>
          <c:spPr>
            <a:ln w="12700" cap="flat" cmpd="sng" algn="ctr">
              <a:noFill/>
              <a:round/>
            </a:ln>
            <a:effectLst/>
          </c:spPr>
        </c:majorGridlines>
        <c:numFmt formatCode="General" sourceLinked="0"/>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de-DE"/>
          </a:p>
        </c:txPr>
        <c:crossAx val="1925543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c:style val="2"/>
  <c:chart>
    <c:autoTitleDeleted val="0"/>
    <c:plotArea>
      <c:layout/>
      <c:barChart>
        <c:barDir val="col"/>
        <c:grouping val="clustered"/>
        <c:varyColors val="0"/>
        <c:dLbls>
          <c:showLegendKey val="0"/>
          <c:showVal val="0"/>
          <c:showCatName val="0"/>
          <c:showSerName val="0"/>
          <c:showPercent val="0"/>
          <c:showBubbleSize val="0"/>
        </c:dLbls>
        <c:gapWidth val="150"/>
        <c:axId val="1"/>
        <c:axId val="2"/>
      </c:barChart>
      <c:catAx>
        <c:axId val="1"/>
        <c:scaling>
          <c:orientation val="minMax"/>
        </c:scaling>
        <c:delete val="0"/>
        <c:axPos val="b"/>
        <c:majorTickMark val="out"/>
        <c:minorTickMark val="none"/>
        <c:tickLblPos val="nextTo"/>
        <c:crossAx val="2"/>
        <c:crosses val="autoZero"/>
        <c:auto val="1"/>
        <c:lblAlgn val="ctr"/>
        <c:lblOffset val="100"/>
        <c:noMultiLvlLbl val="0"/>
      </c:catAx>
      <c:valAx>
        <c:axId val="2"/>
        <c:scaling>
          <c:orientation val="minMax"/>
        </c:scaling>
        <c:delete val="0"/>
        <c:axPos val="l"/>
        <c:majorGridlines/>
        <c:majorTickMark val="out"/>
        <c:minorTickMark val="none"/>
        <c:tickLblPos val="nextTo"/>
        <c:crossAx val="1"/>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plotArea>
      <cx:plotAreaRegion>
        <cx:series layoutId="waterfall" uniqueId="{09D33603-4F90-4E7C-ABFD-5E57848F0008}" formatIdx="0">
          <cx:tx>
            <cx:txData>
              <cx:f>_xlchart.v1.1</cx:f>
              <cx:v>Kosten</cx:v>
            </cx:txData>
          </cx:tx>
          <cx:dataLabels>
            <cx:numFmt formatCode="#.##0,00" sourceLinked="0"/>
            <cx:visibility seriesName="0" categoryName="0" value="1"/>
            <cx:separator>, </cx:separator>
          </cx:dataLabels>
          <cx:dataId val="0"/>
          <cx:layoutPr>
            <cx:visibility connectorLines="1"/>
            <cx:subtotals>
              <cx:idx val="5"/>
              <cx:idx val="21"/>
              <cx:idx val="22"/>
            </cx:subtotals>
          </cx:layoutPr>
        </cx:series>
      </cx:plotAreaRegion>
      <cx:axis id="0">
        <cx:catScaling gapWidth="1"/>
        <cx:tickLabels/>
      </cx:axis>
      <cx:axis id="1" hidden="1">
        <cx:valScaling/>
        <cx:majorGridlines>
          <cx:spPr>
            <a:ln>
              <a:noFill/>
            </a:ln>
          </cx:spPr>
        </cx:majorGridlines>
        <cx:tickLabels/>
      </cx:axis>
    </cx:plotArea>
  </cx:chart>
  <cx:spPr>
    <a:noFill/>
    <a:ln>
      <a:noFill/>
    </a:ln>
  </cx:spPr>
</cx:chartSpace>
</file>

<file path=xl/charts/colors1.xml><?xml version="1.0" encoding="utf-8"?>
<cs:colorStyle xmlns:cs="http://schemas.microsoft.com/office/drawing/2012/chartStyle" xmlns:a="http://schemas.openxmlformats.org/drawingml/2006/main" meth="withinLinearReversed" id="25">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1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8395927-8C96-447D-8316-DFA5971552FF}">
  <sheetPr codeName="TabBarChart">
    <tabColor theme="7"/>
  </sheetPr>
  <sheetViews>
    <sheetView workbookViewId="0"/>
  </sheetViews>
  <pageMargins left="0.7" right="0.7" top="0.78740157499999996" bottom="0.78740157499999996"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AFB871E-792A-438E-81A4-1883805327A1}">
  <sheetPr codeName="TabWaterfallChart">
    <tabColor theme="7"/>
  </sheetPr>
  <sheetViews>
    <sheetView workbookViewId="0"/>
  </sheetViews>
  <pageMargins left="0.7" right="0.7" top="0.78740157499999996" bottom="0.78740157499999996"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19.svg"/><Relationship Id="rId26" Type="http://schemas.openxmlformats.org/officeDocument/2006/relationships/image" Target="../media/image27.sv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18.png"/><Relationship Id="rId25" Type="http://schemas.openxmlformats.org/officeDocument/2006/relationships/image" Target="../media/image26.png"/><Relationship Id="rId2" Type="http://schemas.openxmlformats.org/officeDocument/2006/relationships/image" Target="../media/image3.svg"/><Relationship Id="rId16" Type="http://schemas.openxmlformats.org/officeDocument/2006/relationships/image" Target="../media/image17.svg"/><Relationship Id="rId20" Type="http://schemas.openxmlformats.org/officeDocument/2006/relationships/image" Target="../media/image21.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24" Type="http://schemas.openxmlformats.org/officeDocument/2006/relationships/image" Target="../media/image25.sv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svg"/><Relationship Id="rId10" Type="http://schemas.openxmlformats.org/officeDocument/2006/relationships/image" Target="../media/image11.svg"/><Relationship Id="rId19" Type="http://schemas.openxmlformats.org/officeDocument/2006/relationships/image" Target="../media/image20.png"/><Relationship Id="rId4" Type="http://schemas.openxmlformats.org/officeDocument/2006/relationships/image" Target="../media/image5.svg"/><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image" Target="../media/image23.svg"/><Relationship Id="rId27" Type="http://schemas.openxmlformats.org/officeDocument/2006/relationships/image" Target="../media/image28.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30.png"/></Relationships>
</file>

<file path=xl/drawings/_rels/drawing5.xml.rels><?xml version="1.0" encoding="UTF-8" standalone="yes"?>
<Relationships xmlns="http://schemas.openxmlformats.org/package/2006/relationships"><Relationship Id="rId1" Type="http://schemas.openxmlformats.org/officeDocument/2006/relationships/image" Target="../media/image31.png"/></Relationships>
</file>

<file path=xl/drawings/_rels/drawing6.xml.rels><?xml version="1.0" encoding="UTF-8" standalone="yes"?>
<Relationships xmlns="http://schemas.openxmlformats.org/package/2006/relationships"><Relationship Id="rId1" Type="http://schemas.openxmlformats.org/officeDocument/2006/relationships/image" Target="../media/image30.png"/></Relationships>
</file>

<file path=xl/drawings/_rels/drawing7.xml.rels><?xml version="1.0" encoding="UTF-8" standalone="yes"?>
<Relationships xmlns="http://schemas.openxmlformats.org/package/2006/relationships"><Relationship Id="rId1" Type="http://schemas.openxmlformats.org/officeDocument/2006/relationships/image" Target="../media/image31.png"/></Relationships>
</file>

<file path=xl/drawings/_rels/drawing8.xml.rels><?xml version="1.0" encoding="UTF-8" standalone="yes"?>
<Relationships xmlns="http://schemas.openxmlformats.org/package/2006/relationships"><Relationship Id="rId1" Type="http://schemas.openxmlformats.org/officeDocument/2006/relationships/image" Target="../media/image30.png"/></Relationships>
</file>

<file path=xl/drawings/_rels/drawing9.xml.rels><?xml version="1.0" encoding="UTF-8" standalone="yes"?>
<Relationships xmlns="http://schemas.openxmlformats.org/package/2006/relationships"><Relationship Id="rId1" Type="http://schemas.openxmlformats.org/officeDocument/2006/relationships/image" Target="../media/image3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microsoft.com/office/2014/relationships/chartEx" Target="../charts/chartEx1.xml"/></Relationships>
</file>

<file path=xl/drawings/_rels/drawing13.xml.rels><?xml version="1.0" encoding="UTF-8" standalone="yes"?>
<Relationships xmlns="http://schemas.openxmlformats.org/package/2006/relationships"><Relationship Id="rId1" Type="http://schemas.openxmlformats.org/officeDocument/2006/relationships/image" Target="../media/image31.png"/></Relationships>
</file>

<file path=xl/drawings/drawing1.xml><?xml version="1.0" encoding="utf-8"?>
<xdr:wsDr xmlns:xdr="http://schemas.openxmlformats.org/drawingml/2006/spreadsheetDrawing" xmlns:a="http://schemas.openxmlformats.org/drawingml/2006/main">
  <xdr:twoCellAnchor editAs="oneCell">
    <xdr:from>
      <xdr:col>1</xdr:col>
      <xdr:colOff>1252180</xdr:colOff>
      <xdr:row>2</xdr:row>
      <xdr:rowOff>57150</xdr:rowOff>
    </xdr:from>
    <xdr:to>
      <xdr:col>1</xdr:col>
      <xdr:colOff>3013587</xdr:colOff>
      <xdr:row>4</xdr:row>
      <xdr:rowOff>59205</xdr:rowOff>
    </xdr:to>
    <xdr:pic>
      <xdr:nvPicPr>
        <xdr:cNvPr id="3" name="Grafik 2">
          <a:extLst>
            <a:ext uri="{FF2B5EF4-FFF2-40B4-BE49-F238E27FC236}">
              <a16:creationId xmlns:a16="http://schemas.microsoft.com/office/drawing/2014/main" id="{C628AA7F-4F1E-4283-AF70-4DFE14F554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66480" y="171450"/>
          <a:ext cx="1714598" cy="32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17</xdr:col>
      <xdr:colOff>172403</xdr:colOff>
      <xdr:row>1</xdr:row>
      <xdr:rowOff>22858</xdr:rowOff>
    </xdr:from>
    <xdr:to>
      <xdr:col>22</xdr:col>
      <xdr:colOff>510540</xdr:colOff>
      <xdr:row>43</xdr:row>
      <xdr:rowOff>131721</xdr:rowOff>
    </xdr:to>
    <xdr:grpSp>
      <xdr:nvGrpSpPr>
        <xdr:cNvPr id="3" name="Gruppieren 2">
          <a:extLst>
            <a:ext uri="{FF2B5EF4-FFF2-40B4-BE49-F238E27FC236}">
              <a16:creationId xmlns:a16="http://schemas.microsoft.com/office/drawing/2014/main" id="{F4FE0C11-947E-4D63-BEC4-C59E38F3607E}"/>
            </a:ext>
          </a:extLst>
        </xdr:cNvPr>
        <xdr:cNvGrpSpPr/>
      </xdr:nvGrpSpPr>
      <xdr:grpSpPr>
        <a:xfrm>
          <a:off x="13897928" y="184783"/>
          <a:ext cx="3652837" cy="6804938"/>
          <a:chOff x="13901738" y="190498"/>
          <a:chExt cx="3662362" cy="6810653"/>
        </a:xfrm>
      </xdr:grpSpPr>
      <xdr:grpSp>
        <xdr:nvGrpSpPr>
          <xdr:cNvPr id="173" name="Gruppieren 172">
            <a:extLst>
              <a:ext uri="{FF2B5EF4-FFF2-40B4-BE49-F238E27FC236}">
                <a16:creationId xmlns:a16="http://schemas.microsoft.com/office/drawing/2014/main" id="{DA2E32E8-C3CE-4806-A482-1AD54BEF5F31}"/>
              </a:ext>
            </a:extLst>
          </xdr:cNvPr>
          <xdr:cNvGrpSpPr>
            <a:grpSpLocks noChangeAspect="1"/>
          </xdr:cNvGrpSpPr>
        </xdr:nvGrpSpPr>
        <xdr:grpSpPr>
          <a:xfrm>
            <a:off x="14049377" y="190498"/>
            <a:ext cx="1432117" cy="1648101"/>
            <a:chOff x="12001502" y="180973"/>
            <a:chExt cx="1770996" cy="2038088"/>
          </a:xfrm>
        </xdr:grpSpPr>
        <xdr:grpSp>
          <xdr:nvGrpSpPr>
            <xdr:cNvPr id="59" name="Gruppieren 58">
              <a:extLst>
                <a:ext uri="{FF2B5EF4-FFF2-40B4-BE49-F238E27FC236}">
                  <a16:creationId xmlns:a16="http://schemas.microsoft.com/office/drawing/2014/main" id="{123F99B4-C349-4E4F-9BA8-CED07BE76457}"/>
                </a:ext>
              </a:extLst>
            </xdr:cNvPr>
            <xdr:cNvGrpSpPr/>
          </xdr:nvGrpSpPr>
          <xdr:grpSpPr>
            <a:xfrm>
              <a:off x="12001502" y="180973"/>
              <a:ext cx="1770996" cy="1742850"/>
              <a:chOff x="12115802" y="247648"/>
              <a:chExt cx="1770996" cy="1800000"/>
            </a:xfrm>
          </xdr:grpSpPr>
          <xdr:grpSp>
            <xdr:nvGrpSpPr>
              <xdr:cNvPr id="42" name="Gruppieren 41">
                <a:extLst>
                  <a:ext uri="{FF2B5EF4-FFF2-40B4-BE49-F238E27FC236}">
                    <a16:creationId xmlns:a16="http://schemas.microsoft.com/office/drawing/2014/main" id="{9B77172A-FBB4-43FF-873A-2ECF7947DB1A}"/>
                  </a:ext>
                </a:extLst>
              </xdr:cNvPr>
              <xdr:cNvGrpSpPr>
                <a:grpSpLocks noChangeAspect="1"/>
              </xdr:cNvGrpSpPr>
            </xdr:nvGrpSpPr>
            <xdr:grpSpPr>
              <a:xfrm>
                <a:off x="12115802" y="247648"/>
                <a:ext cx="1770996" cy="1800000"/>
                <a:chOff x="14420848" y="2933698"/>
                <a:chExt cx="2352251" cy="2390775"/>
              </a:xfrm>
            </xdr:grpSpPr>
            <xdr:pic>
              <xdr:nvPicPr>
                <xdr:cNvPr id="43" name="Grafik 42" descr="Würfel Silhouette">
                  <a:extLst>
                    <a:ext uri="{FF2B5EF4-FFF2-40B4-BE49-F238E27FC236}">
                      <a16:creationId xmlns:a16="http://schemas.microsoft.com/office/drawing/2014/main" id="{D6BA1686-B2CD-4007-A828-AE805A8137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4420848" y="2933698"/>
                  <a:ext cx="2259896" cy="2390775"/>
                </a:xfrm>
                <a:prstGeom prst="rect">
                  <a:avLst/>
                </a:prstGeom>
              </xdr:spPr>
            </xdr:pic>
            <xdr:cxnSp macro="">
              <xdr:nvCxnSpPr>
                <xdr:cNvPr id="44" name="Gerade Verbindung mit Pfeil 43">
                  <a:extLst>
                    <a:ext uri="{FF2B5EF4-FFF2-40B4-BE49-F238E27FC236}">
                      <a16:creationId xmlns:a16="http://schemas.microsoft.com/office/drawing/2014/main" id="{574AB46B-B190-4141-82A1-D791743FE35B}"/>
                    </a:ext>
                  </a:extLst>
                </xdr:cNvPr>
                <xdr:cNvCxnSpPr/>
              </xdr:nvCxnSpPr>
              <xdr:spPr>
                <a:xfrm flipV="1">
                  <a:off x="15419403" y="4847037"/>
                  <a:ext cx="998558" cy="25782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45" name="Gerade Verbindung mit Pfeil 44">
                  <a:extLst>
                    <a:ext uri="{FF2B5EF4-FFF2-40B4-BE49-F238E27FC236}">
                      <a16:creationId xmlns:a16="http://schemas.microsoft.com/office/drawing/2014/main" id="{6481BC1D-6BBF-42DD-A120-F33FD9E25A3D}"/>
                    </a:ext>
                  </a:extLst>
                </xdr:cNvPr>
                <xdr:cNvCxnSpPr/>
              </xdr:nvCxnSpPr>
              <xdr:spPr>
                <a:xfrm flipH="1" flipV="1">
                  <a:off x="16491254" y="3577074"/>
                  <a:ext cx="2095" cy="1186862"/>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46" name="Gerade Verbindung mit Pfeil 45">
                  <a:extLst>
                    <a:ext uri="{FF2B5EF4-FFF2-40B4-BE49-F238E27FC236}">
                      <a16:creationId xmlns:a16="http://schemas.microsoft.com/office/drawing/2014/main" id="{57236CBA-E926-4B4B-B55F-15F061D48457}"/>
                    </a:ext>
                  </a:extLst>
                </xdr:cNvPr>
                <xdr:cNvCxnSpPr/>
              </xdr:nvCxnSpPr>
              <xdr:spPr>
                <a:xfrm>
                  <a:off x="14631068" y="4684200"/>
                  <a:ext cx="647137" cy="385713"/>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47" name="Textfeld 46">
                  <a:extLst>
                    <a:ext uri="{FF2B5EF4-FFF2-40B4-BE49-F238E27FC236}">
                      <a16:creationId xmlns:a16="http://schemas.microsoft.com/office/drawing/2014/main" id="{AC36A243-506C-449C-AACC-17313E796F2C}"/>
                    </a:ext>
                  </a:extLst>
                </xdr:cNvPr>
                <xdr:cNvSpPr txBox="1"/>
              </xdr:nvSpPr>
              <xdr:spPr>
                <a:xfrm>
                  <a:off x="15953789" y="4943620"/>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x</a:t>
                  </a:r>
                </a:p>
              </xdr:txBody>
            </xdr:sp>
            <xdr:sp macro="" textlink="">
              <xdr:nvSpPr>
                <xdr:cNvPr id="48" name="Textfeld 47">
                  <a:extLst>
                    <a:ext uri="{FF2B5EF4-FFF2-40B4-BE49-F238E27FC236}">
                      <a16:creationId xmlns:a16="http://schemas.microsoft.com/office/drawing/2014/main" id="{1261824F-BAEA-4ADB-A4A3-4B301EE2A82B}"/>
                    </a:ext>
                  </a:extLst>
                </xdr:cNvPr>
                <xdr:cNvSpPr txBox="1"/>
              </xdr:nvSpPr>
              <xdr:spPr>
                <a:xfrm>
                  <a:off x="16474299" y="3916210"/>
                  <a:ext cx="298800" cy="3282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sp macro="" textlink="">
              <xdr:nvSpPr>
                <xdr:cNvPr id="49" name="Textfeld 48">
                  <a:extLst>
                    <a:ext uri="{FF2B5EF4-FFF2-40B4-BE49-F238E27FC236}">
                      <a16:creationId xmlns:a16="http://schemas.microsoft.com/office/drawing/2014/main" id="{AE0BDDF5-2CCF-478E-83F0-7C9673348A0C}"/>
                    </a:ext>
                  </a:extLst>
                </xdr:cNvPr>
                <xdr:cNvSpPr txBox="1"/>
              </xdr:nvSpPr>
              <xdr:spPr>
                <a:xfrm>
                  <a:off x="14701144" y="4860319"/>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y</a:t>
                  </a:r>
                </a:p>
              </xdr:txBody>
            </xdr:sp>
          </xdr:grpSp>
          <xdr:pic>
            <xdr:nvPicPr>
              <xdr:cNvPr id="57" name="Grafik 56" descr="Marke 1 Silhouette">
                <a:extLst>
                  <a:ext uri="{FF2B5EF4-FFF2-40B4-BE49-F238E27FC236}">
                    <a16:creationId xmlns:a16="http://schemas.microsoft.com/office/drawing/2014/main" id="{75D5936C-2529-4390-BB8D-57DBC0ADD1A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144376" y="447673"/>
                <a:ext cx="400667" cy="413806"/>
              </a:xfrm>
              <a:prstGeom prst="rect">
                <a:avLst/>
              </a:prstGeom>
            </xdr:spPr>
          </xdr:pic>
        </xdr:grpSp>
        <xdr:sp macro="" textlink="">
          <xdr:nvSpPr>
            <xdr:cNvPr id="168" name="Textfeld 167">
              <a:extLst>
                <a:ext uri="{FF2B5EF4-FFF2-40B4-BE49-F238E27FC236}">
                  <a16:creationId xmlns:a16="http://schemas.microsoft.com/office/drawing/2014/main" id="{9C98D31C-3027-4BD7-B4E4-B1DE49F26A3F}"/>
                </a:ext>
              </a:extLst>
            </xdr:cNvPr>
            <xdr:cNvSpPr txBox="1"/>
          </xdr:nvSpPr>
          <xdr:spPr>
            <a:xfrm>
              <a:off x="12433413" y="1885952"/>
              <a:ext cx="894661"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Quader</a:t>
              </a:r>
            </a:p>
          </xdr:txBody>
        </xdr:sp>
      </xdr:grpSp>
      <xdr:grpSp>
        <xdr:nvGrpSpPr>
          <xdr:cNvPr id="175" name="Gruppieren 174">
            <a:extLst>
              <a:ext uri="{FF2B5EF4-FFF2-40B4-BE49-F238E27FC236}">
                <a16:creationId xmlns:a16="http://schemas.microsoft.com/office/drawing/2014/main" id="{FFE334EC-7795-4012-B56C-9AA5D0F43894}"/>
              </a:ext>
            </a:extLst>
          </xdr:cNvPr>
          <xdr:cNvGrpSpPr>
            <a:grpSpLocks noChangeAspect="1"/>
          </xdr:cNvGrpSpPr>
        </xdr:nvGrpSpPr>
        <xdr:grpSpPr>
          <a:xfrm>
            <a:off x="14011277" y="1885949"/>
            <a:ext cx="1524891" cy="1667868"/>
            <a:chOff x="11991976" y="2238375"/>
            <a:chExt cx="1885723" cy="2062534"/>
          </a:xfrm>
        </xdr:grpSpPr>
        <xdr:grpSp>
          <xdr:nvGrpSpPr>
            <xdr:cNvPr id="91" name="Gruppieren 90">
              <a:extLst>
                <a:ext uri="{FF2B5EF4-FFF2-40B4-BE49-F238E27FC236}">
                  <a16:creationId xmlns:a16="http://schemas.microsoft.com/office/drawing/2014/main" id="{BECFC7FB-F00B-4E32-8230-F585D7475642}"/>
                </a:ext>
              </a:extLst>
            </xdr:cNvPr>
            <xdr:cNvGrpSpPr/>
          </xdr:nvGrpSpPr>
          <xdr:grpSpPr>
            <a:xfrm>
              <a:off x="11991976" y="2238375"/>
              <a:ext cx="1885723" cy="1885723"/>
              <a:chOff x="12058651" y="2143125"/>
              <a:chExt cx="1885723" cy="1885723"/>
            </a:xfrm>
          </xdr:grpSpPr>
          <xdr:grpSp>
            <xdr:nvGrpSpPr>
              <xdr:cNvPr id="61" name="Gruppieren 60">
                <a:extLst>
                  <a:ext uri="{FF2B5EF4-FFF2-40B4-BE49-F238E27FC236}">
                    <a16:creationId xmlns:a16="http://schemas.microsoft.com/office/drawing/2014/main" id="{040C0025-00E7-40E6-A498-A9A052CEA3AF}"/>
                  </a:ext>
                </a:extLst>
              </xdr:cNvPr>
              <xdr:cNvGrpSpPr/>
            </xdr:nvGrpSpPr>
            <xdr:grpSpPr>
              <a:xfrm>
                <a:off x="12058651" y="2143125"/>
                <a:ext cx="1885723" cy="1885723"/>
                <a:chOff x="12030076" y="161925"/>
                <a:chExt cx="1885723" cy="1885723"/>
              </a:xfrm>
            </xdr:grpSpPr>
            <xdr:grpSp>
              <xdr:nvGrpSpPr>
                <xdr:cNvPr id="62" name="Gruppieren 61">
                  <a:extLst>
                    <a:ext uri="{FF2B5EF4-FFF2-40B4-BE49-F238E27FC236}">
                      <a16:creationId xmlns:a16="http://schemas.microsoft.com/office/drawing/2014/main" id="{E1FCD7E6-BD87-4330-9CBD-7F6CCD6692DC}"/>
                    </a:ext>
                  </a:extLst>
                </xdr:cNvPr>
                <xdr:cNvGrpSpPr>
                  <a:grpSpLocks noChangeAspect="1"/>
                </xdr:cNvGrpSpPr>
              </xdr:nvGrpSpPr>
              <xdr:grpSpPr>
                <a:xfrm>
                  <a:off x="12030076" y="161925"/>
                  <a:ext cx="1885723" cy="1885723"/>
                  <a:chOff x="14306990" y="2819840"/>
                  <a:chExt cx="2504633" cy="2504633"/>
                </a:xfrm>
              </xdr:grpSpPr>
              <xdr:pic>
                <xdr:nvPicPr>
                  <xdr:cNvPr id="64" name="Grafik 63" descr="Zylinder Silhouette">
                    <a:extLst>
                      <a:ext uri="{FF2B5EF4-FFF2-40B4-BE49-F238E27FC236}">
                        <a16:creationId xmlns:a16="http://schemas.microsoft.com/office/drawing/2014/main" id="{8C1751D6-693C-4C51-B5AB-F8B1FC1D4A3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4306990" y="2819840"/>
                    <a:ext cx="2504633" cy="2504633"/>
                  </a:xfrm>
                  <a:prstGeom prst="rect">
                    <a:avLst/>
                  </a:prstGeom>
                </xdr:spPr>
              </xdr:pic>
              <xdr:cxnSp macro="">
                <xdr:nvCxnSpPr>
                  <xdr:cNvPr id="66" name="Gerade Verbindung mit Pfeil 65">
                    <a:extLst>
                      <a:ext uri="{FF2B5EF4-FFF2-40B4-BE49-F238E27FC236}">
                        <a16:creationId xmlns:a16="http://schemas.microsoft.com/office/drawing/2014/main" id="{AE4954D8-9D2D-4700-B6EB-DB4D402864DF}"/>
                      </a:ext>
                    </a:extLst>
                  </xdr:cNvPr>
                  <xdr:cNvCxnSpPr/>
                </xdr:nvCxnSpPr>
                <xdr:spPr>
                  <a:xfrm flipH="1" flipV="1">
                    <a:off x="16408616" y="3417925"/>
                    <a:ext cx="2097" cy="1338678"/>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69" name="Textfeld 68">
                    <a:extLst>
                      <a:ext uri="{FF2B5EF4-FFF2-40B4-BE49-F238E27FC236}">
                        <a16:creationId xmlns:a16="http://schemas.microsoft.com/office/drawing/2014/main" id="{651D4981-CF1E-4F55-93C8-2DD820FFF74B}"/>
                      </a:ext>
                    </a:extLst>
                  </xdr:cNvPr>
                  <xdr:cNvSpPr txBox="1"/>
                </xdr:nvSpPr>
                <xdr:spPr>
                  <a:xfrm>
                    <a:off x="16413970" y="3956488"/>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grpSp>
            <xdr:pic>
              <xdr:nvPicPr>
                <xdr:cNvPr id="63" name="Grafik 62" descr="Marke 3 Silhouette">
                  <a:extLst>
                    <a:ext uri="{FF2B5EF4-FFF2-40B4-BE49-F238E27FC236}">
                      <a16:creationId xmlns:a16="http://schemas.microsoft.com/office/drawing/2014/main" id="{4F167B39-49E3-4965-88B0-AFE09E3FF4F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2144375" y="447675"/>
                  <a:ext cx="400667" cy="400668"/>
                </a:xfrm>
                <a:prstGeom prst="rect">
                  <a:avLst/>
                </a:prstGeom>
              </xdr:spPr>
            </xdr:pic>
          </xdr:grpSp>
          <xdr:sp macro="" textlink="">
            <xdr:nvSpPr>
              <xdr:cNvPr id="83" name="Textfeld 82">
                <a:extLst>
                  <a:ext uri="{FF2B5EF4-FFF2-40B4-BE49-F238E27FC236}">
                    <a16:creationId xmlns:a16="http://schemas.microsoft.com/office/drawing/2014/main" id="{66B1A333-6E0A-4132-AB7D-D784E4755B50}"/>
                  </a:ext>
                </a:extLst>
              </xdr:cNvPr>
              <xdr:cNvSpPr txBox="1"/>
            </xdr:nvSpPr>
            <xdr:spPr>
              <a:xfrm>
                <a:off x="12796673" y="3527298"/>
                <a:ext cx="971550" cy="247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85" name="Gerade Verbindung mit Pfeil 84">
                <a:extLst>
                  <a:ext uri="{FF2B5EF4-FFF2-40B4-BE49-F238E27FC236}">
                    <a16:creationId xmlns:a16="http://schemas.microsoft.com/office/drawing/2014/main" id="{9B2CABBA-F9E6-4F54-BB23-97C50CD2C51E}"/>
                  </a:ext>
                </a:extLst>
              </xdr:cNvPr>
              <xdr:cNvCxnSpPr/>
            </xdr:nvCxnSpPr>
            <xdr:spPr>
              <a:xfrm flipV="1">
                <a:off x="12659372" y="3419476"/>
                <a:ext cx="647055" cy="254906"/>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70" name="Textfeld 169">
              <a:extLst>
                <a:ext uri="{FF2B5EF4-FFF2-40B4-BE49-F238E27FC236}">
                  <a16:creationId xmlns:a16="http://schemas.microsoft.com/office/drawing/2014/main" id="{A9904279-5DE5-4EE8-97AE-8469C7B1440F}"/>
                </a:ext>
              </a:extLst>
            </xdr:cNvPr>
            <xdr:cNvSpPr txBox="1"/>
          </xdr:nvSpPr>
          <xdr:spPr>
            <a:xfrm>
              <a:off x="12412175" y="3967800"/>
              <a:ext cx="968640"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Zylinder</a:t>
              </a:r>
            </a:p>
          </xdr:txBody>
        </xdr:sp>
      </xdr:grpSp>
      <xdr:grpSp>
        <xdr:nvGrpSpPr>
          <xdr:cNvPr id="176" name="Gruppieren 175">
            <a:extLst>
              <a:ext uri="{FF2B5EF4-FFF2-40B4-BE49-F238E27FC236}">
                <a16:creationId xmlns:a16="http://schemas.microsoft.com/office/drawing/2014/main" id="{A9699B43-D73B-4B92-AD2E-A2AC2A556A0D}"/>
              </a:ext>
            </a:extLst>
          </xdr:cNvPr>
          <xdr:cNvGrpSpPr>
            <a:grpSpLocks noChangeAspect="1"/>
          </xdr:cNvGrpSpPr>
        </xdr:nvGrpSpPr>
        <xdr:grpSpPr>
          <a:xfrm>
            <a:off x="15862620" y="1876671"/>
            <a:ext cx="1523031" cy="1676885"/>
            <a:chOff x="14319570" y="2238621"/>
            <a:chExt cx="1883425" cy="2073684"/>
          </a:xfrm>
        </xdr:grpSpPr>
        <xdr:grpSp>
          <xdr:nvGrpSpPr>
            <xdr:cNvPr id="148" name="Gruppieren 147">
              <a:extLst>
                <a:ext uri="{FF2B5EF4-FFF2-40B4-BE49-F238E27FC236}">
                  <a16:creationId xmlns:a16="http://schemas.microsoft.com/office/drawing/2014/main" id="{88108BA5-2FA6-4A63-918D-826822B537F7}"/>
                </a:ext>
              </a:extLst>
            </xdr:cNvPr>
            <xdr:cNvGrpSpPr/>
          </xdr:nvGrpSpPr>
          <xdr:grpSpPr>
            <a:xfrm>
              <a:off x="14319570" y="2238621"/>
              <a:ext cx="1883425" cy="1883424"/>
              <a:chOff x="14310045" y="2181471"/>
              <a:chExt cx="1883425" cy="1883424"/>
            </a:xfrm>
          </xdr:grpSpPr>
          <xdr:pic>
            <xdr:nvPicPr>
              <xdr:cNvPr id="120" name="Grafik 119" descr="Zylinder Silhouette">
                <a:extLst>
                  <a:ext uri="{FF2B5EF4-FFF2-40B4-BE49-F238E27FC236}">
                    <a16:creationId xmlns:a16="http://schemas.microsoft.com/office/drawing/2014/main" id="{E9A55241-678E-4556-BD42-A67569F486D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953885" y="3146283"/>
                <a:ext cx="630000" cy="629983"/>
              </a:xfrm>
              <a:prstGeom prst="rect">
                <a:avLst/>
              </a:prstGeom>
            </xdr:spPr>
          </xdr:pic>
          <xdr:pic>
            <xdr:nvPicPr>
              <xdr:cNvPr id="121" name="Grafik 120" descr="Zylinder Silhouette">
                <a:extLst>
                  <a:ext uri="{FF2B5EF4-FFF2-40B4-BE49-F238E27FC236}">
                    <a16:creationId xmlns:a16="http://schemas.microsoft.com/office/drawing/2014/main" id="{5B7EB0E5-0C99-4368-8AA8-A8D24D54E29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954582" y="2823935"/>
                <a:ext cx="630000" cy="629984"/>
              </a:xfrm>
              <a:prstGeom prst="rect">
                <a:avLst/>
              </a:prstGeom>
            </xdr:spPr>
          </xdr:pic>
          <xdr:pic>
            <xdr:nvPicPr>
              <xdr:cNvPr id="122" name="Grafik 121" descr="Zylinder Silhouette">
                <a:extLst>
                  <a:ext uri="{FF2B5EF4-FFF2-40B4-BE49-F238E27FC236}">
                    <a16:creationId xmlns:a16="http://schemas.microsoft.com/office/drawing/2014/main" id="{3845B26E-F59D-4423-BB84-49310EAC7D4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955896" y="2501587"/>
                <a:ext cx="630000" cy="629984"/>
              </a:xfrm>
              <a:prstGeom prst="rect">
                <a:avLst/>
              </a:prstGeom>
            </xdr:spPr>
          </xdr:pic>
          <xdr:pic>
            <xdr:nvPicPr>
              <xdr:cNvPr id="98" name="Grafik 97" descr="Zylinder Silhouette">
                <a:extLst>
                  <a:ext uri="{FF2B5EF4-FFF2-40B4-BE49-F238E27FC236}">
                    <a16:creationId xmlns:a16="http://schemas.microsoft.com/office/drawing/2014/main" id="{2261C6A4-8E63-44D4-8AB7-2C4E47A6BD9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4310045" y="2181471"/>
                <a:ext cx="1883425" cy="1883424"/>
              </a:xfrm>
              <a:prstGeom prst="rect">
                <a:avLst/>
              </a:prstGeom>
            </xdr:spPr>
          </xdr:pic>
          <xdr:cxnSp macro="">
            <xdr:nvCxnSpPr>
              <xdr:cNvPr id="99" name="Gerade Verbindung mit Pfeil 98">
                <a:extLst>
                  <a:ext uri="{FF2B5EF4-FFF2-40B4-BE49-F238E27FC236}">
                    <a16:creationId xmlns:a16="http://schemas.microsoft.com/office/drawing/2014/main" id="{E7033476-32AB-4676-B368-8D9480E63256}"/>
                  </a:ext>
                </a:extLst>
              </xdr:cNvPr>
              <xdr:cNvCxnSpPr/>
            </xdr:nvCxnSpPr>
            <xdr:spPr>
              <a:xfrm flipH="1" flipV="1">
                <a:off x="15886582" y="2631461"/>
                <a:ext cx="1577" cy="1006653"/>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00" name="Textfeld 99">
                <a:extLst>
                  <a:ext uri="{FF2B5EF4-FFF2-40B4-BE49-F238E27FC236}">
                    <a16:creationId xmlns:a16="http://schemas.microsoft.com/office/drawing/2014/main" id="{CAAB7C7D-0642-4D87-9F30-05C9566FCD17}"/>
                  </a:ext>
                </a:extLst>
              </xdr:cNvPr>
              <xdr:cNvSpPr txBox="1"/>
            </xdr:nvSpPr>
            <xdr:spPr>
              <a:xfrm>
                <a:off x="15892481" y="3018534"/>
                <a:ext cx="224690" cy="2468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pic>
            <xdr:nvPicPr>
              <xdr:cNvPr id="97" name="Grafik 96" descr="Marke 4 Silhouette">
                <a:extLst>
                  <a:ext uri="{FF2B5EF4-FFF2-40B4-BE49-F238E27FC236}">
                    <a16:creationId xmlns:a16="http://schemas.microsoft.com/office/drawing/2014/main" id="{BDFC5BB4-DB39-4E5A-9AED-AC1899F1704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4442060" y="2481924"/>
                <a:ext cx="400668" cy="400668"/>
              </a:xfrm>
              <a:prstGeom prst="rect">
                <a:avLst/>
              </a:prstGeom>
            </xdr:spPr>
          </xdr:pic>
          <xdr:sp macro="" textlink="">
            <xdr:nvSpPr>
              <xdr:cNvPr id="94" name="Textfeld 93">
                <a:extLst>
                  <a:ext uri="{FF2B5EF4-FFF2-40B4-BE49-F238E27FC236}">
                    <a16:creationId xmlns:a16="http://schemas.microsoft.com/office/drawing/2014/main" id="{A904984E-B983-4C89-83A3-3CADEA3443F8}"/>
                  </a:ext>
                </a:extLst>
              </xdr:cNvPr>
              <xdr:cNvSpPr txBox="1"/>
            </xdr:nvSpPr>
            <xdr:spPr>
              <a:xfrm>
                <a:off x="15054422" y="3571938"/>
                <a:ext cx="970366" cy="2461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95" name="Gerade Verbindung mit Pfeil 94">
                <a:extLst>
                  <a:ext uri="{FF2B5EF4-FFF2-40B4-BE49-F238E27FC236}">
                    <a16:creationId xmlns:a16="http://schemas.microsoft.com/office/drawing/2014/main" id="{0485B8C9-E9A6-4080-A22B-4E3D06DFEEBD}"/>
                  </a:ext>
                </a:extLst>
              </xdr:cNvPr>
              <xdr:cNvCxnSpPr/>
            </xdr:nvCxnSpPr>
            <xdr:spPr>
              <a:xfrm flipV="1">
                <a:off x="14906447" y="3468026"/>
                <a:ext cx="667707" cy="25617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124" name="Gerade Verbindung mit Pfeil 123">
                <a:extLst>
                  <a:ext uri="{FF2B5EF4-FFF2-40B4-BE49-F238E27FC236}">
                    <a16:creationId xmlns:a16="http://schemas.microsoft.com/office/drawing/2014/main" id="{F31C072A-5D4C-426C-9AF6-C52AA092D7CC}"/>
                  </a:ext>
                </a:extLst>
              </xdr:cNvPr>
              <xdr:cNvCxnSpPr/>
            </xdr:nvCxnSpPr>
            <xdr:spPr>
              <a:xfrm flipV="1">
                <a:off x="15149025" y="2611683"/>
                <a:ext cx="241405" cy="87346"/>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27" name="Textfeld 126">
                <a:extLst>
                  <a:ext uri="{FF2B5EF4-FFF2-40B4-BE49-F238E27FC236}">
                    <a16:creationId xmlns:a16="http://schemas.microsoft.com/office/drawing/2014/main" id="{E8DEF0A6-2757-4352-8B91-552FAC13E0E9}"/>
                  </a:ext>
                </a:extLst>
              </xdr:cNvPr>
              <xdr:cNvSpPr txBox="1"/>
            </xdr:nvSpPr>
            <xdr:spPr>
              <a:xfrm>
                <a:off x="14768025" y="2685250"/>
                <a:ext cx="970366" cy="2473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innen</a:t>
                </a:r>
              </a:p>
            </xdr:txBody>
          </xdr:sp>
        </xdr:grpSp>
        <xdr:sp macro="" textlink="">
          <xdr:nvSpPr>
            <xdr:cNvPr id="171" name="Textfeld 170">
              <a:extLst>
                <a:ext uri="{FF2B5EF4-FFF2-40B4-BE49-F238E27FC236}">
                  <a16:creationId xmlns:a16="http://schemas.microsoft.com/office/drawing/2014/main" id="{727A2A42-D058-4D7B-93E0-AD1071C0866E}"/>
                </a:ext>
              </a:extLst>
            </xdr:cNvPr>
            <xdr:cNvSpPr txBox="1"/>
          </xdr:nvSpPr>
          <xdr:spPr>
            <a:xfrm>
              <a:off x="14571023" y="3979196"/>
              <a:ext cx="1440386"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de-DE" sz="1200" b="1">
                  <a:solidFill>
                    <a:schemeClr val="accent5"/>
                  </a:solidFill>
                </a:rPr>
                <a:t>Hohlzylinder</a:t>
              </a:r>
            </a:p>
          </xdr:txBody>
        </xdr:sp>
      </xdr:grpSp>
      <xdr:sp macro="" textlink="">
        <xdr:nvSpPr>
          <xdr:cNvPr id="178" name="Textfeld 177">
            <a:extLst>
              <a:ext uri="{FF2B5EF4-FFF2-40B4-BE49-F238E27FC236}">
                <a16:creationId xmlns:a16="http://schemas.microsoft.com/office/drawing/2014/main" id="{88F3553F-DB73-4D5C-BB94-2218968895BF}"/>
              </a:ext>
            </a:extLst>
          </xdr:cNvPr>
          <xdr:cNvSpPr txBox="1"/>
        </xdr:nvSpPr>
        <xdr:spPr>
          <a:xfrm>
            <a:off x="15916275" y="6372225"/>
            <a:ext cx="1647825" cy="623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200" b="1">
                <a:solidFill>
                  <a:schemeClr val="accent5"/>
                </a:solidFill>
              </a:rPr>
              <a:t>z ist immer in Werkzeugöffnungs-</a:t>
            </a:r>
          </a:p>
          <a:p>
            <a:r>
              <a:rPr lang="de-DE" sz="1200" b="1">
                <a:solidFill>
                  <a:schemeClr val="accent5"/>
                </a:solidFill>
              </a:rPr>
              <a:t>richtung zu wählen</a:t>
            </a:r>
          </a:p>
        </xdr:txBody>
      </xdr:sp>
      <xdr:grpSp>
        <xdr:nvGrpSpPr>
          <xdr:cNvPr id="126" name="Gruppieren 125">
            <a:extLst>
              <a:ext uri="{FF2B5EF4-FFF2-40B4-BE49-F238E27FC236}">
                <a16:creationId xmlns:a16="http://schemas.microsoft.com/office/drawing/2014/main" id="{6E9C6223-07E8-433E-9323-0512038BD8CF}"/>
              </a:ext>
            </a:extLst>
          </xdr:cNvPr>
          <xdr:cNvGrpSpPr>
            <a:grpSpLocks noChangeAspect="1"/>
          </xdr:cNvGrpSpPr>
        </xdr:nvGrpSpPr>
        <xdr:grpSpPr>
          <a:xfrm>
            <a:off x="15973428" y="3791332"/>
            <a:ext cx="1342364" cy="1526794"/>
            <a:chOff x="12118478" y="4499232"/>
            <a:chExt cx="1720425" cy="1956799"/>
          </a:xfrm>
        </xdr:grpSpPr>
        <xdr:grpSp>
          <xdr:nvGrpSpPr>
            <xdr:cNvPr id="128" name="Gruppieren 127">
              <a:extLst>
                <a:ext uri="{FF2B5EF4-FFF2-40B4-BE49-F238E27FC236}">
                  <a16:creationId xmlns:a16="http://schemas.microsoft.com/office/drawing/2014/main" id="{41014EAD-200C-42DF-880E-DC7D3FD6FF39}"/>
                </a:ext>
              </a:extLst>
            </xdr:cNvPr>
            <xdr:cNvGrpSpPr/>
          </xdr:nvGrpSpPr>
          <xdr:grpSpPr>
            <a:xfrm>
              <a:off x="12118478" y="4499232"/>
              <a:ext cx="1720425" cy="1729198"/>
              <a:chOff x="12185153" y="2175132"/>
              <a:chExt cx="1720425" cy="1729198"/>
            </a:xfrm>
          </xdr:grpSpPr>
          <xdr:grpSp>
            <xdr:nvGrpSpPr>
              <xdr:cNvPr id="130" name="Gruppieren 129">
                <a:extLst>
                  <a:ext uri="{FF2B5EF4-FFF2-40B4-BE49-F238E27FC236}">
                    <a16:creationId xmlns:a16="http://schemas.microsoft.com/office/drawing/2014/main" id="{F0FF7305-D5D3-433F-8646-1DB80A30DAE8}"/>
                  </a:ext>
                </a:extLst>
              </xdr:cNvPr>
              <xdr:cNvGrpSpPr/>
            </xdr:nvGrpSpPr>
            <xdr:grpSpPr>
              <a:xfrm>
                <a:off x="12185153" y="2175132"/>
                <a:ext cx="1720425" cy="1729198"/>
                <a:chOff x="12156578" y="193932"/>
                <a:chExt cx="1720425" cy="1729198"/>
              </a:xfrm>
            </xdr:grpSpPr>
            <xdr:pic>
              <xdr:nvPicPr>
                <xdr:cNvPr id="133" name="Grafik 132" descr="Kugel Silhouette">
                  <a:extLst>
                    <a:ext uri="{FF2B5EF4-FFF2-40B4-BE49-F238E27FC236}">
                      <a16:creationId xmlns:a16="http://schemas.microsoft.com/office/drawing/2014/main" id="{741F5B75-20F9-466B-9E02-E74FF29F79C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2182472" y="228599"/>
                  <a:ext cx="1694531" cy="1694531"/>
                </a:xfrm>
                <a:prstGeom prst="rect">
                  <a:avLst/>
                </a:prstGeom>
              </xdr:spPr>
            </xdr:pic>
            <xdr:pic>
              <xdr:nvPicPr>
                <xdr:cNvPr id="138" name="Grafik 137" descr="Marke 6 Silhouette">
                  <a:extLst>
                    <a:ext uri="{FF2B5EF4-FFF2-40B4-BE49-F238E27FC236}">
                      <a16:creationId xmlns:a16="http://schemas.microsoft.com/office/drawing/2014/main" id="{7E7F17A5-5D30-4C12-A7EE-1CBE39C3CD3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2156578" y="193932"/>
                  <a:ext cx="415251" cy="415251"/>
                </a:xfrm>
                <a:prstGeom prst="rect">
                  <a:avLst/>
                </a:prstGeom>
              </xdr:spPr>
            </xdr:pic>
          </xdr:grpSp>
          <xdr:sp macro="" textlink="">
            <xdr:nvSpPr>
              <xdr:cNvPr id="131" name="Textfeld 130">
                <a:extLst>
                  <a:ext uri="{FF2B5EF4-FFF2-40B4-BE49-F238E27FC236}">
                    <a16:creationId xmlns:a16="http://schemas.microsoft.com/office/drawing/2014/main" id="{6D767B76-ECB6-4955-A0AA-3076B26BA457}"/>
                  </a:ext>
                </a:extLst>
              </xdr:cNvPr>
              <xdr:cNvSpPr txBox="1"/>
            </xdr:nvSpPr>
            <xdr:spPr>
              <a:xfrm>
                <a:off x="12749048" y="3089148"/>
                <a:ext cx="971550" cy="247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132" name="Gerade Verbindung mit Pfeil 131">
                <a:extLst>
                  <a:ext uri="{FF2B5EF4-FFF2-40B4-BE49-F238E27FC236}">
                    <a16:creationId xmlns:a16="http://schemas.microsoft.com/office/drawing/2014/main" id="{BFEBB439-7B13-4168-BDC6-D72B5FEB87C5}"/>
                  </a:ext>
                </a:extLst>
              </xdr:cNvPr>
              <xdr:cNvCxnSpPr/>
            </xdr:nvCxnSpPr>
            <xdr:spPr>
              <a:xfrm flipV="1">
                <a:off x="12506325" y="2679725"/>
                <a:ext cx="1071182" cy="701650"/>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29" name="Textfeld 128">
              <a:extLst>
                <a:ext uri="{FF2B5EF4-FFF2-40B4-BE49-F238E27FC236}">
                  <a16:creationId xmlns:a16="http://schemas.microsoft.com/office/drawing/2014/main" id="{8C3974F2-EC22-4CB6-A250-D370C08C2112}"/>
                </a:ext>
              </a:extLst>
            </xdr:cNvPr>
            <xdr:cNvSpPr txBox="1"/>
          </xdr:nvSpPr>
          <xdr:spPr>
            <a:xfrm>
              <a:off x="12608717" y="6110797"/>
              <a:ext cx="784561" cy="345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Kugel</a:t>
              </a:r>
            </a:p>
          </xdr:txBody>
        </xdr:sp>
      </xdr:grpSp>
      <xdr:grpSp>
        <xdr:nvGrpSpPr>
          <xdr:cNvPr id="141" name="Gruppieren 140">
            <a:extLst>
              <a:ext uri="{FF2B5EF4-FFF2-40B4-BE49-F238E27FC236}">
                <a16:creationId xmlns:a16="http://schemas.microsoft.com/office/drawing/2014/main" id="{956C4F90-A1DE-451A-B303-7E7F775038C6}"/>
              </a:ext>
            </a:extLst>
          </xdr:cNvPr>
          <xdr:cNvGrpSpPr>
            <a:grpSpLocks noChangeAspect="1"/>
          </xdr:cNvGrpSpPr>
        </xdr:nvGrpSpPr>
        <xdr:grpSpPr>
          <a:xfrm>
            <a:off x="14039852" y="3695699"/>
            <a:ext cx="1472005" cy="1643931"/>
            <a:chOff x="12000240" y="2238375"/>
            <a:chExt cx="1820322" cy="2032931"/>
          </a:xfrm>
        </xdr:grpSpPr>
        <xdr:grpSp>
          <xdr:nvGrpSpPr>
            <xdr:cNvPr id="142" name="Gruppieren 141">
              <a:extLst>
                <a:ext uri="{FF2B5EF4-FFF2-40B4-BE49-F238E27FC236}">
                  <a16:creationId xmlns:a16="http://schemas.microsoft.com/office/drawing/2014/main" id="{FEF3C3AB-BCD6-4623-A07C-1101354F1042}"/>
                </a:ext>
              </a:extLst>
            </xdr:cNvPr>
            <xdr:cNvGrpSpPr/>
          </xdr:nvGrpSpPr>
          <xdr:grpSpPr>
            <a:xfrm>
              <a:off x="12000240" y="2238375"/>
              <a:ext cx="1820322" cy="1820322"/>
              <a:chOff x="12066915" y="2143125"/>
              <a:chExt cx="1820322" cy="1820322"/>
            </a:xfrm>
          </xdr:grpSpPr>
          <xdr:grpSp>
            <xdr:nvGrpSpPr>
              <xdr:cNvPr id="144" name="Gruppieren 143">
                <a:extLst>
                  <a:ext uri="{FF2B5EF4-FFF2-40B4-BE49-F238E27FC236}">
                    <a16:creationId xmlns:a16="http://schemas.microsoft.com/office/drawing/2014/main" id="{F40E7DF1-7723-486A-AEBA-C71A7A35DA32}"/>
                  </a:ext>
                </a:extLst>
              </xdr:cNvPr>
              <xdr:cNvGrpSpPr/>
            </xdr:nvGrpSpPr>
            <xdr:grpSpPr>
              <a:xfrm>
                <a:off x="12066915" y="2143125"/>
                <a:ext cx="1820322" cy="1820322"/>
                <a:chOff x="12038340" y="161925"/>
                <a:chExt cx="1820322" cy="1820322"/>
              </a:xfrm>
            </xdr:grpSpPr>
            <xdr:grpSp>
              <xdr:nvGrpSpPr>
                <xdr:cNvPr id="147" name="Gruppieren 146">
                  <a:extLst>
                    <a:ext uri="{FF2B5EF4-FFF2-40B4-BE49-F238E27FC236}">
                      <a16:creationId xmlns:a16="http://schemas.microsoft.com/office/drawing/2014/main" id="{81F31C6E-38EB-490C-A8A9-BEBD2E59C2AD}"/>
                    </a:ext>
                  </a:extLst>
                </xdr:cNvPr>
                <xdr:cNvGrpSpPr>
                  <a:grpSpLocks noChangeAspect="1"/>
                </xdr:cNvGrpSpPr>
              </xdr:nvGrpSpPr>
              <xdr:grpSpPr>
                <a:xfrm>
                  <a:off x="12038340" y="161925"/>
                  <a:ext cx="1820322" cy="1820322"/>
                  <a:chOff x="14317967" y="2819840"/>
                  <a:chExt cx="2417767" cy="2417767"/>
                </a:xfrm>
              </xdr:grpSpPr>
              <xdr:pic>
                <xdr:nvPicPr>
                  <xdr:cNvPr id="150" name="Grafik 149" descr="Kegel Silhouette">
                    <a:extLst>
                      <a:ext uri="{FF2B5EF4-FFF2-40B4-BE49-F238E27FC236}">
                        <a16:creationId xmlns:a16="http://schemas.microsoft.com/office/drawing/2014/main" id="{45A90F3B-D126-4377-9F20-E3D61829897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4317967" y="2819840"/>
                    <a:ext cx="2417767" cy="2417767"/>
                  </a:xfrm>
                  <a:prstGeom prst="rect">
                    <a:avLst/>
                  </a:prstGeom>
                </xdr:spPr>
              </xdr:pic>
              <xdr:cxnSp macro="">
                <xdr:nvCxnSpPr>
                  <xdr:cNvPr id="151" name="Gerade Verbindung mit Pfeil 150">
                    <a:extLst>
                      <a:ext uri="{FF2B5EF4-FFF2-40B4-BE49-F238E27FC236}">
                        <a16:creationId xmlns:a16="http://schemas.microsoft.com/office/drawing/2014/main" id="{2B23A335-3868-492F-8770-333D3874BE0F}"/>
                      </a:ext>
                    </a:extLst>
                  </xdr:cNvPr>
                  <xdr:cNvCxnSpPr/>
                </xdr:nvCxnSpPr>
                <xdr:spPr>
                  <a:xfrm flipH="1" flipV="1">
                    <a:off x="16373791" y="3037005"/>
                    <a:ext cx="0" cy="169081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52" name="Textfeld 151">
                    <a:extLst>
                      <a:ext uri="{FF2B5EF4-FFF2-40B4-BE49-F238E27FC236}">
                        <a16:creationId xmlns:a16="http://schemas.microsoft.com/office/drawing/2014/main" id="{742273B9-5F1C-46B1-ABB0-E889C3C562C0}"/>
                      </a:ext>
                    </a:extLst>
                  </xdr:cNvPr>
                  <xdr:cNvSpPr txBox="1"/>
                </xdr:nvSpPr>
                <xdr:spPr>
                  <a:xfrm>
                    <a:off x="16391976" y="3711706"/>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grpSp>
            <xdr:pic>
              <xdr:nvPicPr>
                <xdr:cNvPr id="149" name="Grafik 148" descr="Marke 5 Silhouette">
                  <a:extLst>
                    <a:ext uri="{FF2B5EF4-FFF2-40B4-BE49-F238E27FC236}">
                      <a16:creationId xmlns:a16="http://schemas.microsoft.com/office/drawing/2014/main" id="{5CFEDF48-489A-45DD-90D8-1155BC139C83}"/>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12144375" y="305972"/>
                  <a:ext cx="400667" cy="400668"/>
                </a:xfrm>
                <a:prstGeom prst="rect">
                  <a:avLst/>
                </a:prstGeom>
              </xdr:spPr>
            </xdr:pic>
          </xdr:grpSp>
          <xdr:sp macro="" textlink="">
            <xdr:nvSpPr>
              <xdr:cNvPr id="145" name="Textfeld 144">
                <a:extLst>
                  <a:ext uri="{FF2B5EF4-FFF2-40B4-BE49-F238E27FC236}">
                    <a16:creationId xmlns:a16="http://schemas.microsoft.com/office/drawing/2014/main" id="{EE825B34-8909-4E6C-BCDD-C645E7B429DD}"/>
                  </a:ext>
                </a:extLst>
              </xdr:cNvPr>
              <xdr:cNvSpPr txBox="1"/>
            </xdr:nvSpPr>
            <xdr:spPr>
              <a:xfrm>
                <a:off x="12750436" y="3516397"/>
                <a:ext cx="971550" cy="247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146" name="Gerade Verbindung mit Pfeil 145">
                <a:extLst>
                  <a:ext uri="{FF2B5EF4-FFF2-40B4-BE49-F238E27FC236}">
                    <a16:creationId xmlns:a16="http://schemas.microsoft.com/office/drawing/2014/main" id="{A9B055DD-0F04-4BE8-934C-77CC7F5F02B5}"/>
                  </a:ext>
                </a:extLst>
              </xdr:cNvPr>
              <xdr:cNvCxnSpPr/>
            </xdr:nvCxnSpPr>
            <xdr:spPr>
              <a:xfrm flipV="1">
                <a:off x="12561625" y="3375877"/>
                <a:ext cx="731265" cy="310283"/>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43" name="Textfeld 142">
              <a:extLst>
                <a:ext uri="{FF2B5EF4-FFF2-40B4-BE49-F238E27FC236}">
                  <a16:creationId xmlns:a16="http://schemas.microsoft.com/office/drawing/2014/main" id="{974AD980-B9B0-4931-9B01-91DC6692719A}"/>
                </a:ext>
              </a:extLst>
            </xdr:cNvPr>
            <xdr:cNvSpPr txBox="1"/>
          </xdr:nvSpPr>
          <xdr:spPr>
            <a:xfrm>
              <a:off x="12549630" y="3938197"/>
              <a:ext cx="746620"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Kegel</a:t>
              </a:r>
            </a:p>
          </xdr:txBody>
        </xdr:sp>
      </xdr:grpSp>
      <xdr:grpSp>
        <xdr:nvGrpSpPr>
          <xdr:cNvPr id="10" name="Gruppieren 9">
            <a:extLst>
              <a:ext uri="{FF2B5EF4-FFF2-40B4-BE49-F238E27FC236}">
                <a16:creationId xmlns:a16="http://schemas.microsoft.com/office/drawing/2014/main" id="{88884707-8A96-48F9-B92B-CEAC741A6EE2}"/>
              </a:ext>
            </a:extLst>
          </xdr:cNvPr>
          <xdr:cNvGrpSpPr/>
        </xdr:nvGrpSpPr>
        <xdr:grpSpPr>
          <a:xfrm>
            <a:off x="15887702" y="238124"/>
            <a:ext cx="1422167" cy="1568241"/>
            <a:chOff x="13982703" y="3800475"/>
            <a:chExt cx="1547495" cy="1856926"/>
          </a:xfrm>
        </xdr:grpSpPr>
        <xdr:grpSp>
          <xdr:nvGrpSpPr>
            <xdr:cNvPr id="153" name="Gruppieren 152">
              <a:extLst>
                <a:ext uri="{FF2B5EF4-FFF2-40B4-BE49-F238E27FC236}">
                  <a16:creationId xmlns:a16="http://schemas.microsoft.com/office/drawing/2014/main" id="{3488EBB1-4465-4A86-9DF3-B66844B77884}"/>
                </a:ext>
              </a:extLst>
            </xdr:cNvPr>
            <xdr:cNvGrpSpPr>
              <a:grpSpLocks noChangeAspect="1"/>
            </xdr:cNvGrpSpPr>
          </xdr:nvGrpSpPr>
          <xdr:grpSpPr>
            <a:xfrm>
              <a:off x="13982703" y="3800475"/>
              <a:ext cx="1547495" cy="1856926"/>
              <a:chOff x="12035576" y="2238375"/>
              <a:chExt cx="1770909" cy="2125013"/>
            </a:xfrm>
          </xdr:grpSpPr>
          <xdr:grpSp>
            <xdr:nvGrpSpPr>
              <xdr:cNvPr id="154" name="Gruppieren 153">
                <a:extLst>
                  <a:ext uri="{FF2B5EF4-FFF2-40B4-BE49-F238E27FC236}">
                    <a16:creationId xmlns:a16="http://schemas.microsoft.com/office/drawing/2014/main" id="{0DB38F07-6A28-4196-B1B3-933F87EB2F21}"/>
                  </a:ext>
                </a:extLst>
              </xdr:cNvPr>
              <xdr:cNvGrpSpPr/>
            </xdr:nvGrpSpPr>
            <xdr:grpSpPr>
              <a:xfrm>
                <a:off x="12035576" y="2238375"/>
                <a:ext cx="1770909" cy="1820322"/>
                <a:chOff x="12102251" y="2143125"/>
                <a:chExt cx="1770909" cy="1820322"/>
              </a:xfrm>
            </xdr:grpSpPr>
            <xdr:grpSp>
              <xdr:nvGrpSpPr>
                <xdr:cNvPr id="156" name="Gruppieren 155">
                  <a:extLst>
                    <a:ext uri="{FF2B5EF4-FFF2-40B4-BE49-F238E27FC236}">
                      <a16:creationId xmlns:a16="http://schemas.microsoft.com/office/drawing/2014/main" id="{1B451CAE-CB0C-49B0-9D95-445A62C78E21}"/>
                    </a:ext>
                  </a:extLst>
                </xdr:cNvPr>
                <xdr:cNvGrpSpPr/>
              </xdr:nvGrpSpPr>
              <xdr:grpSpPr>
                <a:xfrm>
                  <a:off x="12102251" y="2143125"/>
                  <a:ext cx="1770909" cy="1820322"/>
                  <a:chOff x="12073676" y="161925"/>
                  <a:chExt cx="1770909" cy="1820322"/>
                </a:xfrm>
              </xdr:grpSpPr>
              <xdr:grpSp>
                <xdr:nvGrpSpPr>
                  <xdr:cNvPr id="159" name="Gruppieren 158">
                    <a:extLst>
                      <a:ext uri="{FF2B5EF4-FFF2-40B4-BE49-F238E27FC236}">
                        <a16:creationId xmlns:a16="http://schemas.microsoft.com/office/drawing/2014/main" id="{E3E317EC-826F-4A27-B66A-BDDF46203CE5}"/>
                      </a:ext>
                    </a:extLst>
                  </xdr:cNvPr>
                  <xdr:cNvGrpSpPr>
                    <a:grpSpLocks noChangeAspect="1"/>
                  </xdr:cNvGrpSpPr>
                </xdr:nvGrpSpPr>
                <xdr:grpSpPr>
                  <a:xfrm>
                    <a:off x="12073676" y="161925"/>
                    <a:ext cx="1770909" cy="1820322"/>
                    <a:chOff x="14364901" y="2819840"/>
                    <a:chExt cx="2352136" cy="2417767"/>
                  </a:xfrm>
                </xdr:grpSpPr>
                <xdr:pic>
                  <xdr:nvPicPr>
                    <xdr:cNvPr id="161" name="Grafik 160" descr="Pyramidenform Silhouette">
                      <a:extLst>
                        <a:ext uri="{FF2B5EF4-FFF2-40B4-BE49-F238E27FC236}">
                          <a16:creationId xmlns:a16="http://schemas.microsoft.com/office/drawing/2014/main" id="{1F56C10D-9CA1-47F4-8E3A-128D8C2FB026}"/>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14364901" y="2819840"/>
                      <a:ext cx="2220478" cy="2417767"/>
                    </a:xfrm>
                    <a:prstGeom prst="rect">
                      <a:avLst/>
                    </a:prstGeom>
                  </xdr:spPr>
                </xdr:pic>
                <xdr:cxnSp macro="">
                  <xdr:nvCxnSpPr>
                    <xdr:cNvPr id="162" name="Gerade Verbindung mit Pfeil 161">
                      <a:extLst>
                        <a:ext uri="{FF2B5EF4-FFF2-40B4-BE49-F238E27FC236}">
                          <a16:creationId xmlns:a16="http://schemas.microsoft.com/office/drawing/2014/main" id="{34E218A9-941B-4FAF-9FE6-D6804500D18B}"/>
                        </a:ext>
                      </a:extLst>
                    </xdr:cNvPr>
                    <xdr:cNvCxnSpPr/>
                  </xdr:nvCxnSpPr>
                  <xdr:spPr>
                    <a:xfrm flipH="1" flipV="1">
                      <a:off x="16439468" y="3036211"/>
                      <a:ext cx="0" cy="1690814"/>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63" name="Textfeld 162">
                      <a:extLst>
                        <a:ext uri="{FF2B5EF4-FFF2-40B4-BE49-F238E27FC236}">
                          <a16:creationId xmlns:a16="http://schemas.microsoft.com/office/drawing/2014/main" id="{38ED1B46-1A87-4954-B126-A005204BCF2B}"/>
                        </a:ext>
                      </a:extLst>
                    </xdr:cNvPr>
                    <xdr:cNvSpPr txBox="1"/>
                  </xdr:nvSpPr>
                  <xdr:spPr>
                    <a:xfrm>
                      <a:off x="16418236" y="3724599"/>
                      <a:ext cx="298801"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grpSp>
              <xdr:pic>
                <xdr:nvPicPr>
                  <xdr:cNvPr id="160" name="Grafik 159" descr="Abzeichen Silhouette">
                    <a:extLst>
                      <a:ext uri="{FF2B5EF4-FFF2-40B4-BE49-F238E27FC236}">
                        <a16:creationId xmlns:a16="http://schemas.microsoft.com/office/drawing/2014/main" id="{2F6300A8-ED5A-43EF-9E30-3B05BE8D5E9F}"/>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12173770" y="320091"/>
                    <a:ext cx="403451" cy="439030"/>
                  </a:xfrm>
                  <a:prstGeom prst="rect">
                    <a:avLst/>
                  </a:prstGeom>
                </xdr:spPr>
              </xdr:pic>
            </xdr:grpSp>
            <xdr:cxnSp macro="">
              <xdr:nvCxnSpPr>
                <xdr:cNvPr id="158" name="Gerade Verbindung mit Pfeil 157">
                  <a:extLst>
                    <a:ext uri="{FF2B5EF4-FFF2-40B4-BE49-F238E27FC236}">
                      <a16:creationId xmlns:a16="http://schemas.microsoft.com/office/drawing/2014/main" id="{045B4E11-A16C-4E3D-B1AD-864F5BB70E8C}"/>
                    </a:ext>
                  </a:extLst>
                </xdr:cNvPr>
                <xdr:cNvCxnSpPr/>
              </xdr:nvCxnSpPr>
              <xdr:spPr>
                <a:xfrm flipV="1">
                  <a:off x="12610711" y="3657699"/>
                  <a:ext cx="1074296" cy="196749"/>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55" name="Textfeld 154">
                <a:extLst>
                  <a:ext uri="{FF2B5EF4-FFF2-40B4-BE49-F238E27FC236}">
                    <a16:creationId xmlns:a16="http://schemas.microsoft.com/office/drawing/2014/main" id="{4B69CF76-5A17-46EB-9F00-26DD04211605}"/>
                  </a:ext>
                </a:extLst>
              </xdr:cNvPr>
              <xdr:cNvSpPr txBox="1"/>
            </xdr:nvSpPr>
            <xdr:spPr>
              <a:xfrm>
                <a:off x="12415188" y="4055130"/>
                <a:ext cx="1004315" cy="3082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200" b="1">
                    <a:solidFill>
                      <a:schemeClr val="accent5"/>
                    </a:solidFill>
                  </a:rPr>
                  <a:t>Pyramide</a:t>
                </a:r>
              </a:p>
            </xdr:txBody>
          </xdr:sp>
        </xdr:grpSp>
        <xdr:cxnSp macro="">
          <xdr:nvCxnSpPr>
            <xdr:cNvPr id="164" name="Gerade Verbindung mit Pfeil 163">
              <a:extLst>
                <a:ext uri="{FF2B5EF4-FFF2-40B4-BE49-F238E27FC236}">
                  <a16:creationId xmlns:a16="http://schemas.microsoft.com/office/drawing/2014/main" id="{1D3A7C84-F15B-4E72-9B76-2FEB4A53A4C1}"/>
                </a:ext>
              </a:extLst>
            </xdr:cNvPr>
            <xdr:cNvCxnSpPr/>
          </xdr:nvCxnSpPr>
          <xdr:spPr>
            <a:xfrm>
              <a:off x="14009513" y="4838702"/>
              <a:ext cx="353534" cy="429326"/>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65" name="Textfeld 164">
              <a:extLst>
                <a:ext uri="{FF2B5EF4-FFF2-40B4-BE49-F238E27FC236}">
                  <a16:creationId xmlns:a16="http://schemas.microsoft.com/office/drawing/2014/main" id="{B93D0ECB-64A6-46C2-8BDB-7579EEB64D95}"/>
                </a:ext>
              </a:extLst>
            </xdr:cNvPr>
            <xdr:cNvSpPr txBox="1"/>
          </xdr:nvSpPr>
          <xdr:spPr>
            <a:xfrm>
              <a:off x="14883334" y="5191646"/>
              <a:ext cx="196584" cy="2159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x</a:t>
              </a:r>
            </a:p>
          </xdr:txBody>
        </xdr:sp>
        <xdr:sp macro="" textlink="">
          <xdr:nvSpPr>
            <xdr:cNvPr id="166" name="Textfeld 165">
              <a:extLst>
                <a:ext uri="{FF2B5EF4-FFF2-40B4-BE49-F238E27FC236}">
                  <a16:creationId xmlns:a16="http://schemas.microsoft.com/office/drawing/2014/main" id="{23C3D711-84CE-49D6-AC0F-91ED2DB5844D}"/>
                </a:ext>
              </a:extLst>
            </xdr:cNvPr>
            <xdr:cNvSpPr txBox="1"/>
          </xdr:nvSpPr>
          <xdr:spPr>
            <a:xfrm>
              <a:off x="13992225" y="5000625"/>
              <a:ext cx="196584" cy="2159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y</a:t>
              </a:r>
            </a:p>
          </xdr:txBody>
        </xdr:sp>
      </xdr:grpSp>
      <xdr:grpSp>
        <xdr:nvGrpSpPr>
          <xdr:cNvPr id="76" name="Gruppieren 75">
            <a:extLst>
              <a:ext uri="{FF2B5EF4-FFF2-40B4-BE49-F238E27FC236}">
                <a16:creationId xmlns:a16="http://schemas.microsoft.com/office/drawing/2014/main" id="{C48947A0-C370-4EC3-A452-DBDE9525C30D}"/>
              </a:ext>
            </a:extLst>
          </xdr:cNvPr>
          <xdr:cNvGrpSpPr>
            <a:grpSpLocks noChangeAspect="1"/>
          </xdr:cNvGrpSpPr>
        </xdr:nvGrpSpPr>
        <xdr:grpSpPr>
          <a:xfrm>
            <a:off x="13901738" y="5291139"/>
            <a:ext cx="1759806" cy="1710012"/>
            <a:chOff x="11818931" y="92635"/>
            <a:chExt cx="2176226" cy="2114647"/>
          </a:xfrm>
        </xdr:grpSpPr>
        <xdr:grpSp>
          <xdr:nvGrpSpPr>
            <xdr:cNvPr id="77" name="Gruppieren 76">
              <a:extLst>
                <a:ext uri="{FF2B5EF4-FFF2-40B4-BE49-F238E27FC236}">
                  <a16:creationId xmlns:a16="http://schemas.microsoft.com/office/drawing/2014/main" id="{53AE8F9A-B3F9-4625-BB77-1876E777E843}"/>
                </a:ext>
              </a:extLst>
            </xdr:cNvPr>
            <xdr:cNvGrpSpPr/>
          </xdr:nvGrpSpPr>
          <xdr:grpSpPr>
            <a:xfrm>
              <a:off x="11818931" y="92635"/>
              <a:ext cx="2176226" cy="2023091"/>
              <a:chOff x="11933231" y="156414"/>
              <a:chExt cx="2176226" cy="2089432"/>
            </a:xfrm>
          </xdr:grpSpPr>
          <xdr:grpSp>
            <xdr:nvGrpSpPr>
              <xdr:cNvPr id="79" name="Gruppieren 78">
                <a:extLst>
                  <a:ext uri="{FF2B5EF4-FFF2-40B4-BE49-F238E27FC236}">
                    <a16:creationId xmlns:a16="http://schemas.microsoft.com/office/drawing/2014/main" id="{99D18EFB-F5C1-463D-B983-7D26DD202281}"/>
                  </a:ext>
                </a:extLst>
              </xdr:cNvPr>
              <xdr:cNvGrpSpPr>
                <a:grpSpLocks noChangeAspect="1"/>
              </xdr:cNvGrpSpPr>
            </xdr:nvGrpSpPr>
            <xdr:grpSpPr>
              <a:xfrm>
                <a:off x="11933231" y="156414"/>
                <a:ext cx="2176226" cy="2089432"/>
                <a:chOff x="14178357" y="2812523"/>
                <a:chExt cx="2890481" cy="2775202"/>
              </a:xfrm>
            </xdr:grpSpPr>
            <xdr:pic>
              <xdr:nvPicPr>
                <xdr:cNvPr id="81" name="Grafik 80" descr="Toilettenpapier Silhouette">
                  <a:extLst>
                    <a:ext uri="{FF2B5EF4-FFF2-40B4-BE49-F238E27FC236}">
                      <a16:creationId xmlns:a16="http://schemas.microsoft.com/office/drawing/2014/main" id="{BA480ADB-6F7E-44B6-B708-1BB7E825D2D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rot="5400000">
                  <a:off x="14235997" y="2754883"/>
                  <a:ext cx="2775202" cy="2890481"/>
                </a:xfrm>
                <a:prstGeom prst="rect">
                  <a:avLst/>
                </a:prstGeom>
              </xdr:spPr>
            </xdr:pic>
            <xdr:cxnSp macro="">
              <xdr:nvCxnSpPr>
                <xdr:cNvPr id="82" name="Gerade Verbindung mit Pfeil 81">
                  <a:extLst>
                    <a:ext uri="{FF2B5EF4-FFF2-40B4-BE49-F238E27FC236}">
                      <a16:creationId xmlns:a16="http://schemas.microsoft.com/office/drawing/2014/main" id="{5A340B53-A380-4514-8120-267888F0B8CF}"/>
                    </a:ext>
                  </a:extLst>
                </xdr:cNvPr>
                <xdr:cNvCxnSpPr/>
              </xdr:nvCxnSpPr>
              <xdr:spPr>
                <a:xfrm>
                  <a:off x="14780676" y="4258642"/>
                  <a:ext cx="1079494" cy="0"/>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86" name="Gerade Verbindung mit Pfeil 85">
                  <a:extLst>
                    <a:ext uri="{FF2B5EF4-FFF2-40B4-BE49-F238E27FC236}">
                      <a16:creationId xmlns:a16="http://schemas.microsoft.com/office/drawing/2014/main" id="{41942DD7-5793-4E27-AD35-8677C72F4422}"/>
                    </a:ext>
                  </a:extLst>
                </xdr:cNvPr>
                <xdr:cNvCxnSpPr/>
              </xdr:nvCxnSpPr>
              <xdr:spPr>
                <a:xfrm flipH="1">
                  <a:off x="16263827" y="4080908"/>
                  <a:ext cx="284713" cy="326534"/>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87" name="Textfeld 86">
                  <a:extLst>
                    <a:ext uri="{FF2B5EF4-FFF2-40B4-BE49-F238E27FC236}">
                      <a16:creationId xmlns:a16="http://schemas.microsoft.com/office/drawing/2014/main" id="{18D82E9F-72F1-4EB4-A791-76189356967B}"/>
                    </a:ext>
                  </a:extLst>
                </xdr:cNvPr>
                <xdr:cNvSpPr txBox="1"/>
              </xdr:nvSpPr>
              <xdr:spPr>
                <a:xfrm>
                  <a:off x="15202838" y="4248831"/>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x</a:t>
                  </a:r>
                </a:p>
              </xdr:txBody>
            </xdr:sp>
            <xdr:sp macro="" textlink="">
              <xdr:nvSpPr>
                <xdr:cNvPr id="88" name="Textfeld 87">
                  <a:extLst>
                    <a:ext uri="{FF2B5EF4-FFF2-40B4-BE49-F238E27FC236}">
                      <a16:creationId xmlns:a16="http://schemas.microsoft.com/office/drawing/2014/main" id="{D4BED766-6A6A-41B3-A974-0B3DCD71500A}"/>
                    </a:ext>
                  </a:extLst>
                </xdr:cNvPr>
                <xdr:cNvSpPr txBox="1"/>
              </xdr:nvSpPr>
              <xdr:spPr>
                <a:xfrm>
                  <a:off x="14722080" y="4497892"/>
                  <a:ext cx="298800" cy="3282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y</a:t>
                  </a:r>
                </a:p>
              </xdr:txBody>
            </xdr:sp>
            <xdr:sp macro="" textlink="">
              <xdr:nvSpPr>
                <xdr:cNvPr id="89" name="Textfeld 88">
                  <a:extLst>
                    <a:ext uri="{FF2B5EF4-FFF2-40B4-BE49-F238E27FC236}">
                      <a16:creationId xmlns:a16="http://schemas.microsoft.com/office/drawing/2014/main" id="{7090E91E-F508-4100-AA85-D6A6A84D494E}"/>
                    </a:ext>
                  </a:extLst>
                </xdr:cNvPr>
                <xdr:cNvSpPr txBox="1"/>
              </xdr:nvSpPr>
              <xdr:spPr>
                <a:xfrm>
                  <a:off x="16359495" y="4278637"/>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t</a:t>
                  </a:r>
                </a:p>
              </xdr:txBody>
            </xdr:sp>
            <xdr:cxnSp macro="">
              <xdr:nvCxnSpPr>
                <xdr:cNvPr id="90" name="Gerade Verbindung mit Pfeil 89">
                  <a:extLst>
                    <a:ext uri="{FF2B5EF4-FFF2-40B4-BE49-F238E27FC236}">
                      <a16:creationId xmlns:a16="http://schemas.microsoft.com/office/drawing/2014/main" id="{30A12F00-C0FC-488E-AE2C-0CD0FB232774}"/>
                    </a:ext>
                  </a:extLst>
                </xdr:cNvPr>
                <xdr:cNvCxnSpPr/>
              </xdr:nvCxnSpPr>
              <xdr:spPr>
                <a:xfrm flipV="1">
                  <a:off x="14999702" y="4032435"/>
                  <a:ext cx="0" cy="117952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pic>
            <xdr:nvPicPr>
              <xdr:cNvPr id="80" name="Grafik 79" descr="Marke 7 Silhouette">
                <a:extLst>
                  <a:ext uri="{FF2B5EF4-FFF2-40B4-BE49-F238E27FC236}">
                    <a16:creationId xmlns:a16="http://schemas.microsoft.com/office/drawing/2014/main" id="{5723FCCD-977E-4B3C-B948-50C8FCD6445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rcRect/>
              <a:stretch/>
            </xdr:blipFill>
            <xdr:spPr>
              <a:xfrm>
                <a:off x="12215049" y="386847"/>
                <a:ext cx="400668" cy="413806"/>
              </a:xfrm>
              <a:prstGeom prst="rect">
                <a:avLst/>
              </a:prstGeom>
            </xdr:spPr>
          </xdr:pic>
        </xdr:grpSp>
        <xdr:sp macro="" textlink="">
          <xdr:nvSpPr>
            <xdr:cNvPr id="78" name="Textfeld 77">
              <a:extLst>
                <a:ext uri="{FF2B5EF4-FFF2-40B4-BE49-F238E27FC236}">
                  <a16:creationId xmlns:a16="http://schemas.microsoft.com/office/drawing/2014/main" id="{8AAE53BD-46C8-4377-8781-CAC5A9ED8009}"/>
                </a:ext>
              </a:extLst>
            </xdr:cNvPr>
            <xdr:cNvSpPr txBox="1"/>
          </xdr:nvSpPr>
          <xdr:spPr>
            <a:xfrm>
              <a:off x="12554550" y="1874173"/>
              <a:ext cx="746621"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Blech</a:t>
              </a:r>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171449</xdr:colOff>
      <xdr:row>1</xdr:row>
      <xdr:rowOff>114299</xdr:rowOff>
    </xdr:from>
    <xdr:to>
      <xdr:col>22</xdr:col>
      <xdr:colOff>523875</xdr:colOff>
      <xdr:row>36</xdr:row>
      <xdr:rowOff>76199</xdr:rowOff>
    </xdr:to>
    <xdr:graphicFrame macro="">
      <xdr:nvGraphicFramePr>
        <xdr:cNvPr id="2" name="Diagramm 1">
          <a:extLst>
            <a:ext uri="{FF2B5EF4-FFF2-40B4-BE49-F238E27FC236}">
              <a16:creationId xmlns:a16="http://schemas.microsoft.com/office/drawing/2014/main" id="{A93A3348-113C-41E9-94B3-E43F6CB29E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oneCellAnchor>
    <xdr:from>
      <xdr:col>7</xdr:col>
      <xdr:colOff>312354</xdr:colOff>
      <xdr:row>0</xdr:row>
      <xdr:rowOff>150496</xdr:rowOff>
    </xdr:from>
    <xdr:ext cx="1725996" cy="2402205"/>
    <xdr:pic>
      <xdr:nvPicPr>
        <xdr:cNvPr id="2" name="Grafik 1">
          <a:extLst>
            <a:ext uri="{FF2B5EF4-FFF2-40B4-BE49-F238E27FC236}">
              <a16:creationId xmlns:a16="http://schemas.microsoft.com/office/drawing/2014/main" id="{47BD50AF-1CC5-4C8A-A18B-B1C4DA8F234C}"/>
            </a:ext>
          </a:extLst>
        </xdr:cNvPr>
        <xdr:cNvPicPr>
          <a:picLocks noChangeAspect="1"/>
        </xdr:cNvPicPr>
      </xdr:nvPicPr>
      <xdr:blipFill rotWithShape="1">
        <a:blip xmlns:r="http://schemas.openxmlformats.org/officeDocument/2006/relationships" r:embed="rId1"/>
        <a:srcRect r="47000"/>
        <a:stretch/>
      </xdr:blipFill>
      <xdr:spPr>
        <a:xfrm>
          <a:off x="6286434" y="150496"/>
          <a:ext cx="1725996" cy="2402205"/>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0</xdr:col>
      <xdr:colOff>76201</xdr:colOff>
      <xdr:row>0</xdr:row>
      <xdr:rowOff>114301</xdr:rowOff>
    </xdr:from>
    <xdr:to>
      <xdr:col>1</xdr:col>
      <xdr:colOff>1066801</xdr:colOff>
      <xdr:row>2</xdr:row>
      <xdr:rowOff>114415</xdr:rowOff>
    </xdr:to>
    <xdr:pic>
      <xdr:nvPicPr>
        <xdr:cNvPr id="3" name="Grafik 2">
          <a:extLst>
            <a:ext uri="{FF2B5EF4-FFF2-40B4-BE49-F238E27FC236}">
              <a16:creationId xmlns:a16="http://schemas.microsoft.com/office/drawing/2014/main" id="{ED4341D2-31E5-407D-A876-EEDE878E96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1" y="114301"/>
          <a:ext cx="1428750" cy="2668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oneCellAnchor>
    <xdr:from>
      <xdr:col>7</xdr:col>
      <xdr:colOff>312354</xdr:colOff>
      <xdr:row>0</xdr:row>
      <xdr:rowOff>150496</xdr:rowOff>
    </xdr:from>
    <xdr:ext cx="1725996" cy="2402205"/>
    <xdr:pic>
      <xdr:nvPicPr>
        <xdr:cNvPr id="2" name="Grafik 1">
          <a:extLst>
            <a:ext uri="{FF2B5EF4-FFF2-40B4-BE49-F238E27FC236}">
              <a16:creationId xmlns:a16="http://schemas.microsoft.com/office/drawing/2014/main" id="{32D74DE5-599C-4E40-AC4E-158A2AD07B79}"/>
            </a:ext>
          </a:extLst>
        </xdr:cNvPr>
        <xdr:cNvPicPr>
          <a:picLocks noChangeAspect="1"/>
        </xdr:cNvPicPr>
      </xdr:nvPicPr>
      <xdr:blipFill rotWithShape="1">
        <a:blip xmlns:r="http://schemas.openxmlformats.org/officeDocument/2006/relationships" r:embed="rId1"/>
        <a:srcRect r="47000"/>
        <a:stretch/>
      </xdr:blipFill>
      <xdr:spPr>
        <a:xfrm>
          <a:off x="7134159" y="150496"/>
          <a:ext cx="1725996" cy="2402205"/>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0</xdr:col>
      <xdr:colOff>76201</xdr:colOff>
      <xdr:row>0</xdr:row>
      <xdr:rowOff>114301</xdr:rowOff>
    </xdr:from>
    <xdr:to>
      <xdr:col>1</xdr:col>
      <xdr:colOff>1066801</xdr:colOff>
      <xdr:row>2</xdr:row>
      <xdr:rowOff>114415</xdr:rowOff>
    </xdr:to>
    <xdr:pic>
      <xdr:nvPicPr>
        <xdr:cNvPr id="3" name="Grafik 2">
          <a:extLst>
            <a:ext uri="{FF2B5EF4-FFF2-40B4-BE49-F238E27FC236}">
              <a16:creationId xmlns:a16="http://schemas.microsoft.com/office/drawing/2014/main" id="{B5E473B5-08EC-46A8-AAE8-85CDDA105CA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1" y="114301"/>
          <a:ext cx="1428750" cy="2668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oneCellAnchor>
    <xdr:from>
      <xdr:col>7</xdr:col>
      <xdr:colOff>312354</xdr:colOff>
      <xdr:row>0</xdr:row>
      <xdr:rowOff>150496</xdr:rowOff>
    </xdr:from>
    <xdr:ext cx="1725996" cy="2402205"/>
    <xdr:pic>
      <xdr:nvPicPr>
        <xdr:cNvPr id="2" name="Grafik 1">
          <a:extLst>
            <a:ext uri="{FF2B5EF4-FFF2-40B4-BE49-F238E27FC236}">
              <a16:creationId xmlns:a16="http://schemas.microsoft.com/office/drawing/2014/main" id="{157E46C0-EA28-45E7-9044-B804004D3993}"/>
            </a:ext>
          </a:extLst>
        </xdr:cNvPr>
        <xdr:cNvPicPr>
          <a:picLocks noChangeAspect="1"/>
        </xdr:cNvPicPr>
      </xdr:nvPicPr>
      <xdr:blipFill rotWithShape="1">
        <a:blip xmlns:r="http://schemas.openxmlformats.org/officeDocument/2006/relationships" r:embed="rId1"/>
        <a:srcRect r="47000"/>
        <a:stretch/>
      </xdr:blipFill>
      <xdr:spPr>
        <a:xfrm>
          <a:off x="7134159" y="150496"/>
          <a:ext cx="1725996" cy="2402205"/>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0</xdr:col>
      <xdr:colOff>76201</xdr:colOff>
      <xdr:row>0</xdr:row>
      <xdr:rowOff>114301</xdr:rowOff>
    </xdr:from>
    <xdr:to>
      <xdr:col>1</xdr:col>
      <xdr:colOff>1066801</xdr:colOff>
      <xdr:row>2</xdr:row>
      <xdr:rowOff>114415</xdr:rowOff>
    </xdr:to>
    <xdr:pic>
      <xdr:nvPicPr>
        <xdr:cNvPr id="3" name="Grafik 2">
          <a:extLst>
            <a:ext uri="{FF2B5EF4-FFF2-40B4-BE49-F238E27FC236}">
              <a16:creationId xmlns:a16="http://schemas.microsoft.com/office/drawing/2014/main" id="{0DF8FF64-F6DF-4879-A17E-ED15399839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1" y="114301"/>
          <a:ext cx="1428750" cy="2668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9286875" cy="6105525"/>
    <xdr:graphicFrame macro="">
      <xdr:nvGraphicFramePr>
        <xdr:cNvPr id="2" name="Diagramm 1">
          <a:extLst>
            <a:ext uri="{FF2B5EF4-FFF2-40B4-BE49-F238E27FC236}">
              <a16:creationId xmlns:a16="http://schemas.microsoft.com/office/drawing/2014/main" id="{92C2A3EF-1379-46F9-9B9C-0FB8C63C65F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absoluteAnchor>
    <xdr:pos x="0" y="0"/>
    <xdr:ext cx="9286875" cy="6029325"/>
    <mc:AlternateContent xmlns:mc="http://schemas.openxmlformats.org/markup-compatibility/2006">
      <mc:Choice xmlns:cx1="http://schemas.microsoft.com/office/drawing/2015/9/8/chartex" Requires="cx1">
        <xdr:graphicFrame macro="">
          <xdr:nvGraphicFramePr>
            <xdr:cNvPr id="2" name="Diagramm 1">
              <a:extLst>
                <a:ext uri="{FF2B5EF4-FFF2-40B4-BE49-F238E27FC236}">
                  <a16:creationId xmlns:a16="http://schemas.microsoft.com/office/drawing/2014/main" id="{09DEEDD3-46D0-4763-8A45-17627946680D}"/>
                </a:ext>
              </a:extLst>
            </xdr:cNvPr>
            <xdr:cNvGraphicFramePr>
              <a:graphicFrameLocks noGrp="1"/>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graphicFrame macro="">
          <xdr:nvGraphicFramePr>
            <xdr:cNvPr id="0" nam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mc:Fallback>
    </mc:AlternateContent>
    <xdr:clientData/>
  </xdr:absoluteAnchor>
</xdr:wsDr>
</file>

<file path=xl/drawings/drawing1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Rechteck 1">
          <a:extLst xmlns:a="http://schemas.openxmlformats.org/drawingml/2006/main">
            <a:ext uri="{FF2B5EF4-FFF2-40B4-BE49-F238E27FC236}">
              <a16:creationId xmlns:a16="http://schemas.microsoft.com/office/drawing/2014/main" id="{DCA6DB4F-9394-9610-9CAC-916E77F53BAE}"/>
            </a:ext>
          </a:extLst>
        </cdr:cNvPr>
        <cdr:cNvSpPr>
          <a:spLocks xmlns:a="http://schemas.openxmlformats.org/drawingml/2006/main" noTextEdit="1"/>
        </cdr:cNvSpPr>
      </cdr:nvSpPr>
      <cdr:spPr>
        <a:xfrm xmlns:a="http://schemas.openxmlformats.org/drawingml/2006/main">
          <a:off x="0" y="0"/>
          <a:ext cx="9286875" cy="6029325"/>
        </a:xfrm>
        <a:prstGeom xmlns:a="http://schemas.openxmlformats.org/drawingml/2006/main" prst="rect">
          <a:avLst/>
        </a:prstGeom>
        <a:solidFill xmlns:a="http://schemas.openxmlformats.org/drawingml/2006/main">
          <a:prstClr val="white"/>
        </a:solidFill>
        <a:ln xmlns:a="http://schemas.openxmlformats.org/drawingml/2006/main" w="1">
          <a:solidFill>
            <a:prstClr val="green"/>
          </a:solidFill>
        </a:ln>
      </cdr:spPr>
      <cdr:txBody>
        <a:bodyPr xmlns:a="http://schemas.openxmlformats.org/drawingml/2006/main" vertOverflow="clip" horzOverflow="clip"/>
        <a:lstStyle xmlns:a="http://schemas.openxmlformats.org/drawingml/2006/main"/>
        <a:p xmlns:a="http://schemas.openxmlformats.org/drawingml/2006/main">
          <a:r>
            <a:rPr lang="de-DE" sz="1100"/>
            <a:t>Dieses Diagramm ist in Ihrer Version von Excel nicht verfügbar.
Wenn Sie diese Form bearbeiten oder diese Arbeitsmappe in einem anderen Dateiformat speichern, wird das Diagramm dauerhaft beschädigt.</a:t>
          </a:r>
        </a:p>
      </cdr:txBody>
    </cdr:sp>
  </cdr:relSizeAnchor>
</c:userShapes>
</file>

<file path=xl/drawings/drawing13.xml><?xml version="1.0" encoding="utf-8"?>
<xdr:wsDr xmlns:xdr="http://schemas.openxmlformats.org/drawingml/2006/spreadsheetDrawing" xmlns:a="http://schemas.openxmlformats.org/drawingml/2006/main">
  <xdr:twoCellAnchor>
    <xdr:from>
      <xdr:col>1</xdr:col>
      <xdr:colOff>40953</xdr:colOff>
      <xdr:row>0</xdr:row>
      <xdr:rowOff>223110</xdr:rowOff>
    </xdr:from>
    <xdr:to>
      <xdr:col>2</xdr:col>
      <xdr:colOff>876247</xdr:colOff>
      <xdr:row>0</xdr:row>
      <xdr:rowOff>585108</xdr:rowOff>
    </xdr:to>
    <xdr:pic>
      <xdr:nvPicPr>
        <xdr:cNvPr id="2" name="Grafik 1">
          <a:extLst>
            <a:ext uri="{FF2B5EF4-FFF2-40B4-BE49-F238E27FC236}">
              <a16:creationId xmlns:a16="http://schemas.microsoft.com/office/drawing/2014/main" id="{E86EB48D-E5BE-4042-8030-32FDF773265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928" y="223110"/>
          <a:ext cx="1959244" cy="3619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adjustColumnWidth="0" connectionId="1" xr16:uid="{461018E9-148A-4D79-A287-FC0B6ECB2E1A}" autoFormatId="16" applyNumberFormats="0" applyBorderFormats="0" applyFontFormats="0" applyPatternFormats="0" applyAlignmentFormats="0" applyWidthHeightFormats="0">
  <queryTableRefresh nextId="66" unboundColumnsLeft="1" unboundColumnsRight="25">
    <queryTableFields count="42">
      <queryTableField id="37" dataBound="0" tableColumnId="37"/>
      <queryTableField id="10" name="DE" tableColumnId="10"/>
      <queryTableField id="11" name="EN" tableColumnId="11"/>
      <queryTableField id="2" name="Bestellaufwand" tableColumnId="2"/>
      <queryTableField id="3" name="Lagerart" tableColumnId="3"/>
      <queryTableField id="4" name="Handling" tableColumnId="4"/>
      <queryTableField id="5" name="Prüfaufwand" tableColumnId="5"/>
      <queryTableField id="6" name="Spezifiaktion" tableColumnId="6"/>
      <queryTableField id="64" name="Bestellzyklus" tableColumnId="43"/>
      <queryTableField id="7" name="Lagerreichweite" tableColumnId="7"/>
      <queryTableField id="51" name="Stk." tableColumnId="1"/>
      <queryTableField id="52" name="kg" tableColumnId="8"/>
      <queryTableField id="53" name="l" tableColumnId="38"/>
      <queryTableField id="54" name="m" tableColumnId="39"/>
      <queryTableField id="55" name="m²" tableColumnId="40"/>
      <queryTableField id="56" name="m³" tableColumnId="41"/>
      <queryTableField id="9" name="Fläche je Lagereinheit" tableColumnId="9"/>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2" adjustColumnWidth="0" connectionId="2" xr16:uid="{C2C0DD02-8404-4FD8-B6AD-66B3022869EC}" autoFormatId="16" applyNumberFormats="0" applyBorderFormats="0" applyFontFormats="0" applyPatternFormats="0" applyAlignmentFormats="0" applyWidthHeightFormats="0">
  <queryTableRefresh nextId="11">
    <queryTableFields count="10">
      <queryTableField id="1" name="Bezeichnung" tableColumnId="1"/>
      <queryTableField id="2" name="Invest" tableColumnId="2"/>
      <queryTableField id="3" name="AfA" tableColumnId="3"/>
      <queryTableField id="4" name="Strom" tableColumnId="4"/>
      <queryTableField id="5" name="Faktor" tableColumnId="5"/>
      <queryTableField id="6" name="Fläche" tableColumnId="6"/>
      <queryTableField id="7" name="Verbrauchsmaterial" tableColumnId="7"/>
      <queryTableField id="8" name="Instandhaltung" tableColumnId="8"/>
      <queryTableField id="9" name="Gerät" tableColumnId="9"/>
      <queryTableField id="10" name="Handling" tableColumnId="10"/>
    </queryTableFields>
  </queryTableRefresh>
</queryTable>
</file>

<file path=xl/tables/_rels/table2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57A531E-3BD5-4F9A-B6CE-CEE0C3CD28F5}" name="ChangeLog" displayName="ChangeLog" ref="B2:H133" totalsRowShown="0" headerRowDxfId="1358" dataDxfId="1357">
  <tableColumns count="7">
    <tableColumn id="4" xr3:uid="{3D95F67E-EABD-4161-A562-60F03B96EAD7}" name="ID" dataDxfId="1356"/>
    <tableColumn id="2" xr3:uid="{C84DA792-C441-4679-B586-4E868B52349A}" name="Arbeitsblatt" dataDxfId="1355"/>
    <tableColumn id="8" xr3:uid="{3B68741C-F89A-4799-8467-AE93E21DC7EE}" name="Beschreibung" dataDxfId="1354"/>
    <tableColumn id="7" xr3:uid="{578AB17F-283E-49C6-9EA8-96E892E5ABF1}" name="Autor" dataDxfId="1353"/>
    <tableColumn id="9" xr3:uid="{F1581991-4C1B-4C9F-A294-DFCC5EC002D2}" name="Status" dataDxfId="1352"/>
    <tableColumn id="1" xr3:uid="{1B5CDDB2-B592-4BCA-940B-6873018CA6C9}" name="Version" dataDxfId="1351"/>
    <tableColumn id="6" xr3:uid="{FC981213-9B5D-4B8E-9145-69B0588087E8}" name="Datum" dataDxfId="1350"/>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48ED874-FE9F-41A9-86C3-876A3BE100DD}" name="Info" displayName="Info" ref="B4:R9" totalsRowShown="0" headerRowDxfId="1323" dataDxfId="1322">
  <autoFilter ref="B4:R9" xr:uid="{2C536DD0-FD6B-45E5-9230-66A00F674DBF}"/>
  <tableColumns count="17">
    <tableColumn id="1" xr3:uid="{45FBBDCF-5DCF-4180-9A4A-44D81073E124}" name="Bauteil" dataDxfId="1321"/>
    <tableColumn id="11" xr3:uid="{76378D00-364B-4773-B5F5-4DCB3CAD7C1B}" name="Form" dataDxfId="1320"/>
    <tableColumn id="9" xr3:uid="{10E79210-024F-4920-97DF-A009F23824E3}" name="Material" dataDxfId="1319">
      <calculatedColumnFormula>IFERROR(VLOOKUP(Info[[#This Row],[Bauteil]],BOM,5,0),0)</calculatedColumnFormula>
    </tableColumn>
    <tableColumn id="10" xr3:uid="{AD208E7D-C43D-46D4-B622-7400EBB78919}" name="Dichte" dataDxfId="1318">
      <calculatedColumnFormula array="1">IFERROR(IF(INDEX(MAT[Dichte],MATCH(Info[[#This Row],[Material]],MAT[Bezeichnung],0),)&gt;0,INDEX(MAT[Dichte],MATCH(Info[[#This Row],[Material]],MAT[Bezeichnung],0),),"[Input]"),"[Input]")</calculatedColumnFormula>
    </tableColumn>
    <tableColumn id="3" xr3:uid="{A3946B44-D4F5-4F4C-BD66-74BF97A3967D}" name="x" dataDxfId="1317">
      <calculatedColumnFormula>IFERROR(VLOOKUP(Info[[#This Row],[Bauteil]],BOM,8,0),0)</calculatedColumnFormula>
    </tableColumn>
    <tableColumn id="4" xr3:uid="{CC969B2C-CB00-4B1B-AD5B-07B6E1F6BBA1}" name="y" dataDxfId="1316">
      <calculatedColumnFormula>IFERROR(VLOOKUP(Info[[#This Row],[Bauteil]],BOM,9,0),0)</calculatedColumnFormula>
    </tableColumn>
    <tableColumn id="5" xr3:uid="{BB8DB370-3D83-4545-90E5-76DB2D770037}" name="z" dataDxfId="1315">
      <calculatedColumnFormula>IFERROR(VLOOKUP(Info[[#This Row],[Bauteil]],BOM,10,0),0)</calculatedColumnFormula>
    </tableColumn>
    <tableColumn id="6" xr3:uid="{2B15D26A-AEA7-4AB6-91AE-6A3F90FE5DF5}" name="t" dataDxfId="1314">
      <calculatedColumnFormula>IFERROR(VLOOKUP(Info[[#This Row],[Bauteil]],BOM,11,0),0)</calculatedColumnFormula>
    </tableColumn>
    <tableColumn id="7" xr3:uid="{F384A9CD-E1D4-4317-8A09-329C9DBD4AF1}" name="Ø außen" dataDxfId="1313">
      <calculatedColumnFormula>Info[[#This Row],[x]]</calculatedColumnFormula>
    </tableColumn>
    <tableColumn id="8" xr3:uid="{60DFEAB1-57C1-4E14-81F4-C9058441890A}" name="Ø innen" dataDxfId="1312">
      <calculatedColumnFormula>0</calculatedColumnFormula>
    </tableColumn>
    <tableColumn id="2" xr3:uid="{D0E0315A-E5AF-486C-A7D4-5D8E31B9D1A9}" name="Faktor" dataDxfId="1311">
      <calculatedColumnFormula>1</calculatedColumnFormula>
    </tableColumn>
    <tableColumn id="15" xr3:uid="{B135D93B-27F3-4A99-B713-54B6666B9D71}" name="Oberfläche" dataDxfId="1310">
      <calculatedColumnFormula>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calculatedColumnFormula>
    </tableColumn>
    <tableColumn id="16" xr3:uid="{FDE9779B-9B9E-4761-B48C-BE775ADE036C}" name="Proj. Fläche" dataDxfId="1309">
      <calculatedColumnFormula>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calculatedColumnFormula>
    </tableColumn>
    <tableColumn id="14" xr3:uid="{E46D71E4-FBDD-48BA-AB07-FE78834543D3}" name="Volumen" dataDxfId="1308">
      <calculatedColumnFormula>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calculatedColumnFormula>
    </tableColumn>
    <tableColumn id="12" xr3:uid="{2841FDE1-8BB9-43EF-BAA1-50EE5B53E40A}" name="Masse in g" dataDxfId="1307">
      <calculatedColumnFormula>IFERROR(Info[[#This Row],[Volumen]]*Info[[#This Row],[Dichte]]/1000,0)</calculatedColumnFormula>
    </tableColumn>
    <tableColumn id="13" xr3:uid="{D0CF5FF2-E906-4F88-8CAB-D7B1220628C2}" name="Masse" dataDxfId="1306">
      <calculatedColumnFormula>Info[[#This Row],[Masse in g]]/1000</calculatedColumnFormula>
    </tableColumn>
    <tableColumn id="17" xr3:uid="{972767D1-D939-4B3A-8B0C-CE9C13AF9EC9}" name="Anmerkungen" dataDxfId="1305"/>
  </tableColumns>
  <tableStyleInfo name="TableStyleMedium6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5E5C66D-5761-4A0F-9C49-08847E782127}" name="CostSplit1" displayName="CostSplit1" ref="E2:I19" totalsRowShown="0" headerRowDxfId="1304" dataDxfId="1303">
  <tableColumns count="5">
    <tableColumn id="1" xr3:uid="{8EEC6DD6-F9E6-4E8E-87E3-475906D7D10B}" name="Cost split 1" dataDxfId="1302"/>
    <tableColumn id="4" xr3:uid="{CB713395-30FF-4616-96F1-09F3ED0BA88C}" name="Basis" dataDxfId="1301"/>
    <tableColumn id="5" xr3:uid="{4D634FBB-AF12-46A3-BB8B-0A12128170D2}" name="∑" dataDxfId="1300">
      <calculatedColumnFormula>CostSplit1[[#This Row],[Basis]]+CostSplit1[[#This Row],[Wert]]</calculatedColumnFormula>
    </tableColumn>
    <tableColumn id="2" xr3:uid="{4DAA1FF1-4DF7-4F72-B83E-224479FBC40F}" name="Wert" dataDxfId="1299"/>
    <tableColumn id="3" xr3:uid="{651A80E1-2CD5-4FA7-A61B-A39866782327}" name="  " dataDxfId="1298">
      <calculatedColumnFormula>CostSplit1[[#This Row],[Wert]]</calculatedColumnFormula>
    </tableColumn>
  </tableColumns>
  <tableStyleInfo name="Tabellenformat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FABFB73E-E8BD-470D-9BBA-3B9614DB55B3}" name="CostSplit2" displayName="CostSplit2" ref="E21:I29" totalsRowShown="0" headerRowDxfId="1297" dataDxfId="1296">
  <tableColumns count="5">
    <tableColumn id="1" xr3:uid="{C659D6AF-5266-4859-9BFD-61076D8EC505}" name="Cost split 2" dataDxfId="1295"/>
    <tableColumn id="4" xr3:uid="{FD634924-D62A-425D-BB9F-F92EBE2D7877}" name="Basis" dataDxfId="1294"/>
    <tableColumn id="5" xr3:uid="{9681032B-BB2D-442F-9099-1917F42F1DEA}" name="∑" dataDxfId="1293"/>
    <tableColumn id="2" xr3:uid="{19C4817F-42C7-4878-8EA1-EEDE4EC74C9E}" name="Wert" dataDxfId="1292"/>
    <tableColumn id="3" xr3:uid="{7AA0F184-2CC8-404F-A423-E04B8D31867D}" name="  " dataDxfId="1291">
      <calculatedColumnFormula>CostSplit2[[#This Row],[Wert]]</calculatedColumnFormula>
    </tableColumn>
  </tableColumns>
  <tableStyleInfo name="Tabellenformat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2D8B41E-D829-4C00-A75B-B6A860F815C1}" name="CostSplit3" displayName="CostSplit3" ref="E31:I37" totalsRowShown="0" headerRowDxfId="1290" dataDxfId="1289">
  <tableColumns count="5">
    <tableColumn id="1" xr3:uid="{831B6C5E-1523-416B-B60F-C31BCD9F3A86}" name="Cost split 3" dataDxfId="1288"/>
    <tableColumn id="5" xr3:uid="{AA6842DE-22B6-4F8C-BFBF-29927E4F8A1B}" name="Basis" dataDxfId="1287"/>
    <tableColumn id="4" xr3:uid="{2883CBC3-9466-4B1E-AB9A-556DF1F188ED}" name="∑" dataDxfId="1286"/>
    <tableColumn id="2" xr3:uid="{596F7C79-7886-437C-8D70-79B330327F1D}" name="Wert" dataDxfId="1285">
      <calculatedColumnFormula>H24</calculatedColumnFormula>
    </tableColumn>
    <tableColumn id="3" xr3:uid="{3352648E-8177-43CB-80E1-05A61D6E5AAD}" name="  " dataDxfId="1284">
      <calculatedColumnFormula>CostSplit3[[#This Row],[Wert]]</calculatedColumnFormula>
    </tableColumn>
  </tableColumns>
  <tableStyleInfo name="Tabellenformat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ECCCEC-96AC-470A-A1B1-3E653DB70BFE}" name="Cluster1" displayName="Cluster1" ref="B7:AL10" headerRowDxfId="1282" dataDxfId="1280" headerRowBorderDxfId="1281" tableBorderDxfId="1279" totalsRowBorderDxfId="1278">
  <tableColumns count="37">
    <tableColumn id="1" xr3:uid="{611D13D4-CCF5-4052-AB1F-507A0774249B}" name="Production" totalsRowLabel="Ergebnis" dataDxfId="1277" totalsRowDxfId="1276"/>
    <tableColumn id="2" xr3:uid="{4FFCA169-5759-4D78-9E55-7FA1B5115419}" name="Masch." dataDxfId="1275" totalsRowDxfId="1274">
      <calculatedColumnFormula array="1">SUMPRODUCT(Calculation!CV$11:CV$189*(Calculation!$FJ$11:$FJ$189=$B8)*IF($B$5=0,1,Calculation!$CA$11:$CA$189=$B$5))</calculatedColumnFormula>
    </tableColumn>
    <tableColumn id="3" xr3:uid="{80EA3B7F-ECA0-4130-BD81-15247110C9F8}" name="Rüsten" dataDxfId="1273" totalsRowDxfId="1272">
      <calculatedColumnFormula array="1">SUMPRODUCT(Calculation!CW$11:CW$189*(Calculation!$FJ$11:$FJ$189=$B8)*IF($B$5=0,1,Calculation!$CA$11:$CA$189=$B$5))</calculatedColumnFormula>
    </tableColumn>
    <tableColumn id="4" xr3:uid="{7ECBDF34-4C03-403A-B98F-C39AA2EAE84D}" name="AK" dataDxfId="1271" totalsRowDxfId="1270">
      <calculatedColumnFormula array="1">SUMPRODUCT(Calculation!CX$11:CX$189*(Calculation!$FJ$11:$FJ$189=$B8)*IF($B$5=0,1,Calculation!$CA$11:$CA$189=$B$5))</calculatedColumnFormula>
    </tableColumn>
    <tableColumn id="5" xr3:uid="{2331339D-E99A-495F-9C0F-DEF26A6B0270}" name="Wzg." dataDxfId="1269" totalsRowDxfId="1268">
      <calculatedColumnFormula array="1">SUMPRODUCT(Calculation!CY$11:CY$189*(Calculation!$FJ$11:$FJ$189=$B8)*IF($B$5=0,1,Calculation!$CA$11:$CA$189=$B$5))</calculatedColumnFormula>
    </tableColumn>
    <tableColumn id="19" xr3:uid="{0C8B02CC-F053-4CAE-9413-514FCBEC93AC}" name="V.-Wzg." dataDxfId="1267" totalsRowDxfId="1266">
      <calculatedColumnFormula array="1">SUMPRODUCT(Calculation!CZ$11:CZ$189*(Calculation!$FJ$11:$FJ$189=$B8)*IF($B$5=0,1,Calculation!$CA$11:$CA$189=$B$5))</calculatedColumnFormula>
    </tableColumn>
    <tableColumn id="6" xr3:uid="{ACBC13AE-DDE2-42CB-9C46-1133DB4CBDDE}" name="Auss. W" dataDxfId="1265" totalsRowDxfId="1264">
      <calculatedColumnFormula array="1">SUMPRODUCT(Calculation!DA$11:DA$189*(Calculation!$FJ$11:$FJ$189=$B8)*IF($B$5=0,1,Calculation!$CA$11:$CA$189=$B$5))</calculatedColumnFormula>
    </tableColumn>
    <tableColumn id="7" xr3:uid="{6D0A937D-D474-483B-8070-6DD72B961EE2}" name="FGK" dataDxfId="1263" totalsRowDxfId="1262">
      <calculatedColumnFormula array="1">SUMPRODUCT(Calculation!DB$11:DB$189*(Calculation!$FJ$11:$FJ$189=$B8)*IF($B$5=0,1,Calculation!$CA$11:$CA$189=$B$5))</calculatedColumnFormula>
    </tableColumn>
    <tableColumn id="8" xr3:uid="{3F80D668-0BBD-4EC2-A2EA-4D1148FA657E}" name="FK" dataDxfId="1261" totalsRowDxfId="1260">
      <calculatedColumnFormula>SUM($C8:$I8)</calculatedColumnFormula>
    </tableColumn>
    <tableColumn id="9" xr3:uid="{57CB33EF-3BAC-4B42-B440-440A51B58F1F}" name="D Mat." dataDxfId="1259">
      <calculatedColumnFormula array="1">SUMPRODUCT(Calculation!DD$11:DD$189*(Calculation!$FJ$11:$FJ$189=$B8)*IF($B$5=0,1,Calculation!$CA$11:$CA$189=$B$5))</calculatedColumnFormula>
    </tableColumn>
    <tableColumn id="10" xr3:uid="{930FFBBE-5BE1-4120-AFFF-5CBB62814D37}" name="Zukauf" dataDxfId="1258">
      <calculatedColumnFormula array="1">SUMPRODUCT(Calculation!DP$11:DP$189*(Calculation!$FJ$11:$FJ$189=$B8)*IF($B$5=0,0,Calculation!$CB$11:$CB$189=$B$5))
+SUMPRODUCT(Calculation!DP$11:DU$189*(Calculation!$FJ$11:$FJ$189=$B8)*IF($B$5=0,0,Calculation!$CC$11:$CC$189=$B$5))</calculatedColumnFormula>
    </tableColumn>
    <tableColumn id="11" xr3:uid="{BE2E4F45-EA66-4D09-A0AD-66CA7574E82F}" name="D. Mat" dataDxfId="1257" totalsRowDxfId="1256">
      <calculatedColumnFormula>SUM($K8:$L8)</calculatedColumnFormula>
    </tableColumn>
    <tableColumn id="12" xr3:uid="{5EC292E5-5B0C-43B4-BE1A-D7C8D2D9D799}" name="Auss. M" dataDxfId="1255" totalsRowDxfId="1254">
      <calculatedColumnFormula array="1">SUMPRODUCT(Calculation!DE$11:DE$189*(Calculation!$FJ$11:$FJ$189=$B8)*IF($B$5=0,1,Calculation!$CA$11:$CA$189=$B$5))
+SUMPRODUCT(Calculation!DQ$11:DQ$189*(Calculation!$FJ$11:$FJ$189=$B8)*IF($B$5=0,0,Calculation!$CB$11:$CB$189=$B$5))
+SUMPRODUCT(Calculation!DW$11:DW$189*(Calculation!$FJ$11:$FJ$189=$B8)*IF($B$5=0,0,Calculation!$CC$11:$CC$189=$B$5))</calculatedColumnFormula>
    </tableColumn>
    <tableColumn id="37" xr3:uid="{84F73433-A0EC-41EC-853D-E51D995E28F7}" name="MGK" dataDxfId="1253" totalsRowDxfId="1252">
      <calculatedColumnFormula array="1">SUMPRODUCT(Calculation!DF$11:DF$189*(Calculation!$FJ$11:$FJ$189=$B8)*IF($B$5=0,1,Calculation!$CA$11:$CA$189=$B$5))
+SUMPRODUCT(Calculation!DR$11:DR$189*(Calculation!$FJ$11:$FJ$189=$B8)*IF($B$5=0,0,Calculation!$CB$11:$CB$189=$B$5))
+SUMPRODUCT(Calculation!DX$11:DX$189*(Calculation!$FJ$11:$FJ$189=$B8)*IF($B$5=0,0,Calculation!$CC$11:$CC$189=$B$5))</calculatedColumnFormula>
    </tableColumn>
    <tableColumn id="38" xr3:uid="{6D0BFB33-0AFF-4C60-A403-84DC8229A62D}" name="MK" dataDxfId="1251" totalsRowDxfId="1250">
      <calculatedColumnFormula>SUM($M8:$O8)</calculatedColumnFormula>
    </tableColumn>
    <tableColumn id="13" xr3:uid="{54A6363E-3A4C-4D6A-9515-7194AFD56910}" name="HK" dataDxfId="1249" totalsRowDxfId="1248">
      <calculatedColumnFormula>$J8+$P8</calculatedColumnFormula>
    </tableColumn>
    <tableColumn id="14" xr3:uid="{5E625642-14B6-40D4-8361-F5776D4058F1}" name="VVGK W" dataDxfId="1247" totalsRowDxfId="1246">
      <calculatedColumnFormula array="1">SUMPRODUCT(Calculation!DI$11:DI$189*(Calculation!$FJ$11:$FJ$189=$B8)*IF($B$5=0,1,Calculation!$CA$11:$CA$189=$B$5))</calculatedColumnFormula>
    </tableColumn>
    <tableColumn id="25" xr3:uid="{E4CF2BD9-3024-4BC8-9663-37A8A3608A27}" name="VVGK M" dataDxfId="1245" totalsRowDxfId="1244">
      <calculatedColumnFormula array="1">SUMPRODUCT(Calculation!DJ$11:DJ$189*(Calculation!$FJ$11:$FJ$189=$B8)*IF($B$5=0,1,Calculation!$CA$11:$CA$189=$B$5))
+(SUMPRODUCT(Calculation!DS$11:DS$189*(Calculation!$FJ$11:$FJ$189=$B8)*IF($B$5=0,0,Calculation!$CB$11:$CB$189=$B$5))
+SUMPRODUCT(Calculation!DY$11:DY$189*(Calculation!$FJ$11:$FJ$189=$B8)*IF($B$5=0,0,Calculation!$CC$11:$CC$189=$B$5)))*IF(INDEX(Settings[],MATCH(3001,Settings[ID],0),2)="B",1,0)</calculatedColumnFormula>
    </tableColumn>
    <tableColumn id="24" xr3:uid="{2FAC9E34-10B6-4D12-B8C4-93E6B19CCD09}" name="VVGK" dataDxfId="1243" totalsRowDxfId="1242">
      <calculatedColumnFormula array="1">SUMPRODUCT(Calculation!DK$11:DK$189*(Calculation!$FJ$11:$FJ$189=$B8)*IF($B$5=0,1,Calculation!$CA$11:$CA$189=$B$5))
+(SUMPRODUCT(Calculation!DS$11:DS$189*(Calculation!$FJ$11:$FJ$189=$B8)*IF($B$5=0,0,Calculation!$CB$11:$CB$189=$B$5))
+SUMPRODUCT(Calculation!DY$11:DY$189*(Calculation!$FJ$11:$FJ$189=$B8)*IF($B$5=0,0,Calculation!$CC$11:$CC$189=$B$5)))*IF(INDEX(Settings[],MATCH(3001,Settings[ID],0),2)="B",0,1)</calculatedColumnFormula>
    </tableColumn>
    <tableColumn id="23" xr3:uid="{E59647A7-2CEA-4A68-A3F8-29C5525028FC}" name="Gew.W" dataDxfId="1241" totalsRowDxfId="1240">
      <calculatedColumnFormula array="1">SUMPRODUCT(Calculation!DL$11:DL$189*(Calculation!$FJ$11:$FJ$189=$B8)*IF($B$5=0,1,Calculation!$CA$11:$CA$189=$B$5))</calculatedColumnFormula>
    </tableColumn>
    <tableColumn id="22" xr3:uid="{997688AC-9E10-4C81-8E30-29C294822DD5}" name="Gew. M" dataDxfId="1239" totalsRowDxfId="1238">
      <calculatedColumnFormula array="1">SUMPRODUCT(Calculation!DM$11:DM$189*(Calculation!$FJ$11:$FJ$189=$B8)*IF($B$5=0,1,Calculation!$CA$11:$CA$189=$B$5))
+(SUMPRODUCT(Calculation!DT$11:DT$189*(Calculation!$FJ$11:$FJ$189=$B8)*IF($B$5=0,0,Calculation!$CB$11:$CB$189=$B$5))
+SUMPRODUCT(Calculation!DZ$11:DZ$189*(Calculation!$FJ$11:$FJ$189=$B8)*IF($B$5=0,0,Calculation!$CC$11:$CC$189=$B$5)))*IF(INDEX(Settings[],MATCH(3002,Settings[ID],0),2)="B",1,0)</calculatedColumnFormula>
    </tableColumn>
    <tableColumn id="15" xr3:uid="{4743CB32-AD21-4948-9FD7-103D69CEA69B}" name="Gewinn" dataDxfId="1237" totalsRowDxfId="1236">
      <calculatedColumnFormula array="1">SUMPRODUCT(Calculation!DN$11:DN$189*(Calculation!$FJ$11:$FJ$189=$B8)*IF($B$5=0,1,Calculation!$CA$11:$CA$189=$B$5))
+(SUMPRODUCT(Calculation!DT$11:DT$189*(Calculation!$FJ$11:$FJ$189=$B8)*IF($B$5=0,0,Calculation!$CB$11:$CB$189=$B$5))
+SUMPRODUCT(Calculation!DZ$11:DZ$189*(Calculation!$FJ$11:$FJ$189=$B8)*IF($B$5=0,0,Calculation!$CC$11:$CC$189=$B$5)))*IF(INDEX(Settings[],MATCH(3002,Settings[ID],0),2)="B",0,1)</calculatedColumnFormula>
    </tableColumn>
    <tableColumn id="16" xr3:uid="{FD81F64A-7969-43FB-A609-B677E526CD23}" name="Sonstige" dataDxfId="1235" totalsRowDxfId="1234">
      <calculatedColumnFormula array="1">SUMPRODUCT(Calculation!DO$11:DO$189*(Calculation!$FJ$11:$FJ$189=$B8)*IF($B$5=0,1,Calculation!$CA$11:$CA$189=$B$5))
+SUMPRODUCT(Calculation!DU$11:DU$189*(Calculation!$FJ$11:$FJ$189=$B8)*IF($B$5=0,0,Calculation!$CB$11:$CB$189=$B$5))
+SUMPRODUCT(Calculation!EA$11:EA$189*(Calculation!$FJ$11:$FJ$189=$B8)*IF($B$5=0,0,Calculation!$CC$11:$CC$189=$B$5))</calculatedColumnFormula>
    </tableColumn>
    <tableColumn id="26" xr3:uid="{9F43814B-B840-4D65-873E-2EC0511FEBEE}" name="Preis" dataDxfId="1233" totalsRowDxfId="1232">
      <calculatedColumnFormula>SUM($Q8:$X8)</calculatedColumnFormula>
    </tableColumn>
    <tableColumn id="18" xr3:uid="{928A84BF-1B68-42F6-A6BF-C40974DCDFA9}" name="Auss." dataDxfId="1231" totalsRowDxfId="1230">
      <calculatedColumnFormula array="1">SUMPRODUCT(Calculation!DQ$11:DQ$189*(Calculation!$FJ$11:$FJ$189=$B8)*IF($B$5=0,1,0))</calculatedColumnFormula>
    </tableColumn>
    <tableColumn id="20" xr3:uid="{D0D7C87C-B706-414F-A0C2-566E2ABF5F3B}" name="MGK2" dataDxfId="1229" totalsRowDxfId="1228">
      <calculatedColumnFormula array="1">SUMPRODUCT(Calculation!DR$11:DR$189*(Calculation!$FJ$11:$FJ$189=$B8)*IF($B$5=0,1,0))</calculatedColumnFormula>
    </tableColumn>
    <tableColumn id="21" xr3:uid="{61F2BC64-5E70-4BE7-9332-E9D63A00769D}" name="VVGK3" dataDxfId="1227" totalsRowDxfId="1226">
      <calculatedColumnFormula array="1">SUMPRODUCT(Calculation!DS$11:DS$189*(Calculation!$FJ$11:$FJ$189=$B8)*IF($B$5=0,1,0))</calculatedColumnFormula>
    </tableColumn>
    <tableColumn id="28" xr3:uid="{807D63ED-58F8-46E5-8313-C6838634A29B}" name="Gewinn4" dataDxfId="1225" totalsRowDxfId="1224">
      <calculatedColumnFormula array="1">SUMPRODUCT(Calculation!DT$11:DT$189*(Calculation!$FJ$11:$FJ$189=$B8)*IF($B$5=0,1,0))</calculatedColumnFormula>
    </tableColumn>
    <tableColumn id="29" xr3:uid="{21A2EDD0-6A9B-4C0A-A92D-BFEAAF9C1993}" name="Sonstige5" dataDxfId="1223" totalsRowDxfId="1222">
      <calculatedColumnFormula array="1">SUMPRODUCT(Calculation!DU$11:DU$189*(Calculation!$FJ$11:$FJ$189=$B8)*IF($B$5=0,1,0))</calculatedColumnFormula>
    </tableColumn>
    <tableColumn id="30" xr3:uid="{13634617-59F9-4F0B-92A6-FB926962DC35}" name="Preis6" dataDxfId="1221">
      <calculatedColumnFormula>IF(SUM($Z8:$AD8)=0,0,SUM($Y8:$AD8))</calculatedColumnFormula>
    </tableColumn>
    <tableColumn id="31" xr3:uid="{9CA9E0F0-5EE4-4CDA-8998-05CA61076AFF}" name="Auss.7" dataDxfId="1220" totalsRowDxfId="1219">
      <calculatedColumnFormula array="1">SUMPRODUCT(Calculation!DW$11:DW$189*(Calculation!$FJ$11:$FJ$189=$B8)*IF($B$5=0,1,0))</calculatedColumnFormula>
    </tableColumn>
    <tableColumn id="32" xr3:uid="{8069EA74-DE65-4E0E-83B8-D726B32BDD5D}" name="MGK8" dataDxfId="1218" totalsRowDxfId="1217">
      <calculatedColumnFormula array="1">SUMPRODUCT(Calculation!DX$11:DX$189*(Calculation!$FJ$11:$FJ$189=$B8)*IF($B$5=0,1,0))</calculatedColumnFormula>
    </tableColumn>
    <tableColumn id="33" xr3:uid="{1BB94270-F8A0-4423-8CAD-1644EE427BDE}" name="VVGK9" dataDxfId="1216" totalsRowDxfId="1215">
      <calculatedColumnFormula array="1">SUMPRODUCT(Calculation!DY$11:DY$189*(Calculation!$FJ$11:$FJ$189=$B8)*IF($B$5=0,1,0))</calculatedColumnFormula>
    </tableColumn>
    <tableColumn id="34" xr3:uid="{B89F3498-2B8D-47CF-ADD9-0166E45E1CAB}" name="Gewinn10" dataDxfId="1214" totalsRowDxfId="1213">
      <calculatedColumnFormula array="1">SUMPRODUCT(Calculation!DZ$11:DZ$189*(Calculation!$FJ$11:$FJ$189=$B8)*IF($B$5=0,1,0))</calculatedColumnFormula>
    </tableColumn>
    <tableColumn id="35" xr3:uid="{EA52647F-E997-4D35-AF8C-4A0525628071}" name="Sonstige11" dataDxfId="1212" totalsRowDxfId="1211">
      <calculatedColumnFormula array="1">SUMPRODUCT(Calculation!EA$11:EA$189*(Calculation!$FJ$11:$FJ$189=$B8)*IF($B$5=0,1,0))</calculatedColumnFormula>
    </tableColumn>
    <tableColumn id="36" xr3:uid="{5E0B40FB-6A9A-427F-B0CB-2ED98DBF022A}" name="Preis12" dataDxfId="1210" totalsRowDxfId="1209">
      <calculatedColumnFormula>IF(SUM(Cluster1[[Auss.7]:[Sonstige11]])=0,0,SUM($Y8:$AD8,$AF8:$AJ8))</calculatedColumnFormula>
    </tableColumn>
    <tableColumn id="27" xr3:uid="{28EFA9D1-2438-4B2E-9C5E-9D82C166B825}" name=" " dataDxfId="1208" totalsRowDxfId="1207">
      <calculatedColumnFormula>IF($B$5=0,$AK8,$Y8)</calculatedColumnFormula>
    </tableColumn>
  </tableColumns>
  <tableStyleInfo name="Tabellenformat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B490511-6644-48A3-9013-26A61298E4B7}" name="Cluster2" displayName="Cluster2" ref="B12:AL17" totalsRowShown="0" headerRowDxfId="1206" dataDxfId="1204" headerRowBorderDxfId="1205" tableBorderDxfId="1203" totalsRowBorderDxfId="1202">
  <tableColumns count="37">
    <tableColumn id="1" xr3:uid="{46036DA8-38D0-4625-B6EF-AAA3C77CDE70}" name="Material" dataDxfId="1201"/>
    <tableColumn id="2" xr3:uid="{0ACBA334-4737-4D95-892F-1DC79DC79EB9}" name="Masch." dataDxfId="1200">
      <calculatedColumnFormula array="1">SUMPRODUCT(Calculation!CV$11:CV$189*(Calculation!$FK$11:$FK$189=$B13)*IF($B$5=0,1,Calculation!$CA$11:$CA$189=$B$5))</calculatedColumnFormula>
    </tableColumn>
    <tableColumn id="3" xr3:uid="{5267E66E-7F6B-4B52-BFE6-026303B4C4C4}" name="Rüsten" dataDxfId="1199">
      <calculatedColumnFormula array="1">SUMPRODUCT(Calculation!CW$11:CW$189*(Calculation!$FK$11:$FK$189=$B13)*IF($B$5=0,1,Calculation!$CA$11:$CA$189=$B$5))</calculatedColumnFormula>
    </tableColumn>
    <tableColumn id="4" xr3:uid="{8ED46DAB-D77B-40FD-AC2D-91CCB10B3A2E}" name="AK" dataDxfId="1198">
      <calculatedColumnFormula array="1">SUMPRODUCT(Calculation!CX$11:CX$189*(Calculation!$FK$11:$FK$189=$B13)*IF($B$5=0,1,Calculation!$CA$11:$CA$189=$B$5))</calculatedColumnFormula>
    </tableColumn>
    <tableColumn id="5" xr3:uid="{D62E3D55-DC43-4943-AB04-69353451E5A5}" name="Wzg." dataDxfId="1197">
      <calculatedColumnFormula array="1">SUMPRODUCT(Calculation!CY$11:CY$189*(Calculation!$FK$11:$FK$189=$B13)*IF($B$5=0,1,Calculation!$CA$11:$CA$189=$B$5))</calculatedColumnFormula>
    </tableColumn>
    <tableColumn id="19" xr3:uid="{A12E4491-F480-49FB-8211-71BAB75CBD7C}" name="V.-Wzg." dataDxfId="1196">
      <calculatedColumnFormula array="1">SUMPRODUCT(Calculation!CZ$11:CZ$189*(Calculation!$FK$11:$FK$189=$B13)*IF($B$5=0,1,Calculation!$CA$11:$CA$189=$B$5))</calculatedColumnFormula>
    </tableColumn>
    <tableColumn id="6" xr3:uid="{82B86A14-5C52-46C1-AE98-0B989701D073}" name="Auss. W" dataDxfId="1195">
      <calculatedColumnFormula array="1">SUMPRODUCT(Calculation!DA$11:DA$189*(Calculation!$FK$11:$FK$189=$B13)*IF($B$5=0,1,Calculation!$CA$11:$CA$189=$B$5))</calculatedColumnFormula>
    </tableColumn>
    <tableColumn id="7" xr3:uid="{D1427B6B-431D-49FA-A069-4BEF3675477B}" name="FGK" dataDxfId="1194">
      <calculatedColumnFormula array="1">SUMPRODUCT(Calculation!DB$11:DB$189*(Calculation!$FK$11:$FK$189=$B13)*IF($B$5=0,1,Calculation!$CA$11:$CA$189=$B$5))</calculatedColumnFormula>
    </tableColumn>
    <tableColumn id="8" xr3:uid="{8208A4F8-C9B4-4346-97CA-93F4F74A2459}" name="FK" dataDxfId="1193">
      <calculatedColumnFormula>SUM($C13:$I13)</calculatedColumnFormula>
    </tableColumn>
    <tableColumn id="9" xr3:uid="{EA20F4B9-4924-47C1-9290-6DB4F688AAB6}" name="D Mat." dataDxfId="1192">
      <calculatedColumnFormula array="1">SUMPRODUCT(Calculation!DD$11:DD$189*(Calculation!$FK$11:$FK$189=$B13)*IF($B$5=0,1,Calculation!$CA$11:$CA$189=$B$5))</calculatedColumnFormula>
    </tableColumn>
    <tableColumn id="10" xr3:uid="{7D289762-549C-47DD-A283-EA1EFC7D65C6}" name="Zukauf" dataDxfId="1191">
      <calculatedColumnFormula array="1">SUMPRODUCT(Calculation!DP$11:DP$189*(Calculation!$FK$11:$FK$189=$B13)*IF($B$5=0,0,Calculation!$CB$11:$CB$189=$B$5))
+SUMPRODUCT(Calculation!DP$11:DU$189*(Calculation!$FK$11:$FK$189=$B13)*IF($B$5=0,0,Calculation!$CC$11:$CC$189=$B$5))</calculatedColumnFormula>
    </tableColumn>
    <tableColumn id="11" xr3:uid="{A842D693-4F9C-4A8A-9B3F-C4340B5D9DCE}" name="D. Mat" dataDxfId="1190">
      <calculatedColumnFormula>SUM($K13:$L13)</calculatedColumnFormula>
    </tableColumn>
    <tableColumn id="12" xr3:uid="{5430DB46-CE08-42F6-9042-E6E97CED5628}" name="Auss. M" dataDxfId="1189">
      <calculatedColumnFormula array="1">SUMPRODUCT(Calculation!DE$11:DE$189*(Calculation!$FK$11:$FK$189=$B13)*IF($B$5=0,1,Calculation!$CA$11:$CA$189=$B$5))
+SUMPRODUCT(Calculation!DQ$11:DQ$189*(Calculation!$FK$11:$FK$189=$B13)*IF($B$5=0,0,Calculation!$CB$11:$CB$189=$B$5))
+SUMPRODUCT(Calculation!DW$11:DW$189*(Calculation!$FK$11:$FK$189=$B13)*IF($B$5=0,0,Calculation!$CC$11:$CC$189=$B$5))</calculatedColumnFormula>
    </tableColumn>
    <tableColumn id="37" xr3:uid="{6BD6918F-DE72-41C0-A87A-FA8B53CE09ED}" name="MGK" dataDxfId="1188">
      <calculatedColumnFormula array="1">SUMPRODUCT(Calculation!DF$11:DF$189*(Calculation!$FK$11:$FK$189=$B13)*IF($B$5=0,1,Calculation!$CA$11:$CA$189=$B$5))
+SUMPRODUCT(Calculation!DR$11:DR$189*(Calculation!$FK$11:$FK$189=$B13)*IF($B$5=0,0,Calculation!$CB$11:$CB$189=$B$5))
+SUMPRODUCT(Calculation!DX$11:DX$189*(Calculation!$FK$11:$FK$189=$B13)*IF($B$5=0,0,Calculation!$CC$11:$CC$189=$B$5))</calculatedColumnFormula>
    </tableColumn>
    <tableColumn id="38" xr3:uid="{A05B744A-A7D6-4D56-B9A9-12CF2AB50799}" name="MK" dataDxfId="1187">
      <calculatedColumnFormula>SUM($M13:$O13)</calculatedColumnFormula>
    </tableColumn>
    <tableColumn id="13" xr3:uid="{CBE10A1B-78BB-42F2-A591-941A9D002647}" name="HK" dataDxfId="1186">
      <calculatedColumnFormula>$J13+$P13</calculatedColumnFormula>
    </tableColumn>
    <tableColumn id="14" xr3:uid="{3A619801-3E4C-4DE5-A80C-3FBD34FCA29E}" name="VVGK W" dataDxfId="1185">
      <calculatedColumnFormula array="1">SUMPRODUCT(Calculation!DI$11:DI$189*(Calculation!$FK$11:$FK$189=$B13)*IF($B$5=0,1,Calculation!$CA$11:$CA$189=$B$5))</calculatedColumnFormula>
    </tableColumn>
    <tableColumn id="23" xr3:uid="{1293764B-46D8-4828-B1FB-22E00F042D1F}" name="VVGK M" dataDxfId="1184">
      <calculatedColumnFormula array="1">SUMPRODUCT(Calculation!DJ$11:DJ$189*(Calculation!$FK$11:$FK$189=$B13)*IF($B$5=0,1,Calculation!$CA$11:$CA$189=$B$5))
+(SUMPRODUCT(Calculation!DS$11:DS$189*(Calculation!$FK$11:$FK$189=$B13)*IF($B$5=0,0,Calculation!$CB$11:$CB$189=$B$5))
+SUMPRODUCT(Calculation!DY$11:DY$189*(Calculation!$FK$11:$FK$189=$B13)*IF($B$5=0,0,Calculation!$CC$11:$CC$189=$B$5)))*IF(INDEX(Settings[],MATCH(3001,Settings[ID],0),2)="B",1,0)</calculatedColumnFormula>
    </tableColumn>
    <tableColumn id="22" xr3:uid="{DCB2F87B-BF78-47DD-9CE5-AF54473EBED5}" name="VVGK" dataDxfId="1183">
      <calculatedColumnFormula array="1">SUMPRODUCT(Calculation!DK$11:DK$189*(Calculation!$FK$11:$FK$189=$B13)*IF($B$5=0,1,Calculation!$CA$11:$CA$189=$B$5))
+(SUMPRODUCT(Calculation!DS$11:DS$189*(Calculation!$FK$11:$FK$189=$B13)*IF($B$5=0,0,Calculation!$CB$11:$CB$189=$B$5))
+SUMPRODUCT(Calculation!DY$11:DY$189*(Calculation!$FK$11:$FK$189=$B13)*IF($B$5=0,0,Calculation!$CC$11:$CC$189=$B$5)))*IF(INDEX(Settings[],MATCH(3001,Settings[ID],0),2)="B",0,1)</calculatedColumnFormula>
    </tableColumn>
    <tableColumn id="21" xr3:uid="{B40BC008-26EE-4C69-95E5-5942E9B5BD58}" name="Gew.W" dataDxfId="1182">
      <calculatedColumnFormula array="1">SUMPRODUCT(Calculation!DL$11:DL$189*(Calculation!$FK$11:$FK$189=$B13)*IF($B$5=0,1,Calculation!$CA$11:$CA$189=$B$5))</calculatedColumnFormula>
    </tableColumn>
    <tableColumn id="20" xr3:uid="{C94B810A-362E-4064-858B-816A524CCD02}" name="Gew. M" dataDxfId="1181">
      <calculatedColumnFormula array="1">SUMPRODUCT(Calculation!DM$11:DM$189*(Calculation!$FK$11:$FK$189=$B13)*IF($B$5=0,1,Calculation!$CA$11:$CA$189=$B$5))
+(SUMPRODUCT(Calculation!DT$11:DT$189*(Calculation!$FK$11:$FK$189=$B13)*IF($B$5=0,0,Calculation!$CB$11:$CB$189=$B$5))
+SUMPRODUCT(Calculation!DZ$11:DZ$189*(Calculation!$FK$11:$FK$189=$B13)*IF($B$5=0,0,Calculation!$CC$11:$CC$189=$B$5)))*IF(INDEX(Settings[],MATCH(3002,Settings[ID],0),2)="B",1,0)</calculatedColumnFormula>
    </tableColumn>
    <tableColumn id="15" xr3:uid="{26178E12-F421-4751-B4D7-9E9E1EBB6D6E}" name="Gewinn" dataDxfId="1180">
      <calculatedColumnFormula array="1">SUMPRODUCT(Calculation!DN$11:DN$189*(Calculation!$FK$11:$FK$189=$B13)*IF($B$5=0,1,Calculation!$CA$11:$CA$189=$B$5))
+(SUMPRODUCT(Calculation!DT$11:DT$189*(Calculation!$FK$11:$FK$189=$B13)*IF($B$5=0,0,Calculation!$CB$11:$CB$189=$B$5))
+SUMPRODUCT(Calculation!DZ$11:DZ$189*(Calculation!$FK$11:$FK$189=$B13)*IF($B$5=0,0,Calculation!$CC$11:$CC$189=$B$5)))*IF(INDEX(Settings[],MATCH(3002,Settings[ID],0),2)="B",0,1)</calculatedColumnFormula>
    </tableColumn>
    <tableColumn id="16" xr3:uid="{6588C294-8227-43DD-8081-A1CE160A610F}" name="Sonstige" dataDxfId="1179">
      <calculatedColumnFormula array="1">SUMPRODUCT(Calculation!DO$11:DO$189*(Calculation!$FK$11:$FK$189=$B13)*IF($B$5=0,1,Calculation!$CA$11:$CA$189=$B$5))
+SUMPRODUCT(Calculation!DU$11:DU$189*(Calculation!$FK$11:$FK$189=$B13)*IF($B$5=0,0,Calculation!$CB$11:$CB$189=$B$5))
+SUMPRODUCT(Calculation!EA$11:EA$189*(Calculation!$FK$11:$FK$189=$B13)*IF($B$5=0,0,Calculation!$CC$11:$CC$189=$B$5))</calculatedColumnFormula>
    </tableColumn>
    <tableColumn id="17" xr3:uid="{B6CC513B-FFCD-4E55-9398-6106FA47A4A9}" name="Preis" dataDxfId="1178">
      <calculatedColumnFormula>SUM($Q13:$X13)</calculatedColumnFormula>
    </tableColumn>
    <tableColumn id="35" xr3:uid="{CEECFEB4-B3BD-4088-BEBA-7986CC979243}" name="Auss." dataDxfId="1177">
      <calculatedColumnFormula array="1">SUMPRODUCT(Calculation!DQ$11:DQ$189*(Calculation!$FK$11:$FK$189=$B13)*IF($B$5=0,1,0))</calculatedColumnFormula>
    </tableColumn>
    <tableColumn id="36" xr3:uid="{91C5658E-B0C3-4465-A5BF-55DC54B561BD}" name="MGK2" dataDxfId="1176">
      <calculatedColumnFormula array="1">SUMPRODUCT(Calculation!DR$11:DR$189*(Calculation!$FK$11:$FK$189=$B13)*IF($B$5=0,1,0))</calculatedColumnFormula>
    </tableColumn>
    <tableColumn id="33" xr3:uid="{5DC123D6-5AC3-4B45-A8F8-8E9CAA9467ED}" name="VVGK3" dataDxfId="1175">
      <calculatedColumnFormula array="1">SUMPRODUCT(Calculation!DS$11:DS$189*(Calculation!$FK$11:$FK$189=$B13)*IF($B$5=0,1,0))</calculatedColumnFormula>
    </tableColumn>
    <tableColumn id="34" xr3:uid="{7AA564E4-380F-4546-8521-BA00252DAC33}" name="Gewinn4" dataDxfId="1174">
      <calculatedColumnFormula array="1">SUMPRODUCT(Calculation!DT$11:DT$189*(Calculation!$FK$11:$FK$189=$B13)*IF($B$5=0,1,0))</calculatedColumnFormula>
    </tableColumn>
    <tableColumn id="31" xr3:uid="{A4C92743-F56C-44D8-964B-97207385E2DD}" name="Sonstige5" dataDxfId="1173">
      <calculatedColumnFormula array="1">SUMPRODUCT(Calculation!DU$11:DU$189*(Calculation!$FK$11:$FK$189=$B13)*IF($B$5=0,1,0))</calculatedColumnFormula>
    </tableColumn>
    <tableColumn id="32" xr3:uid="{6FFFE69D-4592-4777-B00C-28E460AF400B}" name="Preis6" dataDxfId="1172">
      <calculatedColumnFormula>IF(SUM($Z13:$AD13)=0,0,SUM($Y13:$AD13))</calculatedColumnFormula>
    </tableColumn>
    <tableColumn id="29" xr3:uid="{0CAFB2C4-B165-4571-A59C-79984226FEB9}" name="Auss.7" dataDxfId="1171">
      <calculatedColumnFormula array="1">SUMPRODUCT(Calculation!DW$11:DW$189*(Calculation!$FK$11:$FK$189=$B13)*IF($B$5=0,1,0))</calculatedColumnFormula>
    </tableColumn>
    <tableColumn id="30" xr3:uid="{3653C125-7548-4604-834E-C32B422E40EE}" name="MGK8" dataDxfId="1170">
      <calculatedColumnFormula array="1">SUMPRODUCT(Calculation!DX$11:DX$189*(Calculation!$FK$11:$FK$189=$B13)*IF($B$5=0,1,0))</calculatedColumnFormula>
    </tableColumn>
    <tableColumn id="26" xr3:uid="{8224AEF4-9D67-4A5C-ABD9-EAB59D31A496}" name="VVGK9" dataDxfId="1169">
      <calculatedColumnFormula array="1">SUMPRODUCT(Calculation!DY$11:DY$189*(Calculation!$FK$11:$FK$189=$B13)*IF($B$5=0,1,0))</calculatedColumnFormula>
    </tableColumn>
    <tableColumn id="28" xr3:uid="{D0F5EF30-A78C-4F28-A3CA-810943134246}" name="Gewinn10" dataDxfId="1168">
      <calculatedColumnFormula array="1">SUMPRODUCT(Calculation!DZ$11:DZ$189*(Calculation!$FK$11:$FK$189=$B13)*IF($B$5=0,1,0))</calculatedColumnFormula>
    </tableColumn>
    <tableColumn id="24" xr3:uid="{A28DBC97-3622-4074-BCCA-F4A29531E56A}" name="Sonstige11" dataDxfId="1167">
      <calculatedColumnFormula array="1">SUMPRODUCT(Calculation!EA$11:EA$189*(Calculation!$FK$11:$FK$189=$B13)*IF($B$5=0,1,0))</calculatedColumnFormula>
    </tableColumn>
    <tableColumn id="25" xr3:uid="{FB224C48-8C9E-4449-860B-6CA288442519}" name="Preis12" dataDxfId="1166">
      <calculatedColumnFormula>IF(SUM(Cluster2[[Auss.7]:[Sonstige11]])=0,0,SUM($Y13:$AD13,$AF13:$AJ13))</calculatedColumnFormula>
    </tableColumn>
    <tableColumn id="27" xr3:uid="{10606E97-CC8A-4E69-B998-6ED469F46DF1}" name=" " dataDxfId="1165">
      <calculatedColumnFormula>IF($B$5=0,$AK13,$Y13)</calculatedColumnFormula>
    </tableColumn>
  </tableColumns>
  <tableStyleInfo name="Tabellenformat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4DCB7E4-2C79-4E21-8320-861FBDAEC3AC}" name="Cluster3" displayName="Cluster3" ref="B19:AL22" totalsRowShown="0" headerRowDxfId="1164" dataDxfId="1162" headerRowBorderDxfId="1163" tableBorderDxfId="1161" totalsRowBorderDxfId="1160">
  <tableColumns count="37">
    <tableColumn id="1" xr3:uid="{C9BA3B31-37A1-4722-B750-FE88DA7F0D34}" name="Cluster 3" dataDxfId="1159"/>
    <tableColumn id="2" xr3:uid="{B6691E31-92B7-4184-B51E-5B91D9C066B8}" name="Masch." dataDxfId="1158">
      <calculatedColumnFormula array="1">SUMPRODUCT(Calculation!CV$11:CV$189*(Calculation!$FL$11:$FL$189=$B20)*IF($B$5=0,1,Calculation!$CA$11:$CA$189=$B$5))</calculatedColumnFormula>
    </tableColumn>
    <tableColumn id="3" xr3:uid="{C79D0D6E-8781-498B-958A-9D21315C4BC1}" name="Rüsten" dataDxfId="1157">
      <calculatedColumnFormula array="1">SUMPRODUCT(Calculation!CW$11:CW$189*(Calculation!$FL$11:$FL$189=$B20)*IF($B$5=0,1,Calculation!$CA$11:$CA$189=$B$5))</calculatedColumnFormula>
    </tableColumn>
    <tableColumn id="4" xr3:uid="{667C2C04-061A-4D25-8FB4-C33B582D4C0D}" name="AK" dataDxfId="1156">
      <calculatedColumnFormula array="1">SUMPRODUCT(Calculation!CX$11:CX$189*(Calculation!$FL$11:$FL$189=$B20)*IF($B$5=0,1,Calculation!$CA$11:$CA$189=$B$5))</calculatedColumnFormula>
    </tableColumn>
    <tableColumn id="5" xr3:uid="{212FA162-2855-49C2-BB3B-002EF3D97C02}" name="Wzg." dataDxfId="1155">
      <calculatedColumnFormula array="1">SUMPRODUCT(Calculation!CY$11:CY$189*(Calculation!$FL$11:$FL$189=$B20)*IF($B$5=0,1,Calculation!$CA$11:$CA$189=$B$5))</calculatedColumnFormula>
    </tableColumn>
    <tableColumn id="19" xr3:uid="{109A7782-70C8-4E67-8CAE-E4647A42CCB5}" name="V.-Wzg." dataDxfId="1154">
      <calculatedColumnFormula array="1">SUMPRODUCT(Calculation!CZ$11:CZ$189*(Calculation!$FL$11:$FL$189=$B20)*IF($B$5=0,1,Calculation!$CA$11:$CA$189=$B$5))</calculatedColumnFormula>
    </tableColumn>
    <tableColumn id="6" xr3:uid="{508C355A-2A24-4B07-9BC4-E800C33E68EF}" name="Auss. W" dataDxfId="1153">
      <calculatedColumnFormula array="1">SUMPRODUCT(Calculation!DA$11:DA$189*(Calculation!$FL$11:$FL$189=$B20)*IF($B$5=0,1,Calculation!$CA$11:$CA$189=$B$5))</calculatedColumnFormula>
    </tableColumn>
    <tableColumn id="7" xr3:uid="{8809D46F-37F1-49BA-A0CF-DE88FCA4D788}" name="FGK" dataDxfId="1152">
      <calculatedColumnFormula array="1">SUMPRODUCT(Calculation!DB$11:DB$189*(Calculation!$FL$11:$FL$189=$B20)*IF($B$5=0,1,Calculation!$CA$11:$CA$189=$B$5))</calculatedColumnFormula>
    </tableColumn>
    <tableColumn id="8" xr3:uid="{0BA202ED-65FD-435F-8B2D-02AE986952D5}" name="FK" dataDxfId="1151">
      <calculatedColumnFormula>SUM($C20:$I20)</calculatedColumnFormula>
    </tableColumn>
    <tableColumn id="9" xr3:uid="{6F24E610-C1F6-4697-9A83-9D26ECC51B10}" name="D Mat." dataDxfId="1150">
      <calculatedColumnFormula array="1">SUMPRODUCT(Calculation!DD$11:DD$189*(Calculation!$FL$11:$FL$189=$B20)*IF($B$5=0,1,Calculation!$CA$11:$CA$189=$B$5))</calculatedColumnFormula>
    </tableColumn>
    <tableColumn id="10" xr3:uid="{C6A2972A-5379-4370-A718-BE8F414141E4}" name="Zukauf" dataDxfId="1149">
      <calculatedColumnFormula array="1">SUMPRODUCT(Calculation!DP$11:DP$189*(Calculation!$FL$11:$FL$189=$B20)*IF($B$5=0,0,Calculation!$CB$11:$CB$189=$B$5))
+SUMPRODUCT(Calculation!DP$11:DU$189*(Calculation!$FL$11:$FL$189=$B20)*IF($B$5=0,0,Calculation!$CC$11:$CC$189=$B$5))</calculatedColumnFormula>
    </tableColumn>
    <tableColumn id="11" xr3:uid="{09200F2A-FDD9-4CE7-8EE7-60A58AF9633D}" name="D. Mat" dataDxfId="1148">
      <calculatedColumnFormula>SUM($K20:$L20)</calculatedColumnFormula>
    </tableColumn>
    <tableColumn id="12" xr3:uid="{023CA878-FC54-4F64-8501-1D0D13D9E4EF}" name="Auss. M" dataDxfId="1147">
      <calculatedColumnFormula array="1">SUMPRODUCT(Calculation!DE$11:DE$189*(Calculation!$FL$11:$FL$189=$B20)*IF($B$5=0,1,Calculation!$CA$11:$CA$189=$B$5))
+SUMPRODUCT(Calculation!DQ$11:DQ$189*(Calculation!$FL$11:$FL$189=$B20)*IF($B$5=0,0,Calculation!$CB$11:$CB$189=$B$5))
+SUMPRODUCT(Calculation!DW$11:DW$189*(Calculation!$FL$11:$FL$189=$B20)*IF($B$5=0,0,Calculation!$CC$11:$CC$189=$B$5))</calculatedColumnFormula>
    </tableColumn>
    <tableColumn id="36" xr3:uid="{21378EF8-599C-435F-81DB-605CABDE9CC7}" name="MGK" dataDxfId="1146">
      <calculatedColumnFormula array="1">SUMPRODUCT(Calculation!DF$11:DF$189*(Calculation!$FL$11:$FL$189=$B20)*IF($B$5=0,1,Calculation!$CA$11:$CA$189=$B$5))
+SUMPRODUCT(Calculation!DR$11:DR$189*(Calculation!$FL$11:$FL$189=$B20)*IF($B$5=0,0,Calculation!$CB$11:$CB$189=$B$5))
+SUMPRODUCT(Calculation!DX$11:DX$189*(Calculation!$FL$11:$FL$189=$B20)*IF($B$5=0,0,Calculation!$CC$11:$CC$189=$B$5))</calculatedColumnFormula>
    </tableColumn>
    <tableColumn id="37" xr3:uid="{48F56E99-18D3-48AB-93EF-390CBE09D31E}" name="MK" dataDxfId="1145">
      <calculatedColumnFormula>SUM($M20:$O20)</calculatedColumnFormula>
    </tableColumn>
    <tableColumn id="13" xr3:uid="{2ECA11EB-5D34-49B3-88D6-7FC862D2605F}" name="HK" dataDxfId="1144">
      <calculatedColumnFormula>$J20+$P20</calculatedColumnFormula>
    </tableColumn>
    <tableColumn id="14" xr3:uid="{A1EE6844-55A5-4891-8C1A-2BF0C7FA124F}" name="VVGK W" dataDxfId="1143">
      <calculatedColumnFormula array="1">SUMPRODUCT(Calculation!DI$11:DI$189*(Calculation!$FL$11:$FL$189=$B20)*IF($B$5=0,1,Calculation!$CA$11:$CA$189=$B$5))</calculatedColumnFormula>
    </tableColumn>
    <tableColumn id="23" xr3:uid="{09C5113D-9299-4242-AC68-54D09EAA7848}" name="VVGK M" dataDxfId="1142">
      <calculatedColumnFormula array="1">SUMPRODUCT(Calculation!DJ$11:DJ$189*(Calculation!$FL$11:$FL$189=$B20)*IF($B$5=0,1,Calculation!$CA$11:$CA$189=$B$5))
+(SUMPRODUCT(Calculation!DS$11:DS$189*(Calculation!$FL$11:$FL$189=$B20)*IF($B$5=0,0,Calculation!$CB$11:$CB$189=$B$5))
+SUMPRODUCT(Calculation!DY$11:DY$189*(Calculation!$FL$11:$FL$189=$B20)*IF($B$5=0,0,Calculation!$CC$11:$CC$189=$B$5)))*IF(INDEX(Settings[],MATCH(3001,Settings[ID],0),2)="B",1,0)</calculatedColumnFormula>
    </tableColumn>
    <tableColumn id="22" xr3:uid="{C9472EA1-BF73-4F71-B366-5A4F0E7E7110}" name="VVGK" dataDxfId="1141">
      <calculatedColumnFormula array="1">SUMPRODUCT(Calculation!DK$11:DK$189*(Calculation!$FL$11:$FL$189=$B20)*IF($B$5=0,1,Calculation!$CA$11:$CA$189=$B$5))
+(SUMPRODUCT(Calculation!DS$11:DS$189*(Calculation!$FL$11:$FL$189=$B20)*IF($B$5=0,0,Calculation!$CB$11:$CB$189=$B$5))
+SUMPRODUCT(Calculation!DY$11:DY$189*(Calculation!$FL$11:$FL$189=$B20)*IF($B$5=0,0,Calculation!$CC$11:$CC$189=$B$5)))*IF(INDEX(Settings[],MATCH(3001,Settings[ID],0),2)="B",0,1)</calculatedColumnFormula>
    </tableColumn>
    <tableColumn id="21" xr3:uid="{85CF36C1-E2F7-4B75-A9F0-DF3EB7B6DD83}" name="Gew.W" dataDxfId="1140">
      <calculatedColumnFormula array="1">SUMPRODUCT(Calculation!DL$11:DL$189*(Calculation!$FL$11:$FL$189=$B20)*IF($B$5=0,1,Calculation!$CA$11:$CA$189=$B$5))</calculatedColumnFormula>
    </tableColumn>
    <tableColumn id="20" xr3:uid="{1C2A3245-88D4-447E-B5E0-C61959E8826A}" name="Gew. M" dataDxfId="1139">
      <calculatedColumnFormula array="1">SUMPRODUCT(Calculation!DM$11:DM$189*(Calculation!$FL$11:$FL$189=$B20)*IF($B$5=0,1,Calculation!$CA$11:$CA$189=$B$5))
+(SUMPRODUCT(Calculation!DT$11:DT$189*(Calculation!$FL$11:$FL$189=$B20)*IF($B$5=0,0,Calculation!$CB$11:$CB$189=$B$5))
+SUMPRODUCT(Calculation!DZ$11:DZ$189*(Calculation!$FL$11:$FL$189=$B20)*IF($B$5=0,0,Calculation!$CC$11:$CC$189=$B$5)))*IF(INDEX(Settings[],MATCH(3002,Settings[ID],0),2)="B",1,0)</calculatedColumnFormula>
    </tableColumn>
    <tableColumn id="15" xr3:uid="{DB7CE807-EAAA-4434-99DE-4B896F372CDF}" name="Gewinn" dataDxfId="1138">
      <calculatedColumnFormula array="1">SUMPRODUCT(Calculation!DN$11:DN$189*(Calculation!$FL$11:$FL$189=$B20)*IF($B$5=0,1,Calculation!$CA$11:$CA$189=$B$5))
+(SUMPRODUCT(Calculation!DT$11:DT$189*(Calculation!$FL$11:$FL$189=$B20)*IF($B$5=0,0,Calculation!$CB$11:$CB$189=$B$5))
+SUMPRODUCT(Calculation!DZ$11:DZ$189*(Calculation!$FL$11:$FL$189=$B20)*IF($B$5=0,0,Calculation!$CC$11:$CC$189=$B$5)))*IF(INDEX(Settings[],MATCH(3002,Settings[ID],0),2)="B",0,1)</calculatedColumnFormula>
    </tableColumn>
    <tableColumn id="16" xr3:uid="{9A93E5B8-B2CE-427D-87B0-05F67FCAC3D2}" name="Sonstige" dataDxfId="1137">
      <calculatedColumnFormula array="1">SUMPRODUCT(Calculation!DO$11:DO$189*(Calculation!$FL$11:$FL$189=$B20)*IF($B$5=0,1,Calculation!$CA$11:$CA$189=$B$5))
+SUMPRODUCT(Calculation!DU$11:DU$189*(Calculation!$FL$11:$FL$189=$B20)*IF($B$5=0,0,Calculation!$CB$11:$CB$189=$B$5))
+SUMPRODUCT(Calculation!EA$11:EA$189*(Calculation!$FL$11:$FL$189=$B20)*IF($B$5=0,0,Calculation!$CC$11:$CC$189=$B$5))</calculatedColumnFormula>
    </tableColumn>
    <tableColumn id="17" xr3:uid="{63A9124B-C58B-4B6D-8F67-C75B703626EE}" name="Preis" dataDxfId="1136">
      <calculatedColumnFormula>SUM($Q20:$X20)</calculatedColumnFormula>
    </tableColumn>
    <tableColumn id="35" xr3:uid="{9AA2C5E4-39E5-499A-A9D9-9B366002460C}" name="Auss." dataDxfId="1135">
      <calculatedColumnFormula array="1">SUMPRODUCT(Calculation!DQ$11:DQ$189*(Calculation!$FL$11:$FL$189=$B20)*IF($B$5=0,1,0))</calculatedColumnFormula>
    </tableColumn>
    <tableColumn id="34" xr3:uid="{6B947F86-FEFF-44C8-994F-DEC5E28B4A39}" name="MGK2" dataDxfId="1134">
      <calculatedColumnFormula array="1">SUMPRODUCT(Calculation!DR$11:DR$189*(Calculation!$FL$11:$FL$189=$B20)*IF($B$5=0,1,0))</calculatedColumnFormula>
    </tableColumn>
    <tableColumn id="33" xr3:uid="{BFD14D0F-9B5F-4958-8192-20F3A61D3D38}" name="VVGK3" dataDxfId="1133">
      <calculatedColumnFormula array="1">SUMPRODUCT(Calculation!DS$11:DS$189*(Calculation!$FL$11:$FL$189=$B20)*IF($B$5=0,1,0))</calculatedColumnFormula>
    </tableColumn>
    <tableColumn id="32" xr3:uid="{4FABD92C-82DF-4B94-A898-C9D7CF45BB99}" name="Gewinn4" dataDxfId="1132">
      <calculatedColumnFormula array="1">SUMPRODUCT(Calculation!DT$11:DT$189*(Calculation!$FL$11:$FL$189=$B20)*IF($B$5=0,1,0))</calculatedColumnFormula>
    </tableColumn>
    <tableColumn id="31" xr3:uid="{3E3A2A1A-2D20-488D-BE7F-F2ADDDC90B64}" name="Sonstige5" dataDxfId="1131">
      <calculatedColumnFormula array="1">SUMPRODUCT(Calculation!DU$11:DU$189*(Calculation!$FL$11:$FL$189=$B20)*IF($B$5=0,1,0))</calculatedColumnFormula>
    </tableColumn>
    <tableColumn id="30" xr3:uid="{23EC578B-5C35-4BAD-9F29-A46DD54BF5BA}" name="Preis6" dataDxfId="1130">
      <calculatedColumnFormula>IF(SUM($Z20:$AD20)=0,0,SUM($Y20:$AD20))</calculatedColumnFormula>
    </tableColumn>
    <tableColumn id="29" xr3:uid="{97556D12-9DD6-4075-BA84-51719A18CFF9}" name="Auss.7" dataDxfId="1129">
      <calculatedColumnFormula array="1">SUMPRODUCT(Calculation!DW$11:DW$189*(Calculation!$FL$11:$FL$189=$B20)*IF($B$5=0,1,0))</calculatedColumnFormula>
    </tableColumn>
    <tableColumn id="28" xr3:uid="{80D717DB-A6B2-4287-9573-54B9D382F568}" name="MGK8" dataDxfId="1128">
      <calculatedColumnFormula array="1">SUMPRODUCT(Calculation!DX$11:DX$189*(Calculation!$FL$11:$FL$189=$B20)*IF($B$5=0,1,0))</calculatedColumnFormula>
    </tableColumn>
    <tableColumn id="26" xr3:uid="{342CB0EC-F19A-4D30-B539-1852122E31B1}" name="VVGK9" dataDxfId="1127">
      <calculatedColumnFormula array="1">SUMPRODUCT(Calculation!DY$11:DY$189*(Calculation!$FL$11:$FL$189=$B20)*IF($B$5=0,1,0))</calculatedColumnFormula>
    </tableColumn>
    <tableColumn id="25" xr3:uid="{3B99D701-FA73-4AAE-A4D6-D1EF18C2C4FE}" name="Gewinn10" dataDxfId="1126">
      <calculatedColumnFormula array="1">SUMPRODUCT(Calculation!DZ$11:DZ$189*(Calculation!$FL$11:$FL$189=$B20)*IF($B$5=0,1,0))</calculatedColumnFormula>
    </tableColumn>
    <tableColumn id="24" xr3:uid="{19C54E0A-8195-45B1-B917-A247E6FAAAFA}" name="Sonstige11" dataDxfId="1125">
      <calculatedColumnFormula array="1">SUMPRODUCT(Calculation!EA$11:EA$189*(Calculation!$FL$11:$FL$189=$B20)*IF($B$5=0,1,0))</calculatedColumnFormula>
    </tableColumn>
    <tableColumn id="18" xr3:uid="{AA063C5A-B81F-4F60-9152-ADE0F128C769}" name="Preis12" dataDxfId="1124">
      <calculatedColumnFormula>IF(SUM(Cluster3[[Auss.7]:[Sonstige11]])=0,0,SUM($Y20:$AD20,$AF20:$AJ20))</calculatedColumnFormula>
    </tableColumn>
    <tableColumn id="27" xr3:uid="{C143D777-56CC-43BA-B6B6-6854A6FE1977}" name=" " dataDxfId="1123">
      <calculatedColumnFormula>IF($B$5=0,$AK20,$Y20)</calculatedColumnFormula>
    </tableColumn>
  </tableColumns>
  <tableStyleInfo name="Tabellenformat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1D03520B-D132-4E4E-BDB7-4D2095F7945A}" name="ClusterSupplyChain" displayName="ClusterSupplyChain" ref="B26:AL30" totalsRowShown="0" headerRowDxfId="1122" dataDxfId="1120" headerRowBorderDxfId="1121" tableBorderDxfId="1119" totalsRowBorderDxfId="1118">
  <tableColumns count="37">
    <tableColumn id="1" xr3:uid="{FC1473FA-70DD-4754-9A46-AAE42A5662F5}" name="Supply chain" dataDxfId="1117"/>
    <tableColumn id="2" xr3:uid="{F0073339-EF3B-43F7-B258-A8D3C6A594B6}" name="Masch." dataDxfId="1116">
      <calculatedColumnFormula array="1">SUMPRODUCT(Calculation!CV$11:CV$189*(Calculation!$BZ$11:$BZ$189=$B27)*IF($B$5=0,1,Calculation!$CA$11:$CA$189=$B$5))</calculatedColumnFormula>
    </tableColumn>
    <tableColumn id="3" xr3:uid="{21B5D809-1C51-4816-A7C3-6A564766FC49}" name="Rüsten" dataDxfId="1115">
      <calculatedColumnFormula array="1">SUMPRODUCT(Calculation!CW$11:CW$189*(Calculation!$BZ$11:$BZ$189=$B27)*IF($B$5=0,1,Calculation!$CA$11:$CA$189=$B$5))</calculatedColumnFormula>
    </tableColumn>
    <tableColumn id="4" xr3:uid="{3950C2B7-E892-41CF-A2C9-BB2F331E1B14}" name="AK" dataDxfId="1114">
      <calculatedColumnFormula array="1">SUMPRODUCT(Calculation!CX$11:CX$189*(Calculation!$BZ$11:$BZ$189=$B27)*IF($B$5=0,1,Calculation!$CA$11:$CA$189=$B$5))</calculatedColumnFormula>
    </tableColumn>
    <tableColumn id="5" xr3:uid="{960AC10E-BD9D-459D-A0C2-4CDC609A2082}" name="Wzg." dataDxfId="1113">
      <calculatedColumnFormula array="1">SUMPRODUCT(Calculation!CY$11:CY$189*(Calculation!$BZ$11:$BZ$189=$B27)*IF($B$5=0,1,Calculation!$CA$11:$CA$189=$B$5))</calculatedColumnFormula>
    </tableColumn>
    <tableColumn id="19" xr3:uid="{E40DA58B-4013-4EC7-87F8-6C65CD297F60}" name="V.-Wzg." dataDxfId="1112">
      <calculatedColumnFormula array="1">SUMPRODUCT(Calculation!CZ$11:CZ$189*(Calculation!$BZ$11:$BZ$189=$B27)*IF($B$5=0,1,Calculation!$CA$11:$CA$189=$B$5))</calculatedColumnFormula>
    </tableColumn>
    <tableColumn id="6" xr3:uid="{ADBCA8C4-1601-4B47-84EE-E81C7F0D4ACF}" name="Auss. W" dataDxfId="1111">
      <calculatedColumnFormula array="1">SUMPRODUCT(Calculation!DA$11:DA$189*(Calculation!$BZ$11:$BZ$189=$B27)*IF($B$5=0,1,Calculation!$CA$11:$CA$189=$B$5))</calculatedColumnFormula>
    </tableColumn>
    <tableColumn id="7" xr3:uid="{03710520-094F-4811-8C76-724EDD2CFEDF}" name="FGK" dataDxfId="1110">
      <calculatedColumnFormula array="1">SUMPRODUCT(Calculation!DB$11:DB$189*(Calculation!$BZ$11:$BZ$189=$B27)*IF($B$5=0,1,Calculation!$CA$11:$CA$189=$B$5))</calculatedColumnFormula>
    </tableColumn>
    <tableColumn id="8" xr3:uid="{2E49BE18-CC77-48F6-AA49-E84C0C548BE4}" name="FK" dataDxfId="1109">
      <calculatedColumnFormula>SUM($C27:$I27)</calculatedColumnFormula>
    </tableColumn>
    <tableColumn id="9" xr3:uid="{1444E656-E0BF-42C7-B550-C5D11456AABA}" name="D Mat." dataDxfId="1108">
      <calculatedColumnFormula array="1">SUMPRODUCT(Calculation!DD$11:DD$189*(Calculation!$BZ$11:$BZ$189=$B27)*IF($B$5=0,1,Calculation!$CA$11:$CA$189=$B$5))</calculatedColumnFormula>
    </tableColumn>
    <tableColumn id="10" xr3:uid="{6C50813B-4DB6-46F7-86AE-10B703C87776}" name="Zukauf" dataDxfId="1107">
      <calculatedColumnFormula array="1">SUMPRODUCT(Calculation!DP$11:DP$189*(Calculation!$BZ$11:$BZ$189=$B27)*IF($B$5=0,0,Calculation!$CB$11:$CB$189=$B$5))
+SUMPRODUCT(Calculation!DP$11:DU$189*(Calculation!$BZ$11:$BZ$189=$B27)*IF($B$5=0,0,Calculation!$CC$11:$CC$189=$B$5))</calculatedColumnFormula>
    </tableColumn>
    <tableColumn id="11" xr3:uid="{FA656454-1442-4210-8741-292A13AF737D}" name="D. Mat" dataDxfId="1106">
      <calculatedColumnFormula>SUM($K27:$L27)</calculatedColumnFormula>
    </tableColumn>
    <tableColumn id="12" xr3:uid="{45075963-101F-433E-A86D-EB42D10610EE}" name="Auss. M" dataDxfId="1105">
      <calculatedColumnFormula array="1">SUMPRODUCT(Calculation!DE$11:DE$189*(Calculation!$BZ$11:$BZ$189=$B27)*IF($B$5=0,1,Calculation!$CA$11:$CA$189=$B$5))
+SUMPRODUCT(Calculation!DQ$11:DQ$189*(Calculation!$BZ$11:$BZ$189=$B27)*IF($B$5=0,0,Calculation!$CB$11:$CB$189=$B$5))
+SUMPRODUCT(Calculation!DW$11:DW$189*(Calculation!$BZ$11:$BZ$189=$B27)*IF($B$5=0,0,Calculation!$CC$11:$CC$189=$B$5))</calculatedColumnFormula>
    </tableColumn>
    <tableColumn id="36" xr3:uid="{672F378B-C2CC-4325-91D1-EAB165B65C56}" name="MGK" dataDxfId="1104">
      <calculatedColumnFormula array="1">SUMPRODUCT(Calculation!DF$11:DF$189*(Calculation!$BZ$11:$BZ$189=$B27)*IF($B$5=0,1,Calculation!$CA$11:$CA$189=$B$5))
+SUMPRODUCT(Calculation!DR$11:DR$189*(Calculation!$BZ$11:$BZ$189=$B27)*IF($B$5=0,0,Calculation!$CB$11:$CB$189=$B$5))
+SUMPRODUCT(Calculation!DX$11:DX$189*(Calculation!$BZ$11:$BZ$189=$B27)*IF($B$5=0,0,Calculation!$CC$11:$CC$189=$B$5))</calculatedColumnFormula>
    </tableColumn>
    <tableColumn id="37" xr3:uid="{04FB4C9A-A9C2-44C6-A289-308E8BD2C2FD}" name="MK" dataDxfId="1103">
      <calculatedColumnFormula>SUM($M27:$O27)</calculatedColumnFormula>
    </tableColumn>
    <tableColumn id="13" xr3:uid="{D5537069-DA9A-46A7-87FC-325D8FD8EE9C}" name="HK" dataDxfId="1102">
      <calculatedColumnFormula>$J27+$P27</calculatedColumnFormula>
    </tableColumn>
    <tableColumn id="14" xr3:uid="{FD381166-27D3-4601-931D-54ABEB0ED84F}" name="VVGK W" dataDxfId="1101">
      <calculatedColumnFormula array="1">SUMPRODUCT(Calculation!DI$11:DI$189*(Calculation!$BZ$11:$BZ$189=$B27)*IF($B$5=0,1,Calculation!$CA$11:$CA$189=$B$5))</calculatedColumnFormula>
    </tableColumn>
    <tableColumn id="23" xr3:uid="{C6D2AFC5-2BCB-4286-A6C0-095F5FFC8F3F}" name="VVGK M" dataDxfId="1100">
      <calculatedColumnFormula array="1">SUMPRODUCT(Calculation!DJ$11:DJ$189*(Calculation!$BZ$11:$BZ$189=$B27)*IF($B$5=0,1,Calculation!$CA$11:$CA$189=$B$5))
+(SUMPRODUCT(Calculation!DS$11:DS$189*(Calculation!$BZ$11:$BZ$189=$B27)*IF($B$5=0,0,Calculation!$CB$11:$CB$189=$B$5))
+SUMPRODUCT(Calculation!DY$11:DY$189*(Calculation!$BZ$11:$BZ$189=$B27)*IF($B$5=0,0,Calculation!$CC$11:$CC$189=$B$5)))*IF(INDEX(Settings[],MATCH(3001,Settings[ID],0),2)="B",1,0)</calculatedColumnFormula>
    </tableColumn>
    <tableColumn id="22" xr3:uid="{DEB54A97-DA1D-43B7-9EB5-490ED6FDD08C}" name="VVGK" dataDxfId="1099">
      <calculatedColumnFormula array="1">SUMPRODUCT(Calculation!DK$11:DK$189*(Calculation!$BZ$11:$BZ$189=$B27)*IF($B$5=0,1,Calculation!$CA$11:$CA$189=$B$5))
+(SUMPRODUCT(Calculation!DS$11:DS$189*(Calculation!$BZ$11:$BZ$189=$B27)*IF($B$5=0,0,Calculation!$CB$11:$CB$189=$B$5))
+SUMPRODUCT(Calculation!DY$11:DY$189*(Calculation!$BZ$11:$BZ$189=$B27)*IF($B$5=0,0,Calculation!$CC$11:$CC$189=$B$5)))*IF(INDEX(Settings[],MATCH(3001,Settings[ID],0),2)="B",0,1)</calculatedColumnFormula>
    </tableColumn>
    <tableColumn id="21" xr3:uid="{AB9497E9-1CCE-4635-A3DB-1F7202BB83F1}" name="Gew.W" dataDxfId="1098">
      <calculatedColumnFormula array="1">SUMPRODUCT(Calculation!DL$11:DL$189*(Calculation!$BZ$11:$BZ$189=$B27)*IF($B$5=0,1,Calculation!$CA$11:$CA$189=$B$5))</calculatedColumnFormula>
    </tableColumn>
    <tableColumn id="20" xr3:uid="{602B25B2-3CEB-4427-88B8-3B7EF0FD9B9E}" name="Gew. M" dataDxfId="1097">
      <calculatedColumnFormula array="1">SUMPRODUCT(Calculation!DM$11:DM$189*(Calculation!$BZ$11:$BZ$189=$B27)*IF($B$5=0,1,Calculation!$CA$11:$CA$189=$B$5))
+(SUMPRODUCT(Calculation!DT$11:DT$189*(Calculation!$BZ$11:$BZ$189=$B27)*IF($B$5=0,0,Calculation!$CB$11:$CB$189=$B$5))
+SUMPRODUCT(Calculation!DZ$11:DZ$189*(Calculation!$BZ$11:$BZ$189=$B27)*IF($B$5=0,0,Calculation!$CC$11:$CC$189=$B$5)))*IF(INDEX(Settings[],MATCH(3002,Settings[ID],0),2)="B",1,0)</calculatedColumnFormula>
    </tableColumn>
    <tableColumn id="15" xr3:uid="{EF0070C5-F96C-4FDA-ABD5-B922251A3BF9}" name="Gewinn" dataDxfId="1096">
      <calculatedColumnFormula array="1">SUMPRODUCT(Calculation!DN$11:DN$189*(Calculation!$BZ$11:$BZ$189=$B27)*IF($B$5=0,1,Calculation!$CA$11:$CA$189=$B$5))
+(SUMPRODUCT(Calculation!DT$11:DT$189*(Calculation!$BZ$11:$BZ$189=$B27)*IF($B$5=0,0,Calculation!$CB$11:$CB$189=$B$5))
+SUMPRODUCT(Calculation!DZ$11:DZ$189*(Calculation!$BZ$11:$BZ$189=$B27)*IF($B$5=0,0,Calculation!$CC$11:$CC$189=$B$5)))*IF(INDEX(Settings[],MATCH(3002,Settings[ID],0),2)="B",0,1)</calculatedColumnFormula>
    </tableColumn>
    <tableColumn id="16" xr3:uid="{D9AF5069-3983-48CC-9048-EC60283BF419}" name="Sonstige" dataDxfId="1095">
      <calculatedColumnFormula array="1">SUMPRODUCT(Calculation!DO$11:DO$189*(Calculation!$BZ$11:$BZ$189=$B27)*IF($B$5=0,1,Calculation!$CA$11:$CA$189=$B$5))
+SUMPRODUCT(Calculation!DU$11:DU$189*(Calculation!$BZ$11:$BZ$189=$B27)*IF($B$5=0,0,Calculation!$CB$11:$CB$189=$B$5))
+SUMPRODUCT(Calculation!EA$11:EA$189*(Calculation!$BZ$11:$BZ$189=$B27)*IF($B$5=0,0,Calculation!$CC$11:$CC$189=$B$5))</calculatedColumnFormula>
    </tableColumn>
    <tableColumn id="17" xr3:uid="{61B6ACCE-7741-41E3-9FA1-9C76C3341C56}" name="Preis" dataDxfId="1094">
      <calculatedColumnFormula>SUM($Q27:$X27)</calculatedColumnFormula>
    </tableColumn>
    <tableColumn id="35" xr3:uid="{AB77B11E-1C3D-4463-B258-054A33183C3E}" name="Auss." dataDxfId="1093">
      <calculatedColumnFormula array="1">SUMPRODUCT(Calculation!DQ$11:DQ$189*(Calculation!$BZ$11:$BZ$189=$B27)*IF($B$5=0,1,0))</calculatedColumnFormula>
    </tableColumn>
    <tableColumn id="34" xr3:uid="{FDF3FFA4-FA4D-4D01-A9DF-EA461006F630}" name="MGK2" dataDxfId="1092">
      <calculatedColumnFormula array="1">SUMPRODUCT(Calculation!DR$11:DR$189*(Calculation!$BZ$11:$BZ$189=$B27)*IF($B$5=0,1,0))</calculatedColumnFormula>
    </tableColumn>
    <tableColumn id="33" xr3:uid="{234FF143-B3E3-46CC-96F5-D352A00F8DC1}" name="VVGK3" dataDxfId="1091">
      <calculatedColumnFormula array="1">SUMPRODUCT(Calculation!DS$11:DS$189*(Calculation!$BZ$11:$BZ$189=$B27)*IF($B$5=0,1,0))</calculatedColumnFormula>
    </tableColumn>
    <tableColumn id="32" xr3:uid="{E05C3B29-5205-4529-BFE4-0BEB0FE6CD89}" name="Gewinn4" dataDxfId="1090">
      <calculatedColumnFormula array="1">SUMPRODUCT(Calculation!DT$11:DT$189*(Calculation!$BZ$11:$BZ$189=$B27)*IF($B$5=0,1,0))</calculatedColumnFormula>
    </tableColumn>
    <tableColumn id="31" xr3:uid="{8CD403B3-02B5-4C49-B9F6-E1D756A7E66E}" name="Sonstige5" dataDxfId="1089">
      <calculatedColumnFormula array="1">SUMPRODUCT(Calculation!DU$11:DU$189*(Calculation!$BZ$11:$BZ$189=$B27)*IF($B$5=0,1,0))</calculatedColumnFormula>
    </tableColumn>
    <tableColumn id="30" xr3:uid="{FFA24381-76F5-49FB-AA16-07CFF9E7BB3B}" name="Preis6" dataDxfId="1088">
      <calculatedColumnFormula>IF(SUM($Z27:$AD27)=0,0,SUM($Y27:$AD27))</calculatedColumnFormula>
    </tableColumn>
    <tableColumn id="29" xr3:uid="{03D16DBC-C5AD-4556-BB83-8717D102273E}" name="Auss.7" dataDxfId="1087">
      <calculatedColumnFormula array="1">SUMPRODUCT(Calculation!DW$11:DW$189*(Calculation!$BZ$11:$BZ$189=$B27)*IF($B$5=0,1,0))</calculatedColumnFormula>
    </tableColumn>
    <tableColumn id="28" xr3:uid="{A868B757-E47F-49FF-9879-09DE7493B3A9}" name="MGK8" dataDxfId="1086">
      <calculatedColumnFormula array="1">SUMPRODUCT(Calculation!DX$11:DX$189*(Calculation!$BZ$11:$BZ$189=$B27)*IF($B$5=0,1,0))</calculatedColumnFormula>
    </tableColumn>
    <tableColumn id="26" xr3:uid="{2F716448-D6B9-464C-B293-D9B8E3D47654}" name="VVGK9" dataDxfId="1085">
      <calculatedColumnFormula array="1">SUMPRODUCT(Calculation!DY$11:DY$189*(Calculation!$BZ$11:$BZ$189=$B27)*IF($B$5=0,1,0))</calculatedColumnFormula>
    </tableColumn>
    <tableColumn id="25" xr3:uid="{BD4B38E1-9081-4E21-B561-529234A1CC9A}" name="Gewinn10" dataDxfId="1084">
      <calculatedColumnFormula array="1">SUMPRODUCT(Calculation!DZ$11:DZ$189*(Calculation!$BZ$11:$BZ$189=$B27)*IF($B$5=0,1,0))</calculatedColumnFormula>
    </tableColumn>
    <tableColumn id="24" xr3:uid="{DDFF73D5-40BE-4896-9652-A4EC646F0F97}" name="Sonstige11" dataDxfId="1083">
      <calculatedColumnFormula array="1">SUMPRODUCT(Calculation!EA$11:EA$189*(Calculation!$BZ$11:$BZ$189=$B27)*IF($B$5=0,1,0))</calculatedColumnFormula>
    </tableColumn>
    <tableColumn id="18" xr3:uid="{ED343773-5ECE-4157-8AB8-717329D653CC}" name="Preis12" dataDxfId="1082">
      <calculatedColumnFormula>IF(SUM(ClusterSupplyChain[[Auss.7]:[Sonstige11]])=0,0,SUM($Y27:$AD27,$AF27:$AJ27))</calculatedColumnFormula>
    </tableColumn>
    <tableColumn id="27" xr3:uid="{C0884D60-BFE0-45A8-9BEB-D565DD01BA2D}" name=" " dataDxfId="1081">
      <calculatedColumnFormula>IF($B$5=0,$AK27,$Y27)</calculatedColumnFormula>
    </tableColumn>
  </tableColumns>
  <tableStyleInfo name="Tabellenformat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MHR" displayName="MHR" comment="MHR" ref="B6:AX16" totalsRowShown="0" headerRowDxfId="1080" dataDxfId="1078" headerRowBorderDxfId="1079" tableBorderDxfId="1077" totalsRowBorderDxfId="1076">
  <autoFilter ref="B6:AX16" xr:uid="{A9F5E6A4-19BB-4E5F-8342-C1334FE62C4A}"/>
  <tableColumns count="49">
    <tableColumn id="1" xr3:uid="{00000000-0010-0000-0400-000001000000}" name="Bezeichnung" dataDxfId="1075"/>
    <tableColumn id="2" xr3:uid="{00000000-0010-0000-0400-000002000000}" name="Invest (Input)" dataDxfId="1074"/>
    <tableColumn id="3" xr3:uid="{00000000-0010-0000-0400-000003000000}" name="kalk. AfA" dataDxfId="1073"/>
    <tableColumn id="4" xr3:uid="{00000000-0010-0000-0400-000004000000}" name="Strom" dataDxfId="1072"/>
    <tableColumn id="5" xr3:uid="{00000000-0010-0000-0400-000005000000}" name="Faktor_x000a_Strom" dataDxfId="1071"/>
    <tableColumn id="6" xr3:uid="{E880C28F-E5FB-452D-8640-DC60314C8933}" name="Gas" dataDxfId="1070"/>
    <tableColumn id="8" xr3:uid="{09B1EB5F-4C53-4D59-8667-435D6DCD8CD0}" name="Faktor_x000a_Gas" dataDxfId="1069"/>
    <tableColumn id="7" xr3:uid="{00000000-0010-0000-0400-000007000000}" name="Fläche" dataDxfId="1068"/>
    <tableColumn id="9" xr3:uid="{00000000-0010-0000-0400-000009000000}" name="Verbrauchsmaterial" dataDxfId="1067"/>
    <tableColumn id="10" xr3:uid="{00000000-0010-0000-0400-00000A000000}" name="Instandhaltung" dataDxfId="1066"/>
    <tableColumn id="11" xr3:uid="{00000000-0010-0000-0400-00000B000000}" name="Indirektes Personal H" dataDxfId="1065"/>
    <tableColumn id="56" xr3:uid="{638AEC64-ACD4-4BF9-9520-FEE806F702AF}" name="Indirektes Personal U" dataDxfId="1064"/>
    <tableColumn id="69" xr3:uid="{00000000-0010-0000-0400-000045000000}" name="Allgemeine Fläche" dataDxfId="1063"/>
    <tableColumn id="62" xr3:uid="{00000000-0010-0000-0400-00003E000000}" name="Hilfsgeräte" dataDxfId="1062"/>
    <tableColumn id="12" xr3:uid="{00000000-0010-0000-0400-00000C000000}" name="Energie Hilfsgeräte" dataDxfId="1061"/>
    <tableColumn id="13" xr3:uid="{00000000-0010-0000-0400-00000D000000}" name="Allgemein" dataDxfId="1060"/>
    <tableColumn id="28" xr3:uid="{EDA04BD6-2D62-44ED-8B4B-4B3B18583B79}" name=" " dataDxfId="1059"/>
    <tableColumn id="27" xr3:uid="{182825E9-2D94-4187-8159-EE35C213E0A6}" name="  " dataDxfId="1058"/>
    <tableColumn id="26" xr3:uid="{AC6559C7-53B8-4B27-B674-3A5801FADFA3}" name="   " dataDxfId="1057"/>
    <tableColumn id="73" xr3:uid="{00000000-0010-0000-0400-000049000000}" name="Invest" dataDxfId="1056">
      <calculatedColumnFormula>MHR[[#This Row],[Invest (Input)]]*ExchangeRate</calculatedColumnFormula>
    </tableColumn>
    <tableColumn id="79" xr3:uid="{00000000-0010-0000-0400-00004F000000}" name="mittl. Strom" dataDxfId="1055">
      <calculatedColumnFormula>MHR[[#This Row],[Strom]]*MHR[[#This Row],[Faktor
Strom]]</calculatedColumnFormula>
    </tableColumn>
    <tableColumn id="24" xr3:uid="{672A3F46-BAD5-4BD1-BB7A-43DAF6173916}" name="mittl. Gas" dataDxfId="1054">
      <calculatedColumnFormula>MHR[[#This Row],[Gas]]*MHR[[#This Row],[Faktor
Gas]]</calculatedColumnFormula>
    </tableColumn>
    <tableColumn id="58" xr3:uid="{754FFD92-8737-49D0-B360-0220103AA75F}" name="Schichtmodell" dataDxfId="1053"/>
    <tableColumn id="64" xr3:uid="{DB050A13-6ED9-4C72-9FB2-F7943B34B45D}" name="Zeit Rüsten" dataDxfId="1052"/>
    <tableColumn id="61" xr3:uid="{AB821456-B967-4F97-A387-B51751B3A880}" name="MA Rüsten" dataDxfId="1051"/>
    <tableColumn id="59" xr3:uid="{811460F2-1862-4FDC-BE8A-E9DBD674E06C}" name="Anzahl MA" dataDxfId="1050"/>
    <tableColumn id="60" xr3:uid="{7606F0FE-1B43-4896-A482-8FFE3388B68E}" name="Qualifikation MA" dataDxfId="1049"/>
    <tableColumn id="46" xr3:uid="{2944C75E-2724-4895-8283-2ECD20C60E39}" name="ProdSpez" dataDxfId="1048"/>
    <tableColumn id="77" xr3:uid="{00000000-0010-0000-0400-00004D000000}" name="SpezBeMi" dataDxfId="1047"/>
    <tableColumn id="47" xr3:uid="{FC401C18-0500-46E4-AE2F-D796766C6231}" name="Spalte1" dataDxfId="1046"/>
    <tableColumn id="14" xr3:uid="{8744CC2A-5388-495E-A32B-7E7CBB67CF46}" name="ACT ID" dataDxfId="1045"/>
    <tableColumn id="78" xr3:uid="{4F0E62EA-86BB-481C-93FE-D79520E4B95B}" name="ACT MK/SR" dataDxfId="1044"/>
    <tableColumn id="33" xr3:uid="{EF67A60D-2808-44CD-AECF-9C5FC8E08CEB}" name="TEC ID" dataDxfId="1043"/>
    <tableColumn id="76" xr3:uid="{00000000-0010-0000-0400-00004C000000}" name="X/O" dataDxfId="1042">
      <calculatedColumnFormula>IF(ISERROR(MATCH(MHR[[#This Row],[Bezeichnung]],MHR_Used,0)),0,"X")</calculatedColumnFormula>
    </tableColumn>
    <tableColumn id="31" xr3:uid="{DFEB5E8C-42B1-4ABD-90C8-38BBACE23648}" name="Datenstand" dataDxfId="1041"/>
    <tableColumn id="32" xr3:uid="{29C87769-3127-4E5C-B862-DFAE053663B6}" name="?" dataDxfId="1040">
      <calculatedColumnFormula>IF(AND(MHR[[#This Row],[String]]&lt;&gt;"",_xlfn.CONCAT(MHR[[#This Row],[Bezeichnung]:[   ]])=MHR[[#This Row],[String]]),"X","C")</calculatedColumnFormula>
    </tableColumn>
    <tableColumn id="30" xr3:uid="{2D098883-FD9E-4923-BAC8-05695CF9C735}" name="String" dataDxfId="1039"/>
    <tableColumn id="25" xr3:uid="{00000000-0010-0000-0400-000019000000}" name="MSS" dataDxfId="1038">
      <calculatedColumnFormula>AV7+AW7</calculatedColumnFormula>
    </tableColumn>
    <tableColumn id="15" xr3:uid="{00000000-0010-0000-0400-00000F000000}" name="Auslastung" dataDxfId="1037">
      <calculatedColumnFormula array="1">IF(OR(AND(MHR[[#This Row],[ProdSpez]]="X",MHR[[#This Row],[X/O]]="X"),AND(MHR[[#This Row],[SpezBeMi]]="X",MHR[[#This Row],[X/O]]="X")),AR7/(AP7*AQ7*8),INDEX(Premises!$A$15:$F$15,1,AX$3)/100)</calculatedColumnFormula>
    </tableColumn>
    <tableColumn id="16" xr3:uid="{00000000-0010-0000-0400-000010000000}" name="Mietkosten" dataDxfId="1036">
      <calculatedColumnFormula array="1">INDEX(Premises!$A$23:$F$23,1,AX$3)</calculatedColumnFormula>
    </tableColumn>
    <tableColumn id="17" xr3:uid="{00000000-0010-0000-0400-000011000000}" name="Arbeitstage" dataDxfId="1035">
      <calculatedColumnFormula array="1">INDEX(Premises!$A$19:$F$19,1,AX$3)</calculatedColumnFormula>
    </tableColumn>
    <tableColumn id="18" xr3:uid="{00000000-0010-0000-0400-000012000000}" name="Schichten" dataDxfId="1034">
      <calculatedColumnFormula array="1">IF(ISBLANK(MHR[[#This Row],[Schichtmodell]]),INDEX(Premises!$A$20:$F$20,1,AX$3),MHR[[#This Row],[Schichtmodell]])</calculatedColumnFormula>
    </tableColumn>
    <tableColumn id="19" xr3:uid="{00000000-0010-0000-0400-000013000000}" name="Stunden" dataDxfId="1033">
      <calculatedColumnFormula array="1">IF(OR(AND(MHR[[#This Row],[ProdSpez]]="X",MHR[[#This Row],[X/O]]="X"),AND(MHR[[#This Row],[SpezBeMi]]="X",MHR[[#This Row],[X/O]]="X")),INDEX(Premises!$A$13:$F$13,1,AX$3)
*INDEX(Calculation!$F$11:$F$189,MATCH(MHR[[#This Row],[Bezeichnung]],MHR_Used,0))/IF(INDEX(Calculation!$G$11:$G$189,MATCH(MHR[[#This Row],[Bezeichnung]],MHR_Used,0))="s",3600,IF(INDEX(Calculation!$G$11:$G$189,MATCH(MHR[[#This Row],[Bezeichnung]],MHR_Used,0))="min",60,1))/INDEX(Calculation!$H$11:$H$189,MATCH(MHR[[#This Row],[Bezeichnung]],MHR_Used,0))/ROUNDUP(INDEX(Premises!$A$13:$F$13,1,AX$3)
*INDEX(Calculation!$F$11:$F$189,MATCH(MHR[[#This Row],[Bezeichnung]],MHR_Used,0))/IF(INDEX(Calculation!$G$11:$G$189,MATCH(MHR[[#This Row],[Bezeichnung]],MHR_Used,0))="s",3600,IF(INDEX(Calculation!$G$11:$G$189,MATCH(MHR[[#This Row],[Bezeichnung]],MHR_Used,0))="min",60,1))/INDEX(Calculation!$H$11:$H$189,MATCH(MHR[[#This Row],[Bezeichnung]],MHR_Used,0))/(AP7*AQ7*8),0),
AP7*8*AQ7*AN7)</calculatedColumnFormula>
    </tableColumn>
    <tableColumn id="20" xr3:uid="{00000000-0010-0000-0400-000014000000}" name="Zinssatz" dataDxfId="1032">
      <calculatedColumnFormula array="1">INDEX(Premises!$A$26:$F$26,1,AX$3)/100</calculatedColumnFormula>
    </tableColumn>
    <tableColumn id="21" xr3:uid="{00000000-0010-0000-0400-000015000000}" name="Stromkosten" dataDxfId="1031">
      <calculatedColumnFormula array="1">IF(INDEX(Settings[],MATCH(3011,Settings[ID],0),2)=1,INDEX(Premises!$A$55:$F$55,1,AX$3),
INDEX(Premises!$A$24:$F$24,1,AX$3))</calculatedColumnFormula>
    </tableColumn>
    <tableColumn id="29" xr3:uid="{DACA9B59-9447-4D21-91CC-70E762C9892B}" name="Gaskosten" dataDxfId="1030">
      <calculatedColumnFormula array="1">INDEX(Premises!$A$25:$F$25,1,AX$3)</calculatedColumnFormula>
    </tableColumn>
    <tableColumn id="63" xr3:uid="{00000000-0010-0000-0400-00003F000000}" name="Fixkosten" dataDxfId="1029">
      <calculatedColumnFormula>IFERROR(IF(MHR[[#This Row],[SpezBeMi]]="X",($I7*AO7*12)/AR7,(($U7/$D7)+($U7*0.5*AS7)+($I7*AO7*12))/AR7),0)</calculatedColumnFormula>
    </tableColumn>
    <tableColumn id="22" xr3:uid="{00000000-0010-0000-0400-000016000000}" name="variable Kosten" dataDxfId="1028">
      <calculatedColumnFormula>IFERROR(($V7*AT7)
+($W7*AU7)
+((($J7*$U7)+($K7*$U7))*AR7/4800)/AR7,0)</calculatedColumnFormula>
    </tableColumn>
    <tableColumn id="23" xr3:uid="{00000000-0010-0000-0400-000017000000}" name="RSS" dataDxfId="1027">
      <calculatedColumnFormula array="1">IFERROR((
(MHR[[#This Row],[Indirektes Personal H]]*INDEX(LOC[High-skilled],MATCH(INDEX(Premises!$A$18:$F$18,1,AX$3),LOC[Standort],0))+MHR[[#This Row],[Indirektes Personal U]]*INDEX(LOC[M3S],MATCH(INDEX(Premises!$A$18:$F$18,1,AX$3),LOC[Standort],0)))*IF(AQ7=3,1,IF(AQ7=2,0.75,IF(AQ7=1,0.5,0)))/AR7
+($N7*AO7*12)/AR7+($N7+$I7)*8*12*AT7/AR7
+ExchangeRate*$O7*(1+0.5*((1+AS7)^8-1))/AR7+($P7*AT7)
+ExchangeRate*$Q7*(AR7/4800)/AR7
),0)</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MAT" displayName="MAT" comment="MAT" ref="B6:AD24" totalsRowShown="0" headerRowDxfId="1026" dataDxfId="1024" headerRowBorderDxfId="1025" tableBorderDxfId="1023" totalsRowBorderDxfId="1022">
  <autoFilter ref="B6:AD24" xr:uid="{7B07FDEF-3569-48CD-A3F5-B8893F6738C4}"/>
  <tableColumns count="29">
    <tableColumn id="1" xr3:uid="{00000000-0010-0000-0300-000001000000}" name="Bezeichnung" dataDxfId="1021"/>
    <tableColumn id="2" xr3:uid="{00000000-0010-0000-0300-000002000000}" name="Materialklasse" dataDxfId="1020"/>
    <tableColumn id="4" xr3:uid="{00000000-0010-0000-0300-000004000000}" name="Einheit" dataDxfId="1019"/>
    <tableColumn id="5" xr3:uid="{00000000-0010-0000-0300-000005000000}" name="Preis (Input)" dataDxfId="1018"/>
    <tableColumn id="12" xr3:uid="{A2110EA4-FF56-4D30-A74B-729F6955DE0A}" name=" " dataDxfId="1017"/>
    <tableColumn id="10" xr3:uid="{47264C83-E1BA-404F-8175-DEF18C00248F}" name="  " dataDxfId="1016"/>
    <tableColumn id="7" xr3:uid="{E03DF13B-77FD-489E-9A05-B8227C598FA7}" name="   " dataDxfId="1015"/>
    <tableColumn id="3" xr3:uid="{CD22ECF3-790C-4579-80E3-C7C7EE4AF6C8}" name="Preis" dataDxfId="1014">
      <calculatedColumnFormula>MAT[[#This Row],[Preis (Input)]]*ExchangeRate</calculatedColumnFormula>
    </tableColumn>
    <tableColumn id="21" xr3:uid="{B11687BF-1D6B-403D-ACDE-B280F5E5E241}" name="EK" dataDxfId="1013">
      <calculatedColumnFormula>IFERROR(IF(MAT[[#This Row],[Preis]]&lt;0,0,INDEX(MGK[EK],MATCH(MAT[[#This Row],[Materialklasse]],MGK[ID],0))),0)</calculatedColumnFormula>
    </tableColumn>
    <tableColumn id="23" xr3:uid="{79242E5B-D705-4B1F-B6A8-F4E8F77E3E8E}" name="PI" dataDxfId="1012" totalsRowDxfId="1011">
      <calculatedColumnFormula>IFERROR(IF(MAT[[#This Row],[Preis]]&lt;0,0,INDEX(MGK[PI],MATCH(MAT[[#This Row],[Materialklasse]],MGK[ID],0))),0)</calculatedColumnFormula>
    </tableColumn>
    <tableColumn id="22" xr3:uid="{C51490DB-E1B1-4209-AE16-4011077EE15C}" name="LA" dataDxfId="1010" totalsRowDxfId="1009">
      <calculatedColumnFormula>IFERROR(INDEX(MGK[LA],MATCH(MAT[[#This Row],[Materialklasse]],MGK[ID],0)),0)</calculatedColumnFormula>
    </tableColumn>
    <tableColumn id="20" xr3:uid="{99C6FB7C-5B8A-4000-8849-490F8E88BF14}" name="Dichte" dataDxfId="1008"/>
    <tableColumn id="8" xr3:uid="{8E1E3125-E525-482F-AD42-FA9408515B0F}" name="CO2" dataDxfId="1007"/>
    <tableColumn id="35" xr3:uid="{6B83B2C0-64AA-4585-88A8-99E2DF421FF7}" name="CO2-Fert-Zuschlag" dataDxfId="1006"/>
    <tableColumn id="43" xr3:uid="{2A1202BF-1979-49A2-9AE2-9130AE49A6D0}" name="Gruppe" dataDxfId="1005"/>
    <tableColumn id="44" xr3:uid="{ADCB4365-DE46-4B1B-BDD8-483BFC25155D}" name="Basismaterial" dataDxfId="1004"/>
    <tableColumn id="34" xr3:uid="{29F00B5C-2BFE-49E3-9203-4A379DF6F3B7}" name="Spalte1" dataDxfId="1003"/>
    <tableColumn id="6" xr3:uid="{00000000-0010-0000-0300-000006000000}" name="X/O" dataDxfId="1002">
      <calculatedColumnFormula>IF(ISERROR(MATCH(MAT[[#This Row],[Bezeichnung]],MAT_Used,0)),0,"X")</calculatedColumnFormula>
    </tableColumn>
    <tableColumn id="18" xr3:uid="{B035137E-46CB-478B-99F6-2414FAD7DBB9}" name="Datenstand" dataDxfId="1001"/>
    <tableColumn id="16" xr3:uid="{C26834BC-FE16-4BA8-A730-8CDAF80155B6}" name="?" dataDxfId="1000">
      <calculatedColumnFormula>IF(AND(MAT[[#This Row],[String]]&lt;&gt;"",CONCATENATE(B7,C7,D7,ROUND(E7,3),F7,G7,H7,MAT[[#This Row],[Dichte]],MAT[[#This Row],[CO2]])=MAT[[#This Row],[String]]),"X","C")</calculatedColumnFormula>
    </tableColumn>
    <tableColumn id="17" xr3:uid="{B4FF7286-4973-49CC-8039-CE6E421AEB85}" name="String" dataDxfId="999"/>
    <tableColumn id="13" xr3:uid="{637E3983-C7DC-4F8A-9345-2FA851A3A948}" name="FixProJahr" dataDxfId="998" totalsRowDxfId="997">
      <calculatedColumnFormula>X7+Y7+Z7</calculatedColumnFormula>
    </tableColumn>
    <tableColumn id="27" xr3:uid="{40C11359-EBFF-4D4C-80DB-7E38BA8031F3}" name="Einkauf" dataDxfId="996">
      <calculatedColumnFormula array="1">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calculatedColumnFormula>
    </tableColumn>
    <tableColumn id="28" xr3:uid="{FBB41B4B-9A92-4CB4-9837-B95C9AF2D30A}" name="Qualität" dataDxfId="995" totalsRowDxfId="994">
      <calculatedColumnFormula array="1">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calculatedColumnFormula>
    </tableColumn>
    <tableColumn id="29" xr3:uid="{F7D1C54A-EEA3-4C46-978D-AAAA4E3ACAE2}" name="Lagerbewegung" dataDxfId="993" totalsRowDxfId="992">
      <calculatedColumnFormula array="1">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calculatedColumnFormula>
    </tableColumn>
    <tableColumn id="31" xr3:uid="{4311722E-5935-4853-82F6-B318656B9418}" name="Kapitalbindung" dataDxfId="991" totalsRowDxfId="990">
      <calculatedColumnFormula array="1">IFERROR(MAX(0,INDEX(Premises!$26:$26,1,2+2*W$3)/100*INDEX(MGK[Lagerreichweite],MATCH(MAT[[#This Row],[Materialklasse]],MGK[ID],0))/52*MAT[[#This Row],[Preis]]),0)</calculatedColumnFormula>
    </tableColumn>
    <tableColumn id="32" xr3:uid="{3FB65B78-4704-49A2-B086-A75FBC759EC9}" name="Versicherung" dataDxfId="989" totalsRowDxfId="988">
      <calculatedColumnFormula>IFERROR(MAX(0,INDEX(MGK[Lagerreichweite],MATCH(MAT[[#This Row],[Materialklasse]],MGK[ID],0))/52*12*0.26/1000*MAT[[#This Row],[Preis]]),0)</calculatedColumnFormula>
    </tableColumn>
    <tableColumn id="30" xr3:uid="{F251D186-177F-4709-8C9A-D34B131CE345}" name="Lagerplatzkosten" dataDxfId="987">
      <calculatedColumnFormula array="1">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7,MGK[ID],0))+INDEX(Premises!$26:$26,1,2+2*W$3)/100*INDEX(MGK[L-Invest],MATCH($C7,MGK[ID],0))*0.5/(365*24)+INDEX(Premises!$24:$24,1,2+2*W$3)*INDEX(MGK[L-kWh],MATCH($C7,MGK[ID],0))+INDEX(Premises!$23:$23,1,2+2*W$3)*INDEX(MGK[L-m²],MATCH($C7,MGK[ID],0))*12/(365*24))),0)</calculatedColumnFormula>
    </tableColumn>
    <tableColumn id="14" xr3:uid="{C6AE7F1E-5E27-40C3-B591-22CA913A55DB}" name="FixProEH" dataDxfId="986">
      <calculatedColumnFormula>AA7+AB7+AC7</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LOC" displayName="LOC" comment="LOC" ref="B6:AW8" totalsRowShown="0" headerRowDxfId="985" dataDxfId="983" headerRowBorderDxfId="984" tableBorderDxfId="982" totalsRowBorderDxfId="981">
  <autoFilter ref="B6:AW8" xr:uid="{0413432E-A0F5-4120-8328-CEF10799090E}"/>
  <tableColumns count="48">
    <tableColumn id="1" xr3:uid="{00000000-0010-0000-0200-000001000000}" name="Standort" dataDxfId="980"/>
    <tableColumn id="2" xr3:uid="{00000000-0010-0000-0200-000002000000}" name="M1S" dataDxfId="979"/>
    <tableColumn id="3" xr3:uid="{00000000-0010-0000-0200-000003000000}" name="F1S" dataDxfId="978"/>
    <tableColumn id="4" xr3:uid="{00000000-0010-0000-0200-000004000000}" name="M2S" dataDxfId="977"/>
    <tableColumn id="17" xr3:uid="{00000000-0010-0000-0200-000011000000}" name="F2S" dataDxfId="976"/>
    <tableColumn id="16" xr3:uid="{00000000-0010-0000-0200-000010000000}" name="M3S" dataDxfId="975"/>
    <tableColumn id="15" xr3:uid="{00000000-0010-0000-0200-00000F000000}" name="F3S" dataDxfId="974"/>
    <tableColumn id="14" xr3:uid="{00000000-0010-0000-0200-00000E000000}" name="Z2S" dataDxfId="973"/>
    <tableColumn id="5" xr3:uid="{00000000-0010-0000-0200-000005000000}" name="Z3S" dataDxfId="972"/>
    <tableColumn id="7" xr3:uid="{00000000-0010-0000-0200-000007000000}" name="High-skilled" dataDxfId="971"/>
    <tableColumn id="6" xr3:uid="{00000000-0010-0000-0200-000006000000}" name="Wirschaftsbereich" dataDxfId="970"/>
    <tableColumn id="9" xr3:uid="{00000000-0010-0000-0200-000009000000}" name="Monatesmiete" dataDxfId="969"/>
    <tableColumn id="10" xr3:uid="{00000000-0010-0000-0200-00000A000000}" name="Strom" dataDxfId="968"/>
    <tableColumn id="8" xr3:uid="{00000000-0010-0000-0200-000008000000}" name="Erdgas" dataDxfId="967"/>
    <tableColumn id="11" xr3:uid="{00000000-0010-0000-0200-00000B000000}" name="Kalk. Zins" dataDxfId="966"/>
    <tableColumn id="12" xr3:uid="{00000000-0010-0000-0200-00000C000000}" name="Währung" dataDxfId="965"/>
    <tableColumn id="20" xr3:uid="{D606F1A2-FC75-4558-ADCE-5A17F2B5D5BC}" name="Arbeitstage" dataDxfId="964"/>
    <tableColumn id="19" xr3:uid="{ADCB3909-0DC4-46B8-9712-D761F7F4FF26}" name="ISO" dataDxfId="963"/>
    <tableColumn id="18" xr3:uid="{ED03AD03-6B74-4008-9284-41A6CA608F0D}" name="Region" dataDxfId="962"/>
    <tableColumn id="23" xr3:uid="{E7C8BF5A-E280-4D66-B827-D605B03C35A6}" name="Lat" dataDxfId="961"/>
    <tableColumn id="46" xr3:uid="{5CB33404-F68F-42A7-B3CE-5F669A9F16E7}" name="Long" dataDxfId="960"/>
    <tableColumn id="44" xr3:uid="{E374D7E1-0AEF-4B48-85E8-6FEF5888DFC4}" name="Hafen" dataDxfId="959"/>
    <tableColumn id="48" xr3:uid="{9FDB3AAC-ECD5-4264-8E6A-C84F8F0B33DD}" name="Diesel" dataDxfId="958"/>
    <tableColumn id="24" xr3:uid="{B078341A-F6FD-4466-9A24-021AE45CAFF9}" name="AgCO2eq/kWh" dataDxfId="957"/>
    <tableColumn id="25" xr3:uid="{DE3F85A1-D42C-4939-972D-AB7196FE1467}" name="BgCO2eq/kWh" dataDxfId="956"/>
    <tableColumn id="26" xr3:uid="{F1876383-A127-4322-B731-DE4D5B1F03DB}" name="CgCO2eq/kWh" dataDxfId="955"/>
    <tableColumn id="27" xr3:uid="{4A8114BE-3275-4134-A990-724110F7EDB5}" name="DgCO2eq/kWh" dataDxfId="954"/>
    <tableColumn id="28" xr3:uid="{F3D07E46-7071-450A-B140-79D76B8C0A24}" name="EgCO2eq/kWh" dataDxfId="953"/>
    <tableColumn id="29" xr3:uid="{DC04E5EF-1DF4-40FA-B1AC-492C16A75A3C}" name="FgCO2eq/kWh" dataDxfId="952"/>
    <tableColumn id="30" xr3:uid="{33F3656C-3DAA-4D02-BAD8-799DCE0DF0BA}" name="GgCO2eq/kWh" dataDxfId="951"/>
    <tableColumn id="31" xr3:uid="{727714A5-D3C1-4CF2-A3C9-37B72F1ECC46}" name="HgCO2eq/kWh" dataDxfId="950"/>
    <tableColumn id="32" xr3:uid="{9A4095DC-E4C9-4ADD-85AE-039FCC1E93F3}" name="IgCO2eq/kWh" dataDxfId="949"/>
    <tableColumn id="33" xr3:uid="{F10AD389-71CD-49A3-81C7-C6B13915FA69}" name="JgCO2eq/kWh" dataDxfId="948"/>
    <tableColumn id="34" xr3:uid="{0DF7E52B-4EF7-40F1-BF1C-B6A286F0EBCF}" name="A%" dataDxfId="947"/>
    <tableColumn id="35" xr3:uid="{95C8185E-57F8-42DC-BEE6-437AA5E4DAC2}" name="B%" dataDxfId="946"/>
    <tableColumn id="36" xr3:uid="{B2E54043-F448-4A2D-B0C6-4808B5B8464A}" name="C%" dataDxfId="945"/>
    <tableColumn id="37" xr3:uid="{6F1180F4-B09B-4A45-95DB-09E279492B63}" name="D%" dataDxfId="944"/>
    <tableColumn id="38" xr3:uid="{8E37DC5D-88C9-463B-96DE-E8263005DDF7}" name="E%" dataDxfId="943"/>
    <tableColumn id="39" xr3:uid="{AAF9AB20-81F7-4414-9910-5639F843A2F7}" name="F%" dataDxfId="942"/>
    <tableColumn id="40" xr3:uid="{B13A1D24-2E08-4D07-B7EE-73A6076C50F2}" name="G%" dataDxfId="941"/>
    <tableColumn id="41" xr3:uid="{EC9FFA60-DBCB-4ABE-ABD2-A03AE53512C2}" name="H%" dataDxfId="940"/>
    <tableColumn id="43" xr3:uid="{2627D663-AD5E-42F6-8A3F-6ACE26DC8A42}" name="I%" dataDxfId="939"/>
    <tableColumn id="42" xr3:uid="{E6A700DC-DA07-4F76-91E4-560EC3AD061F}" name="J%" dataDxfId="938"/>
    <tableColumn id="45" xr3:uid="{59698082-5083-433D-9E6E-62D7E4C0195C}" name="CO2-Steuer" dataDxfId="937"/>
    <tableColumn id="47" xr3:uid="{E6245B10-D8B9-48C7-BFE0-2865982B79DC}" name="ETS" dataDxfId="936"/>
    <tableColumn id="22" xr3:uid="{B22CF784-F044-416E-A0BD-00F768AF895A}" name="Datenstand" dataDxfId="935"/>
    <tableColumn id="21" xr3:uid="{65F5B675-04D6-45AD-AECD-661CAE5F85A3}" name="?" dataDxfId="934">
      <calculatedColumnFormula>IF(AND(LOC[[#This Row],[String]]&lt;&gt;"",_xlfn.CONCAT(LOC[[#This Row],[Standort]:[ETS]])=LOC[[#This Row],[String]]),"X","C")</calculatedColumnFormula>
    </tableColumn>
    <tableColumn id="13" xr3:uid="{B3A3DB6C-C4AE-4BBA-9D94-121347F40C4B}" name="String" dataDxfId="933"/>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FFCC0DDD-5B6D-4754-A7B3-583368749ED6}" name="EBOM" displayName="EBOM" ref="A5:Z31" totalsRowShown="0" headerRowDxfId="920" dataDxfId="918" headerRowBorderDxfId="919" tableBorderDxfId="917" totalsRowBorderDxfId="916" headerRowCellStyle="Standard_Stückliste_Platine_APA_2008-09-10" dataCellStyle="Standard_Stückliste_Platine_APA_2008-09-10">
  <autoFilter ref="A5:Z31" xr:uid="{44C85533-CF23-4036-A38C-041EBED98AFD}"/>
  <tableColumns count="26">
    <tableColumn id="1" xr3:uid="{B55B67C0-8731-4EA3-8997-98A079A90418}" name="No." dataDxfId="915" dataCellStyle="Standard_Stückliste_Platine_APA_2008-09-10">
      <calculatedColumnFormula>ROW()-8</calculatedColumnFormula>
    </tableColumn>
    <tableColumn id="2" xr3:uid="{C4171E4E-FFF9-4BF8-86E2-AD9E3ED86A7C}" name="Group" dataDxfId="914" dataCellStyle="Standard_Stückliste_Platine_APA_2008-09-10"/>
    <tableColumn id="3" xr3:uid="{4311E659-2A47-4BAA-937E-8148C0F74D95}" name="Type" dataDxfId="913" dataCellStyle="Standard_Stückliste_Platine_APA_2008-09-10"/>
    <tableColumn id="4" xr3:uid="{4A4AEA3F-0603-4B09-921A-59B09861133D}" name="Marking on component" dataDxfId="912" dataCellStyle="Standard_Stückliste_Platine_APA_2008-09-10"/>
    <tableColumn id="5" xr3:uid="{3CE2A75A-A0A6-4D68-A55C-C996E2D98F36}" name="Quantity _x000a_Top Side" dataDxfId="911" dataCellStyle="Standard_Stückliste_Platine_APA_2008-09-10"/>
    <tableColumn id="6" xr3:uid="{640442A7-3F03-4907-A607-12DAF33E52FB}" name="Quantity _x000a_Bottom Side" dataDxfId="910" dataCellStyle="Standard_Stückliste_Platine_APA_2008-09-10"/>
    <tableColumn id="7" xr3:uid="{1323FDED-DB93-4687-8336-E15BF2FE8A8A}" name="Quantity _x000a_Total" dataDxfId="909" dataCellStyle="Standard_Stückliste_Platine_APA_2008-09-10">
      <calculatedColumnFormula>E6+F6</calculatedColumnFormula>
    </tableColumn>
    <tableColumn id="8" xr3:uid="{FC848D2B-7A05-42A4-AB4D-2EDAAFE6FE78}" name="SMD/THT" dataDxfId="908" dataCellStyle="Standard_Stückliste_Platine_APA_2008-09-10"/>
    <tableColumn id="9" xr3:uid="{41F68BE3-6C23-4C87-82F5-1B49EEDF293C}" name="Description" dataDxfId="907" dataCellStyle="Standard_Stückliste_Platine_APA_2008-09-10"/>
    <tableColumn id="10" xr3:uid="{A030274E-82E3-43F8-B12C-61C45D566980}" name="Manufacturer" dataDxfId="906" dataCellStyle="Standard_Stückliste_Platine_APA_2008-09-10"/>
    <tableColumn id="11" xr3:uid="{6DCC2B54-4938-4562-997C-9CDAE4AB4E82}" name="Manufacturer _x000a_Part Number" dataDxfId="905" dataCellStyle="Standard_Stückliste_Platine_APA_2008-09-10"/>
    <tableColumn id="12" xr3:uid="{97646374-CA5F-4B7C-93DC-EEC039ABB230}" name="Reference _x000a_Part Number" dataDxfId="904" dataCellStyle="Standard_Stückliste_Platine_APA_2008-09-10"/>
    <tableColumn id="13" xr3:uid="{CCC3752F-1994-4C01-857C-700CAEBCEAFA}" name="No of Pins/Pads" dataDxfId="903" dataCellStyle="Standard_Stückliste_Platine_APA_2008-09-10"/>
    <tableColumn id="14" xr3:uid="{E24D4F18-0E67-4147-B0BE-40B0F4448030}" name="Package / Dimension" dataDxfId="902" dataCellStyle="Standard_Stückliste_Platine_APA_2008-09-10"/>
    <tableColumn id="15" xr3:uid="{002D0821-5E24-48AB-B755-9BD76DDF51DC}" name="Source" dataDxfId="901" dataCellStyle="Standard_Stückliste_Platine_APA_2008-09-10"/>
    <tableColumn id="16" xr3:uid="{491FFFA8-D7FC-4908-9EB4-F8B21F83E89C}" name="Purchasing Volume" dataDxfId="900" dataCellStyle="Standard_Stückliste_Platine_APA_2008-09-10"/>
    <tableColumn id="25" xr3:uid="{C5A177C7-C7B2-42DA-AEAB-B90CBD1B4A44}" name="Tolerance" dataDxfId="899" dataCellStyle="Standard_Stückliste_Platine_APA_2008-09-10"/>
    <tableColumn id="17" xr3:uid="{BBBA7A5A-9114-442C-A21F-B1E410655439}" name="Researched Price" dataDxfId="898" dataCellStyle="Standard_Stückliste_Platine_APA_2008-09-10"/>
    <tableColumn id="24" xr3:uid="{C133B77A-68B2-401C-9F7C-FB3196498C60}" name="Search date" dataDxfId="897" dataCellStyle="Standard_Stückliste_Platine_APA_2008-09-10"/>
    <tableColumn id="26" xr3:uid="{97841372-4A2F-499A-9B0B-A4A2DCE92990}" name="Project factor" dataDxfId="896" dataCellStyle="Standard_Stückliste_Platine_APA_2008-09-10"/>
    <tableColumn id="18" xr3:uid="{CCF3863C-1559-463F-8B7E-98AC04865523}" name="Factor" dataDxfId="895" dataCellStyle="Standard_Stückliste_Platine_APA_2008-09-10">
      <calculatedColumnFormula array="1">EBOM_Factor</calculatedColumnFormula>
    </tableColumn>
    <tableColumn id="19" xr3:uid="{48FF9373-5A08-4489-AF62-02570172A2EB}" name="Factorized Single Price" dataDxfId="894" dataCellStyle="Standard_Stückliste_Platine_APA_2008-09-10">
      <calculatedColumnFormula>R6*U6*T6</calculatedColumnFormula>
    </tableColumn>
    <tableColumn id="20" xr3:uid="{D596DC8F-F29C-4E01-BFB7-7CA9798908DE}" name="Price Top Side" dataDxfId="893" dataCellStyle="Standard_Stückliste_Platine_APA_2008-09-10">
      <calculatedColumnFormula>E6*V6</calculatedColumnFormula>
    </tableColumn>
    <tableColumn id="21" xr3:uid="{8B19FC1F-56EE-4625-80F0-89BFEE4E3DA9}" name="Price Bottom Side" dataDxfId="892" dataCellStyle="Standard_Stückliste_Platine_APA_2008-09-10">
      <calculatedColumnFormula>F6*V6</calculatedColumnFormula>
    </tableColumn>
    <tableColumn id="22" xr3:uid="{C5A6544E-E36A-466E-8B28-68A87EEA10E4}" name="Total Price" dataDxfId="891" dataCellStyle="Standard_Stückliste_Platine_APA_2008-09-10">
      <calculatedColumnFormula>X6+W6</calculatedColumnFormula>
    </tableColumn>
    <tableColumn id="23" xr3:uid="{49F1A83D-FC73-4687-BE89-D0F245C5C55B}" name="Comment" dataDxfId="890" dataCellStyle="Standard_Stückliste_Platine_APA_2008-09-10"/>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E765406-740F-40A0-A850-76B52656F6FB}" name="tbl_Code_housing" displayName="tbl_Code_housing" ref="F68:J81" totalsRowShown="0" headerRowDxfId="889" dataDxfId="888" tableBorderDxfId="887" headerRowCellStyle="Standard_Stückliste_Platine_APA_2008-09-10">
  <autoFilter ref="F68:J81" xr:uid="{6D4E0199-666D-47F2-B58D-F17B7B3C449A}"/>
  <tableColumns count="5">
    <tableColumn id="1" xr3:uid="{3FDB7A70-6ABF-4F93-B76A-1E12529298CF}" name="Capacitor" dataDxfId="886" dataCellStyle="Standard_Stückliste_Platine_APA_2008-09-10"/>
    <tableColumn id="2" xr3:uid="{896E30F7-2180-43ED-A2E4-F711A978BD00}" name="Resistor" dataDxfId="885" dataCellStyle="Standard_Stückliste_Platine_APA_2008-09-10"/>
    <tableColumn id="3" xr3:uid="{23F4DA62-7ECD-481A-8CBA-552635EC017B}" name="Diode / Transistor" dataDxfId="884" dataCellStyle="Standard_Stückliste_Platine_APA_2008-09-10"/>
    <tableColumn id="4" xr3:uid="{E1559754-6332-4AAD-957D-64D37413623C}" name="Capacitor / Inductance / Ferrite" dataDxfId="883" dataCellStyle="Standard_Stückliste_Platine_APA_2008-09-10"/>
    <tableColumn id="5" xr3:uid="{02C9CCFF-652B-4743-B789-48C14B0B5773}" name="Inductance / Ferrite" dataDxfId="882" dataCellStyle="Standard_Stückliste_Platine_APA_2008-09-10"/>
  </tableColumns>
  <tableStyleInfo name="TableStyleLight1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19D77FA9-729C-4B98-8A34-C007FE986D70}" name="tbl_type" displayName="tbl_type" ref="C68:C77" totalsRowShown="0" headerRowDxfId="881" dataDxfId="880" headerRowCellStyle="Standard_Stückliste_Platine_APA_2008-09-10" dataCellStyle="Standard_Stückliste_Platine_APA_2008-09-10">
  <autoFilter ref="C68:C77" xr:uid="{B987F89C-44D3-4A03-82FA-87F40E85B8C6}"/>
  <tableColumns count="1">
    <tableColumn id="1" xr3:uid="{C46C90FB-1645-4A1D-B3C4-F048D2E4E565}" name="Type" dataDxfId="879" dataCellStyle="Standard_Stückliste_Platine_APA_2008-09-10"/>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25D87891-5F86-4E7A-A5DA-4C460EC713F7}" name="EBOM48" displayName="EBOM48" ref="A5:Z45" totalsRowShown="0" headerRowDxfId="866" dataDxfId="864" headerRowBorderDxfId="865" tableBorderDxfId="863" totalsRowBorderDxfId="862" headerRowCellStyle="Standard_Stückliste_Platine_APA_2008-09-10" dataCellStyle="Standard_Stückliste_Platine_APA_2008-09-10">
  <autoFilter ref="A5:Z45" xr:uid="{44C85533-CF23-4036-A38C-041EBED98AFD}"/>
  <tableColumns count="26">
    <tableColumn id="1" xr3:uid="{84AD0C13-7BB1-4AC3-A792-A7781774EFAB}" name="No." dataDxfId="861" dataCellStyle="Standard_Stückliste_Platine_APA_2008-09-10">
      <calculatedColumnFormula>ROW()-8</calculatedColumnFormula>
    </tableColumn>
    <tableColumn id="2" xr3:uid="{7513153C-A95C-49B1-9188-FCCCEE607EEA}" name="Group" dataDxfId="860" dataCellStyle="Standard_Stückliste_Platine_APA_2008-09-10"/>
    <tableColumn id="3" xr3:uid="{7CBCFF1A-3077-4B64-A00A-A84D032B516B}" name="Type" dataDxfId="859" dataCellStyle="Standard_Stückliste_Platine_APA_2008-09-10"/>
    <tableColumn id="4" xr3:uid="{159B3301-65B7-4A6D-B2BC-89A5881FF3DE}" name="Marking on component" dataDxfId="858" dataCellStyle="Standard_Stückliste_Platine_APA_2008-09-10"/>
    <tableColumn id="5" xr3:uid="{6ABAE0E8-1959-427D-AE1F-F87D9B0BA33C}" name="Quantity _x000a_Top Side" dataDxfId="857" dataCellStyle="Standard_Stückliste_Platine_APA_2008-09-10"/>
    <tableColumn id="6" xr3:uid="{15C2411F-D229-4F19-BC0F-406EB314FB95}" name="Quantity _x000a_Bottom Side" dataDxfId="856" dataCellStyle="Standard_Stückliste_Platine_APA_2008-09-10"/>
    <tableColumn id="7" xr3:uid="{126C85D5-DFAF-49B4-9AD0-F217832D01C4}" name="Quantity _x000a_Total" dataDxfId="855" dataCellStyle="Standard_Stückliste_Platine_APA_2008-09-10">
      <calculatedColumnFormula>E6+F6</calculatedColumnFormula>
    </tableColumn>
    <tableColumn id="8" xr3:uid="{83D2045B-202C-47CB-98E1-F3713DE7CA00}" name="SMD/THT" dataDxfId="854" dataCellStyle="Standard_Stückliste_Platine_APA_2008-09-10"/>
    <tableColumn id="9" xr3:uid="{61DDC059-890A-4C09-B1F7-CD2CD49CB0ED}" name="Description" dataDxfId="853" dataCellStyle="Standard_Stückliste_Platine_APA_2008-09-10"/>
    <tableColumn id="10" xr3:uid="{96184448-6F26-4D52-AF5C-B7092A4CCB7F}" name="Manufacturer" dataDxfId="852" dataCellStyle="Standard_Stückliste_Platine_APA_2008-09-10"/>
    <tableColumn id="11" xr3:uid="{F08F563A-EEA3-4547-80EA-49EE317EA892}" name="Manufacturer _x000a_Part Number" dataDxfId="851" dataCellStyle="Standard_Stückliste_Platine_APA_2008-09-10"/>
    <tableColumn id="12" xr3:uid="{B4002DB2-219C-4AC3-9275-DC0C62546907}" name="Reference _x000a_Part Number" dataDxfId="850" dataCellStyle="Standard_Stückliste_Platine_APA_2008-09-10"/>
    <tableColumn id="13" xr3:uid="{5D7BA3D1-7A3A-4CB7-8ADF-C005F8679C71}" name="No of Pins/Pads" dataDxfId="849" dataCellStyle="Standard_Stückliste_Platine_APA_2008-09-10"/>
    <tableColumn id="14" xr3:uid="{D3C67215-4082-42CB-BC8D-83EC37CA11D4}" name="Package / Dimension" dataDxfId="848" dataCellStyle="Standard_Stückliste_Platine_APA_2008-09-10"/>
    <tableColumn id="15" xr3:uid="{AE317129-60BD-4EA2-BFD5-5CDE81781A72}" name="Source" dataDxfId="847" dataCellStyle="Standard_Stückliste_Platine_APA_2008-09-10"/>
    <tableColumn id="16" xr3:uid="{E3A9708F-851F-4D3C-8D9B-4F95078340D0}" name="Purchasing Volume" dataDxfId="846" dataCellStyle="Standard_Stückliste_Platine_APA_2008-09-10"/>
    <tableColumn id="25" xr3:uid="{48AF89CA-F405-414B-8118-8C275FA14C18}" name="Tolerance" dataDxfId="845" dataCellStyle="Standard_Stückliste_Platine_APA_2008-09-10"/>
    <tableColumn id="17" xr3:uid="{7534AAC4-E03E-4DBB-9196-7B3B1E7266ED}" name="Researched Price" dataDxfId="844" dataCellStyle="Standard_Stückliste_Platine_APA_2008-09-10"/>
    <tableColumn id="24" xr3:uid="{02878A4A-25F9-45C9-9AF5-CB488448B8FB}" name="Search date" dataDxfId="843" dataCellStyle="Standard_Stückliste_Platine_APA_2008-09-10"/>
    <tableColumn id="26" xr3:uid="{923C0047-923A-411A-B2FB-928CA3A89612}" name="Project factor" dataDxfId="842" dataCellStyle="Standard_Stückliste_Platine_APA_2008-09-10"/>
    <tableColumn id="18" xr3:uid="{880292AC-A611-4CC1-B922-D911D8AD1D3C}" name="Factor" dataDxfId="841" dataCellStyle="Standard_Stückliste_Platine_APA_2008-09-10">
      <calculatedColumnFormula array="1">EBOM_Factor</calculatedColumnFormula>
    </tableColumn>
    <tableColumn id="19" xr3:uid="{3C55799B-1725-459B-8D7B-E3271B8C12D4}" name="Factorized Single Price" dataDxfId="840" dataCellStyle="Standard_Stückliste_Platine_APA_2008-09-10">
      <calculatedColumnFormula>R6*U6*T6</calculatedColumnFormula>
    </tableColumn>
    <tableColumn id="20" xr3:uid="{37AEDDEB-B437-4113-911A-30E3594A6813}" name="Price Top Side" dataDxfId="839" dataCellStyle="Standard_Stückliste_Platine_APA_2008-09-10">
      <calculatedColumnFormula>E6*V6</calculatedColumnFormula>
    </tableColumn>
    <tableColumn id="21" xr3:uid="{A4DA383B-5FD3-422C-B33F-C26D49C79A04}" name="Price Bottom Side" dataDxfId="838" dataCellStyle="Standard_Stückliste_Platine_APA_2008-09-10">
      <calculatedColumnFormula>F6*V6</calculatedColumnFormula>
    </tableColumn>
    <tableColumn id="22" xr3:uid="{3C140E4E-9555-4CF0-A58D-42DA806BB826}" name="Total Price" dataDxfId="837" dataCellStyle="Standard_Stückliste_Platine_APA_2008-09-10">
      <calculatedColumnFormula>X6+W6</calculatedColumnFormula>
    </tableColumn>
    <tableColumn id="23" xr3:uid="{40D0C297-62D4-4307-89B2-273DDDC316A3}" name="Comment" dataDxfId="836" dataCellStyle="Standard_Stückliste_Platine_APA_2008-09-10"/>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96ADFCBC-3C7C-487F-8CEC-92ED61B98C03}" name="tbl_Code_housing52" displayName="tbl_Code_housing52" ref="F82:J95" totalsRowShown="0" headerRowDxfId="835" dataDxfId="834" tableBorderDxfId="833" headerRowCellStyle="Standard_Stückliste_Platine_APA_2008-09-10">
  <autoFilter ref="F82:J95" xr:uid="{6D4E0199-666D-47F2-B58D-F17B7B3C449A}"/>
  <tableColumns count="5">
    <tableColumn id="1" xr3:uid="{564AAB74-71C9-4F95-9C3B-A32E20D50D88}" name="Capacitor" dataDxfId="832" dataCellStyle="Standard_Stückliste_Platine_APA_2008-09-10"/>
    <tableColumn id="2" xr3:uid="{56752B29-C3D0-4852-9F39-6AB3C96E0E4E}" name="Resistor" dataDxfId="831" dataCellStyle="Standard_Stückliste_Platine_APA_2008-09-10"/>
    <tableColumn id="3" xr3:uid="{7C55F4E1-F620-45BB-91C6-94EA0AE3C3D5}" name="Diode / Transistor" dataDxfId="830" dataCellStyle="Standard_Stückliste_Platine_APA_2008-09-10"/>
    <tableColumn id="4" xr3:uid="{CAED9434-5C2C-4C6B-BC55-770FCAB7C6BA}" name="Capacitor / Inductance / Ferrite" dataDxfId="829" dataCellStyle="Standard_Stückliste_Platine_APA_2008-09-10"/>
    <tableColumn id="5" xr3:uid="{0849B503-6766-4460-A8B6-2ABD53A569C6}" name="Inductance / Ferrite" dataDxfId="828" dataCellStyle="Standard_Stückliste_Platine_APA_2008-09-10"/>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5BB84281-60E5-446B-80EB-1B417A1A06EA}" name="tbl_type54" displayName="tbl_type54" ref="C82:C91" totalsRowShown="0" headerRowDxfId="827" dataDxfId="826" headerRowCellStyle="Standard_Stückliste_Platine_APA_2008-09-10" dataCellStyle="Standard_Stückliste_Platine_APA_2008-09-10">
  <autoFilter ref="C82:C91" xr:uid="{B987F89C-44D3-4A03-82FA-87F40E85B8C6}"/>
  <tableColumns count="1">
    <tableColumn id="1" xr3:uid="{90ACE5B3-A0A1-45BB-A459-2A5EF2AC6E22}" name="Type" dataDxfId="825" dataCellStyle="Standard_Stückliste_Platine_APA_2008-09-10"/>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285F493F-3D92-432D-B1F3-C67AC402788D}" name="EBOM49" displayName="EBOM49" ref="A5:Z21" totalsRowShown="0" headerRowDxfId="812" dataDxfId="810" headerRowBorderDxfId="811" tableBorderDxfId="809" totalsRowBorderDxfId="808" headerRowCellStyle="Standard_Stückliste_Platine_APA_2008-09-10" dataCellStyle="Standard_Stückliste_Platine_APA_2008-09-10">
  <autoFilter ref="A5:Z21" xr:uid="{44C85533-CF23-4036-A38C-041EBED98AFD}"/>
  <tableColumns count="26">
    <tableColumn id="1" xr3:uid="{8FE9310A-80B7-487D-920B-FEBC00C15EC1}" name="No." dataDxfId="807" dataCellStyle="Standard_Stückliste_Platine_APA_2008-09-10">
      <calculatedColumnFormula>ROW()-8</calculatedColumnFormula>
    </tableColumn>
    <tableColumn id="2" xr3:uid="{D5F1435B-6610-4312-998E-70996B54DEDA}" name="Group" dataDxfId="806" dataCellStyle="Standard_Stückliste_Platine_APA_2008-09-10"/>
    <tableColumn id="3" xr3:uid="{EF2EDF04-FCC1-461C-AF8D-F0B46742BC0A}" name="Type" dataDxfId="805" dataCellStyle="Standard_Stückliste_Platine_APA_2008-09-10"/>
    <tableColumn id="4" xr3:uid="{4351FFC5-B041-4B7A-AC64-E6A532534E1E}" name="Marking on component" dataDxfId="804" dataCellStyle="Standard_Stückliste_Platine_APA_2008-09-10"/>
    <tableColumn id="5" xr3:uid="{1669B123-2BC2-42F9-AF60-EEF8FA08F759}" name="Quantity _x000a_Top Side" dataDxfId="803" dataCellStyle="Standard_Stückliste_Platine_APA_2008-09-10"/>
    <tableColumn id="6" xr3:uid="{F34613A9-A68F-4E06-B4D0-ECCDCF394E59}" name="Quantity _x000a_Bottom Side" dataDxfId="802" dataCellStyle="Standard_Stückliste_Platine_APA_2008-09-10"/>
    <tableColumn id="7" xr3:uid="{1763B525-DF74-4415-A9E5-0B1A5131B569}" name="Quantity _x000a_Total" dataDxfId="801" dataCellStyle="Standard_Stückliste_Platine_APA_2008-09-10">
      <calculatedColumnFormula>E6+F6</calculatedColumnFormula>
    </tableColumn>
    <tableColumn id="8" xr3:uid="{F0632379-043B-4105-8D69-7B42BC3C88C6}" name="SMD/THT" dataDxfId="800" dataCellStyle="Standard_Stückliste_Platine_APA_2008-09-10"/>
    <tableColumn id="9" xr3:uid="{DA15E923-0158-4B67-BDD2-21B71153EA67}" name="Description" dataDxfId="799" dataCellStyle="Standard_Stückliste_Platine_APA_2008-09-10"/>
    <tableColumn id="10" xr3:uid="{1DCF00EC-E960-42EB-915B-0E7017BECE8F}" name="Manufacturer" dataDxfId="798" dataCellStyle="Standard_Stückliste_Platine_APA_2008-09-10"/>
    <tableColumn id="11" xr3:uid="{26A42DEA-A224-4271-9CFE-6B1DF3C061B7}" name="Manufacturer _x000a_Part Number" dataDxfId="797" dataCellStyle="Standard_Stückliste_Platine_APA_2008-09-10"/>
    <tableColumn id="12" xr3:uid="{D2F7625A-4A41-430D-9CF2-04E3BEE9987B}" name="Reference _x000a_Part Number" dataDxfId="796" dataCellStyle="Standard_Stückliste_Platine_APA_2008-09-10"/>
    <tableColumn id="13" xr3:uid="{92A2253B-133E-436A-AF45-ACB99D711A84}" name="No of Pins/Pads" dataDxfId="795" dataCellStyle="Standard_Stückliste_Platine_APA_2008-09-10"/>
    <tableColumn id="14" xr3:uid="{473E48CB-14DD-4247-A995-1D18E0DF704E}" name="Package / Dimension" dataDxfId="794" dataCellStyle="Standard_Stückliste_Platine_APA_2008-09-10"/>
    <tableColumn id="15" xr3:uid="{A07EDEB4-E8DC-4546-AB4E-1A5EE75B463C}" name="Source" dataDxfId="793" dataCellStyle="Standard_Stückliste_Platine_APA_2008-09-10"/>
    <tableColumn id="16" xr3:uid="{6C4910F4-EAA8-47A3-8237-DB58FA8C8B4B}" name="Purchasing Volume" dataDxfId="792" dataCellStyle="Standard_Stückliste_Platine_APA_2008-09-10"/>
    <tableColumn id="25" xr3:uid="{D35EBB3F-C396-4335-9244-E237D00401F1}" name="Tolerance" dataDxfId="791" dataCellStyle="Standard_Stückliste_Platine_APA_2008-09-10"/>
    <tableColumn id="17" xr3:uid="{C561476C-A98B-495F-A704-1CD1417E050A}" name="Researched Price" dataDxfId="790" dataCellStyle="Standard_Stückliste_Platine_APA_2008-09-10"/>
    <tableColumn id="24" xr3:uid="{E1D8DB11-79B5-44E7-9AD7-1C4CFAC4EE22}" name="Search date" dataDxfId="789" dataCellStyle="Standard_Stückliste_Platine_APA_2008-09-10"/>
    <tableColumn id="26" xr3:uid="{F5B82BA4-3E1F-40C4-AFA2-29055B207717}" name="Project factor" dataDxfId="788" dataCellStyle="Standard_Stückliste_Platine_APA_2008-09-10"/>
    <tableColumn id="18" xr3:uid="{A39F8FEB-7ACF-49C5-95C0-014D8AA28E39}" name="Factor" dataDxfId="787" dataCellStyle="Standard_Stückliste_Platine_APA_2008-09-10">
      <calculatedColumnFormula array="1">EBOM_Factor</calculatedColumnFormula>
    </tableColumn>
    <tableColumn id="19" xr3:uid="{85F38522-D664-4159-BA2A-D74CFE194DC4}" name="Factorized Single Price" dataDxfId="786" dataCellStyle="Standard_Stückliste_Platine_APA_2008-09-10">
      <calculatedColumnFormula>R6*U6*T6</calculatedColumnFormula>
    </tableColumn>
    <tableColumn id="20" xr3:uid="{B23CB62B-056E-477E-A1F1-F76E8FAF3A3C}" name="Price Top Side" dataDxfId="785" dataCellStyle="Standard_Stückliste_Platine_APA_2008-09-10">
      <calculatedColumnFormula>E6*V6</calculatedColumnFormula>
    </tableColumn>
    <tableColumn id="21" xr3:uid="{78FEDE03-752C-438D-8E4E-FB848DE5F08E}" name="Price Bottom Side" dataDxfId="784" dataCellStyle="Standard_Stückliste_Platine_APA_2008-09-10">
      <calculatedColumnFormula>F6*V6</calculatedColumnFormula>
    </tableColumn>
    <tableColumn id="22" xr3:uid="{6F7E061A-79FE-4058-A492-77539EA1476D}" name="Total Price" dataDxfId="783" dataCellStyle="Standard_Stückliste_Platine_APA_2008-09-10">
      <calculatedColumnFormula>X6+W6</calculatedColumnFormula>
    </tableColumn>
    <tableColumn id="23" xr3:uid="{0D245480-ADD6-4025-BD38-A65C297DA4ED}" name="Comment" dataDxfId="782" dataCellStyle="Standard_Stückliste_Platine_APA_2008-09-10"/>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7A09B138-821C-43D1-A979-3F61DF76CC9F}" name="tbl_Code_housing50" displayName="tbl_Code_housing50" ref="F58:J71" totalsRowShown="0" headerRowDxfId="781" dataDxfId="780" tableBorderDxfId="779" headerRowCellStyle="Standard_Stückliste_Platine_APA_2008-09-10">
  <autoFilter ref="F58:J71" xr:uid="{6D4E0199-666D-47F2-B58D-F17B7B3C449A}"/>
  <tableColumns count="5">
    <tableColumn id="1" xr3:uid="{81BAA2C4-5079-480C-B846-847B69B79701}" name="Capacitor" dataDxfId="778" dataCellStyle="Standard_Stückliste_Platine_APA_2008-09-10"/>
    <tableColumn id="2" xr3:uid="{95F72952-2100-447A-B10A-88E0CBB39019}" name="Resistor" dataDxfId="777" dataCellStyle="Standard_Stückliste_Platine_APA_2008-09-10"/>
    <tableColumn id="3" xr3:uid="{29FF5979-3220-4CD4-81F2-0430939FBB75}" name="Diode / Transistor" dataDxfId="776" dataCellStyle="Standard_Stückliste_Platine_APA_2008-09-10"/>
    <tableColumn id="4" xr3:uid="{F1020089-CB7E-4CEE-993E-0D898F8180F2}" name="Capacitor / Inductance / Ferrite" dataDxfId="775" dataCellStyle="Standard_Stückliste_Platine_APA_2008-09-10"/>
    <tableColumn id="5" xr3:uid="{50CF9E0A-3819-461D-8982-08D81AC5EEA4}" name="Inductance / Ferrite" dataDxfId="774" dataCellStyle="Standard_Stückliste_Platine_APA_2008-09-10"/>
  </tableColumns>
  <tableStyleInfo name="TableStyleLight1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B37AD38-85B0-4182-89E2-2CB944043788}" name="tbl_type51" displayName="tbl_type51" ref="C58:C67" totalsRowShown="0" headerRowDxfId="773" dataDxfId="772" headerRowCellStyle="Standard_Stückliste_Platine_APA_2008-09-10" dataCellStyle="Standard_Stückliste_Platine_APA_2008-09-10">
  <autoFilter ref="C58:C67" xr:uid="{B987F89C-44D3-4A03-82FA-87F40E85B8C6}"/>
  <tableColumns count="1">
    <tableColumn id="1" xr3:uid="{8F5582D9-51C7-441F-853A-5D9BCC469A7D}" name="Type" dataDxfId="771" dataCellStyle="Standard_Stückliste_Platine_APA_2008-09-10"/>
  </tableColumns>
  <tableStyleInfo name="TableStyleLight1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AAD3C6A-4727-48E6-9217-A760634607BE}" name="MGK" displayName="MGK" comment="IndirectCosts" ref="B6:AQ26" tableType="queryTable" totalsRowShown="0" headerRowDxfId="770" dataDxfId="768" headerRowBorderDxfId="769" tableBorderDxfId="767">
  <autoFilter ref="B6:AQ26" xr:uid="{FB67E6DD-9F73-4C17-A8AC-18FA3C95FE46}"/>
  <tableColumns count="42">
    <tableColumn id="37" xr3:uid="{7E151D90-32A0-47E4-8032-601C65BA011E}" uniqueName="37" name="ID" queryTableFieldId="37" dataDxfId="766">
      <calculatedColumnFormula>IF(Language="DE",MGK[[#This Row],[DE]],MGK[[#This Row],[EN]])</calculatedColumnFormula>
    </tableColumn>
    <tableColumn id="10" xr3:uid="{37E737A7-5AA2-4B1A-A219-752A826B188C}" uniqueName="10" name="DE" queryTableFieldId="10" dataDxfId="765"/>
    <tableColumn id="11" xr3:uid="{E1552E24-1FDC-495A-BD2A-1A8E070C9B7C}" uniqueName="11" name="EN" queryTableFieldId="11" dataDxfId="764"/>
    <tableColumn id="2" xr3:uid="{8F6C0BEA-51DD-4FEB-9D08-DE3496B4F99A}" uniqueName="2" name="Bestellaufwand" queryTableFieldId="2" dataDxfId="763"/>
    <tableColumn id="3" xr3:uid="{87ECB7AF-1126-43F9-8B99-4262348935DC}" uniqueName="3" name="Lagerart" queryTableFieldId="3" dataDxfId="762"/>
    <tableColumn id="4" xr3:uid="{2FE5C49E-6DDD-4417-BA50-A5E649689D93}" uniqueName="4" name="Handling" queryTableFieldId="4" dataDxfId="761"/>
    <tableColumn id="5" xr3:uid="{41F32AF9-EF56-4B04-ADB3-A3144C4005C8}" uniqueName="5" name="Prüfaufwand" queryTableFieldId="5" dataDxfId="760"/>
    <tableColumn id="6" xr3:uid="{A49DAD17-94D4-4B4E-AD97-3D432C0BA1BE}" uniqueName="6" name="Spezifiaktion" queryTableFieldId="6" dataDxfId="759"/>
    <tableColumn id="43" xr3:uid="{DCBDEF51-D610-4A4F-AB38-F4C3E82FEDC6}" uniqueName="43" name="Bestellzyklus" queryTableFieldId="64" dataDxfId="758" dataCellStyle="Komma"/>
    <tableColumn id="7" xr3:uid="{6F94C52A-3FCB-43AF-8115-2EE1B516C772}" uniqueName="7" name="Lagerreichweite" queryTableFieldId="7" dataDxfId="757"/>
    <tableColumn id="1" xr3:uid="{75F80A3A-F531-4C0A-8CEC-7B8F7B0B81DD}" uniqueName="1" name="Stk." queryTableFieldId="51" dataDxfId="756" dataCellStyle="Komma"/>
    <tableColumn id="8" xr3:uid="{AEB96276-A881-41C1-AEFA-C5FEB9B28539}" uniqueName="8" name="kg" queryTableFieldId="52" dataDxfId="755"/>
    <tableColumn id="38" xr3:uid="{DC676DC6-EB03-43B3-89B1-311EA1125824}" uniqueName="38" name="l" queryTableFieldId="53" dataDxfId="754"/>
    <tableColumn id="39" xr3:uid="{C883D29F-6B67-4C40-BE93-719280D0DBE2}" uniqueName="39" name="m" queryTableFieldId="54" dataDxfId="753"/>
    <tableColumn id="40" xr3:uid="{54A715A6-EF85-4DD5-B6CE-45B779FE06FE}" uniqueName="40" name="m²" queryTableFieldId="55" dataDxfId="752"/>
    <tableColumn id="41" xr3:uid="{6F24D3F4-02A8-4B23-89F2-5B94C5079D64}" uniqueName="41" name="m³" queryTableFieldId="56" dataDxfId="751"/>
    <tableColumn id="9" xr3:uid="{4F9108A0-1286-4391-BA92-8F7140FEAE40}" uniqueName="9" name="Fläche je Lagereinheit" queryTableFieldId="9" dataDxfId="750" dataCellStyle="Komma"/>
    <tableColumn id="12" xr3:uid="{9BA18C58-A262-47DF-8E04-2BCAE1523BFB}" uniqueName="12" name="Lagerbediengerät" queryTableFieldId="12" dataDxfId="749">
      <calculatedColumnFormula>IFERROR(INDEX(MGKMHR[Gerät],MATCH(MGK[[#This Row],[Lagerart]],MGKMHR[Bezeichnung],0)),0)</calculatedColumnFormula>
    </tableColumn>
    <tableColumn id="13" xr3:uid="{50403C43-7A4C-4AD4-946E-A067DACA2A77}" uniqueName="13" name="EK" queryTableFieldId="13" dataDxfId="748">
      <calculatedColumnFormula array="1">IFERROR(IF(MGK[[#This Row],[Bestellaufwand]]="gering",0.25, IF(MGK[[#This Row],[Bestellaufwand]]="mittel",1.5,IF(MGK[[#This Row],[Bestellaufwand]]="hoch",8,0))),0)
+IFERROR(IF(MGK[[#This Row],[Bestellaufwand]]="gering",0.25, IF(MGK[[#This Row],[Bestellaufwand]]="mittel",0.5,IF(MGK[[#This Row],[Bestellaufwand]]="hoch",1,0)))*OrdersPerYear,0)</calculatedColumnFormula>
    </tableColumn>
    <tableColumn id="14" xr3:uid="{8D2C4AF4-B973-4F65-A239-3A238F198237}" uniqueName="14" name="PI" queryTableFieldId="14" dataDxfId="747">
      <calculatedColumnFormula>SUM(MGK[[#This Row],[Maße]:[Elekronik]])</calculatedColumnFormula>
    </tableColumn>
    <tableColumn id="15" xr3:uid="{30B09895-087D-41B7-9335-5DA0BE58F361}" uniqueName="15" name="LA" queryTableFieldId="15" dataDxfId="746">
      <calculatedColumnFormula array="1">IFERROR(INDEX(MGKMHR[Handling],MATCH(MGK[[#This Row],[Lagerart]],MGKMHR[Bezeichnung],0))
*(OrdersPerYear+52/MGK[[#This Row],[Lagerreichweite]])*IF(MGK[[#This Row],[Handling]]="gering",0.25,IF(MGK[[#This Row],[Handling]]="hoch",2,1)),0)</calculatedColumnFormula>
    </tableColumn>
    <tableColumn id="16" xr3:uid="{9BC018F7-75B6-4AC5-AAAD-F2078ACD64C3}" uniqueName="16" name="Maße" queryTableFieldId="16" dataDxfId="745">
      <calculatedColumnFormula array="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calculatedColumnFormula>
    </tableColumn>
    <tableColumn id="17" xr3:uid="{53D70DC8-723B-4DE5-B144-EF820812C2E3}" uniqueName="17" name="Gewicht" queryTableFieldId="17" dataDxfId="744">
      <calculatedColumnFormula array="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calculatedColumnFormula>
    </tableColumn>
    <tableColumn id="18" xr3:uid="{9D04F174-E3FE-4CD3-85B0-7C2430B4EBEA}" uniqueName="18" name="Werkstoff" queryTableFieldId="18" dataDxfId="743">
      <calculatedColumnFormula array="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calculatedColumnFormula>
    </tableColumn>
    <tableColumn id="19" xr3:uid="{0C63D891-AFB3-4B41-8727-8EA27D8B353D}" uniqueName="19" name="Funktion" queryTableFieldId="19" dataDxfId="742">
      <calculatedColumnFormula array="1">OrdersPerYear*IF(MGK[[#This Row],[Prüfaufwand]]="gering",0.25,IF(MGK[[#This Row],[Prüfaufwand]]="mittel",0.5,IF(MGK[[#This Row],[Prüfaufwand]]="hoch",1,0)))
*IF(MGK[[#This Row],[Spezifiaktion]]="Zusammenbau",1,0)*1</calculatedColumnFormula>
    </tableColumn>
    <tableColumn id="20" xr3:uid="{528F0D66-13AA-4464-82B9-D377DFADD3DA}" uniqueName="20" name="Röntgen" queryTableFieldId="20" dataDxfId="741">
      <calculatedColumnFormula array="1">OrdersPerYear*IF(MGK[[#This Row],[Prüfaufwand]]="hoch",1,0)
*IF(MGK[[#This Row],[Spezifiaktion]]="Zusammenbau",1,0)*0.25</calculatedColumnFormula>
    </tableColumn>
    <tableColumn id="21" xr3:uid="{7342A9E7-8865-498C-9AAD-969F810FD70F}" uniqueName="21" name="Magnetpulver" queryTableFieldId="21" dataDxfId="740">
      <calculatedColumnFormula array="1">OrdersPerYear*IF(MGK[[#This Row],[Prüfaufwand]]="hoch",1,0)
*IF(MGK[[#This Row],[Spezifiaktion]]="Zusammenbau",1,0)*0.25</calculatedColumnFormula>
    </tableColumn>
    <tableColumn id="22" xr3:uid="{466D6C27-455D-49A2-95BE-B3CADE2AAE0D}" uniqueName="22" name="Dauertest" queryTableFieldId="22" dataDxfId="739">
      <calculatedColumnFormula array="1">OrdersPerYear*IF(MGK[[#This Row],[Prüfaufwand]]="mittel",0.5,IF(MGK[[#This Row],[Prüfaufwand]]="hoch",1,0))
*IF(MGK[[#This Row],[Spezifiaktion]]="Zusammenbau",1,0)*1.5</calculatedColumnFormula>
    </tableColumn>
    <tableColumn id="23" xr3:uid="{06AC925B-CB0B-4566-B88A-6DC56ADF5AEA}" uniqueName="23" name="Farbechtheit" queryTableFieldId="23" dataDxfId="738">
      <calculatedColumnFormula array="1">OrdersPerYear*IF(MGK[[#This Row],[Prüfaufwand]]="hoch",1,0)
*IF(MGK[[#This Row],[Spezifiaktion]]="Zusammenbau",1,0)*0.25</calculatedColumnFormula>
    </tableColumn>
    <tableColumn id="24" xr3:uid="{948DDB10-D552-4A5D-B996-964B382AA188}" uniqueName="24" name="Elekronik" queryTableFieldId="24" dataDxfId="737">
      <calculatedColumnFormula array="1">OrdersPerYear*IF(MGK[[#This Row],[Bestellaufwand]]="gering",0.15,IF(MGK[[#This Row],[Bestellaufwand]]="mittel",0.5,IF(MGK[[#This Row],[Prüfaufwand]]="hoch",1,0)))
*IF(MGK[[#This Row],[Spezifiaktion]]="Elektronik",1,0)*1</calculatedColumnFormula>
    </tableColumn>
    <tableColumn id="25" xr3:uid="{83811ECF-516B-4746-ADC1-C0EBA74B7FB1}" uniqueName="25" name="Q-Invest" queryTableFieldId="25" dataDxfId="736">
      <calculatedColumnFormula array="1">IFERROR(SUMPRODUCT(MGK[[#This Row],[Maße]:[Elekronik]],TRANSPOSE($AT$8:$AT$16))*ExchangeRate/SUM(MGK[[#This Row],[Maße]:[Elekronik]]),0)</calculatedColumnFormula>
    </tableColumn>
    <tableColumn id="26" xr3:uid="{1C207086-AB57-4A0D-81DE-5B8E2429BB5C}" uniqueName="26" name="Q-€" queryTableFieldId="26" dataDxfId="735">
      <calculatedColumnFormula array="1">IFERROR((SUMPRODUCT(MGK[[#This Row],[Maße]:[Elekronik]],TRANSPOSE($AT$8:$AT$16),1/TRANSPOSE($AU$8:$AU$16))+SUMPRODUCT(MGK[[#This Row],[Maße]:[Elekronik]],TRANSPOSE($AT$8:$AT$16),TRANSPOSE($AY$8:$AY$16))+SUMPRODUCT(MGK[[#This Row],[Maße]:[Elekronik]],TRANSPOSE($AT$8:$AT$16),TRANSPOSE($AZ$8:$AZ$16)))*ExchangeRate/(250*8*0.8)/SUM(MGK[[#This Row],[Maße]:[Elekronik]]),0)</calculatedColumnFormula>
    </tableColumn>
    <tableColumn id="27" xr3:uid="{6D943508-2D63-446A-9055-712F7E14CDB0}" uniqueName="27" name="Q-kWh" queryTableFieldId="27" dataDxfId="734">
      <calculatedColumnFormula array="1">IFERROR(SUMPRODUCT(MGK[[#This Row],[Maße]:[Elekronik]],TRANSPOSE($AV$8:$AV$16),TRANSPOSE($AW$8:$AW$16))/SUM(MGK[[#This Row],[Maße]:[Elekronik]]),0)</calculatedColumnFormula>
    </tableColumn>
    <tableColumn id="28" xr3:uid="{6F2DDCC4-BC8F-4A81-B89D-8FF40751CF3A}" uniqueName="28" name="Q-m²" queryTableFieldId="28" dataDxfId="733">
      <calculatedColumnFormula array="1">IFERROR(SUMPRODUCT(MGK[[#This Row],[Maße]:[Elekronik]],TRANSPOSE($AX$8:$AX$16))/SUM(MGK[[#This Row],[Maße]:[Elekronik]]),0)</calculatedColumnFormula>
    </tableColumn>
    <tableColumn id="29" xr3:uid="{CBB9BD54-F163-49AA-BB2C-28BD22BB5909}" uniqueName="29" name="L-Invest" queryTableFieldId="29" dataDxfId="732">
      <calculatedColumnFormula>IFERROR(INDEX(MGKMHR[Invest],MATCH(MGK[[#This Row],[Lagerart]],MGKMHR[Bezeichnung],0))*ExchangeRate,0)</calculatedColumnFormula>
    </tableColumn>
    <tableColumn id="30" xr3:uid="{CC43E13B-F3AB-4886-B30D-E570AB158781}" uniqueName="30" name="L-€" queryTableFieldId="30" dataDxfId="731">
      <calculatedColumnFormula>IFERROR(MGK[[#This Row],[L-Invest]]*(1/INDEX(MGKMHR[AfA],MATCH(MGK[[#This Row],[Lagerart]],MGKMHR[Bezeichnung],0))+INDEX(MGKMHR[Verbrauchsmaterial],MATCH(MGK[[#This Row],[Lagerart]],MGKMHR[Bezeichnung],0))+INDEX(MGKMHR[Instandhaltung],MATCH(MGK[[#This Row],[Lagerart]],MGKMHR[Bezeichnung],0)))/(365*24),0)</calculatedColumnFormula>
    </tableColumn>
    <tableColumn id="31" xr3:uid="{CB6342D3-3AAA-41E0-B6F8-B267A779C2F9}" uniqueName="31" name="L-kWh" queryTableFieldId="31" dataDxfId="730">
      <calculatedColumnFormula>IFERROR(INDEX(MGKMHR[Strom],MATCH(MGK[[#This Row],[Lagerart]],MGKMHR[Bezeichnung],0))*INDEX(MGKMHR[Faktor],MATCH(MGK[[#This Row],[Lagerart]],MGKMHR[Bezeichnung],0)),0)</calculatedColumnFormula>
    </tableColumn>
    <tableColumn id="32" xr3:uid="{7D50F81E-94EE-453D-A762-86055ABC8C0D}" uniqueName="32" name="L-m²" queryTableFieldId="32" dataDxfId="729">
      <calculatedColumnFormula>IFERROR(INDEX(MGKMHR[Fläche],MATCH(MGK[[#This Row],[Lagerart]],MGKMHR[Bezeichnung],0)),0)</calculatedColumnFormula>
    </tableColumn>
    <tableColumn id="33" xr3:uid="{70A6E78F-6892-41BF-96D3-81EB66DE8CB3}" uniqueName="33" name="B-Invest" queryTableFieldId="33" dataDxfId="728">
      <calculatedColumnFormula>IFERROR(INDEX(MGKMHR[Invest],MATCH(MGK[[#This Row],[Lagerbediengerät]],MGKMHR[Bezeichnung],0))*ExchangeRate,0)</calculatedColumnFormula>
    </tableColumn>
    <tableColumn id="34" xr3:uid="{83B81036-17FD-43A5-88DE-D2C15FCDB564}" uniqueName="34" name="B-€" queryTableFieldId="34" dataDxfId="727">
      <calculatedColumnFormula>IFERROR(MGK[[#This Row],[B-Invest]]*(1/INDEX(MGKMHR[AfA],MATCH(MGK[[#This Row],[Lagerbediengerät]],MGKMHR[Bezeichnung],0))+INDEX(MGKMHR[Verbrauchsmaterial],MATCH(MGK[[#This Row],[Lagerbediengerät]],MGKMHR[Bezeichnung],0))+INDEX(MGKMHR[Instandhaltung],MATCH(MGK[[#This Row],[Lagerbediengerät]],MGKMHR[Bezeichnung],0)))/(250*16*0.8),0)</calculatedColumnFormula>
    </tableColumn>
    <tableColumn id="35" xr3:uid="{2F72DE54-F469-4E66-818E-2D61FA0E23B0}" uniqueName="35" name="B-kWh" queryTableFieldId="35" dataDxfId="726">
      <calculatedColumnFormula>IFERROR(INDEX(MGKMHR[Strom],MATCH(MGK[[#This Row],[Lagerbediengerät]],MGKMHR[Bezeichnung],0))*INDEX(MGKMHR[Faktor],MATCH(MGK[[#This Row],[Lagerbediengerät]],MGKMHR[Bezeichnung],0)),0)</calculatedColumnFormula>
    </tableColumn>
    <tableColumn id="36" xr3:uid="{63DB63C4-0EF5-4B8F-854F-EE6DD1F266AE}" uniqueName="36" name="B-m²" queryTableFieldId="36" dataDxfId="725">
      <calculatedColumnFormula>IFERROR(INDEX(MGKMHR[Fläche],MATCH(MGK[[#This Row],[Lagerbediengerät]],MGKMHR[Bezeichnung],0)),0)</calculatedColumnFormula>
    </tableColumn>
  </tableColumns>
  <tableStyleInfo name="Tabellenformat 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2D45AA95-D2EC-4088-B41D-76C841AE55F3}" name="MGKMHR" displayName="MGKMHR" comment="IndirectCosts" ref="AS6:BB26" tableType="queryTable" totalsRowShown="0" headerRowDxfId="724" dataDxfId="723" tableBorderDxfId="722">
  <autoFilter ref="AS6:BB26" xr:uid="{7E22567A-4C18-47A3-95AB-77CDCE08820A}"/>
  <tableColumns count="10">
    <tableColumn id="1" xr3:uid="{F52B191E-F5E3-49D0-A9BD-5217A5CB174C}" uniqueName="1" name="Bezeichnung" queryTableFieldId="1" dataDxfId="721"/>
    <tableColumn id="2" xr3:uid="{4DAC8912-447A-4C7A-839C-BAC3A0D37508}" uniqueName="2" name="Invest" queryTableFieldId="2" dataDxfId="720"/>
    <tableColumn id="3" xr3:uid="{8475885C-6A0F-41F8-BBEF-28789419D740}" uniqueName="3" name="AfA" queryTableFieldId="3" dataDxfId="719"/>
    <tableColumn id="4" xr3:uid="{19E3D4E0-4E4D-4634-940D-4243D44E7440}" uniqueName="4" name="Strom" queryTableFieldId="4" dataDxfId="718"/>
    <tableColumn id="5" xr3:uid="{ABF83C6E-01BC-4E30-AE28-30F39C16D268}" uniqueName="5" name="Faktor" queryTableFieldId="5" dataDxfId="717"/>
    <tableColumn id="6" xr3:uid="{0810B018-A4D8-41CE-B156-547A48D52727}" uniqueName="6" name="Fläche" queryTableFieldId="6" dataDxfId="716"/>
    <tableColumn id="7" xr3:uid="{C0A21D52-3CFC-4C67-A23B-AC1914F8AB79}" uniqueName="7" name="Verbrauchsmaterial" queryTableFieldId="7" dataDxfId="715" dataCellStyle="Prozent"/>
    <tableColumn id="8" xr3:uid="{810BF5F3-521F-41E0-B533-81C11350E08C}" uniqueName="8" name="Instandhaltung" queryTableFieldId="8" dataDxfId="714" dataCellStyle="Prozent"/>
    <tableColumn id="9" xr3:uid="{0954C9C3-A7B3-4221-A049-8C846F065D05}" uniqueName="9" name="Gerät" queryTableFieldId="9" dataDxfId="713" dataCellStyle="Prozent"/>
    <tableColumn id="10" xr3:uid="{D6D6EB2A-DFF8-43D1-9130-FB3E460D8390}" uniqueName="10" name="Handling" queryTableFieldId="10" dataDxfId="712" dataCellStyle="Prozent"/>
  </tableColumns>
  <tableStyleInfo name="Tabellenformat 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4A8189D-5C6B-4BFB-B538-C6B55654D47F}" name="Units" displayName="Units" ref="BI6:BK26" totalsRowShown="0" headerRowDxfId="711" dataDxfId="710" tableBorderDxfId="709">
  <autoFilter ref="BI6:BK26" xr:uid="{04A8189D-5C6B-4BFB-B538-C6B55654D47F}"/>
  <tableColumns count="3">
    <tableColumn id="1" xr3:uid="{D8A1223F-36AD-4EFC-B9A2-1915B123D656}" name="Einheit" dataDxfId="708"/>
    <tableColumn id="2" xr3:uid="{7989A1D3-5425-4DB6-A631-77C9B9BA3139}" name="Basis" dataDxfId="707"/>
    <tableColumn id="3" xr3:uid="{095002AE-8E0F-43E2-8550-A7ED45E8FFF9}" name="Faktor" dataDxfId="706"/>
  </tableColumns>
  <tableStyleInfo name="Tabellenformat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7710953-C17B-4A0E-9600-13C6DCC0D738}" name="AnalysisChart1" displayName="AnalysisChart1" ref="G2:AW41" totalsRowShown="0" headerRowDxfId="703" dataDxfId="702">
  <tableColumns count="43">
    <tableColumn id="24" xr3:uid="{B239A564-A429-486D-AD45-A6F7F76F7AFA}" name=" " dataDxfId="701"/>
    <tableColumn id="19" xr3:uid="{79EBA25C-74AD-4900-932C-E786420D2091}" name="  " dataDxfId="700">
      <calculatedColumnFormula>IF(AnalysisChart1[[#This Row],[ ]]&lt;&gt;"",AnalysisChart1[[#This Row],[ ]],"")</calculatedColumnFormula>
    </tableColumn>
    <tableColumn id="1" xr3:uid="{E2E239D2-633D-4A61-95C6-3FF35699A7C3}" name="Split 1" dataDxfId="699"/>
    <tableColumn id="2" xr3:uid="{4CE8AB6D-9E05-423C-9D70-9EE6D0AC6A12}" name="Kosten" dataDxfId="698"/>
    <tableColumn id="3" xr3:uid="{611593CC-D5B7-4C08-9C3C-D088947B2644}" name="+" dataDxfId="697"/>
    <tableColumn id="28" xr3:uid="{4F9AFC57-F0CA-4D14-9602-E458200519B4}" name="#" dataDxfId="696">
      <calculatedColumnFormula>ROW()-ROW($L$2)</calculatedColumnFormula>
    </tableColumn>
    <tableColumn id="29" xr3:uid="{311A2413-149A-4792-957C-D8C7E586EE53}" name="1" dataDxfId="695"/>
    <tableColumn id="4" xr3:uid="{9412D165-B497-4733-8975-3B7AC3EE6A04}" name="2" dataDxfId="694"/>
    <tableColumn id="18" xr3:uid="{4741338C-7ABA-4461-A54C-23576CBC8CEA}" name="3" dataDxfId="693"/>
    <tableColumn id="10" xr3:uid="{4360D66D-AA68-4B7B-85B6-7F8D5AA79178}" name="4" dataDxfId="692"/>
    <tableColumn id="31" xr3:uid="{08124DFE-CEE9-4EE1-97A7-50F95845ED9A}" name="5" dataDxfId="691"/>
    <tableColumn id="6" xr3:uid="{59775B9D-F237-46E3-AB23-CBC9F383103D}" name="6" dataDxfId="690"/>
    <tableColumn id="5" xr3:uid="{A196D1A1-CF8B-40ED-AF29-D029AF7D69B1}" name="7" dataDxfId="689"/>
    <tableColumn id="11" xr3:uid="{76791CE6-62D8-46BF-B08D-2D5291988967}" name="8" dataDxfId="688"/>
    <tableColumn id="32" xr3:uid="{436F584A-893C-4C08-9378-8A652F8395B4}" name="9" dataDxfId="687"/>
    <tableColumn id="33" xr3:uid="{2764552D-84C5-4E37-A48B-B7E9D845F461}" name="10" dataDxfId="686"/>
    <tableColumn id="34" xr3:uid="{687331FD-401C-4B79-9D36-1DD960F61B67}" name="11" dataDxfId="685"/>
    <tableColumn id="35" xr3:uid="{9DEE833D-9FD5-4C46-A8AD-732C4DDF4B62}" name="12" dataDxfId="684"/>
    <tableColumn id="8" xr3:uid="{B7AF099F-2818-4785-BB3E-8944E0E9C318}" name="13" dataDxfId="683"/>
    <tableColumn id="7" xr3:uid="{DF492475-95A9-4425-9B91-24F478E66F3B}" name="14" dataDxfId="682"/>
    <tableColumn id="12" xr3:uid="{D77EF7C1-4489-44F3-927A-9BC8BBB84AB2}" name="15" dataDxfId="681"/>
    <tableColumn id="36" xr3:uid="{8E075164-C665-48F4-8AEE-135EC764EB00}" name="16" dataDxfId="680"/>
    <tableColumn id="37" xr3:uid="{2F76592F-8CA9-4574-9E37-7053A97BAFB9}" name="17" dataDxfId="679"/>
    <tableColumn id="13" xr3:uid="{6856B2DA-4E45-4205-9BAE-1F16A8CA6CD1}" name="18" dataDxfId="678"/>
    <tableColumn id="38" xr3:uid="{5C513157-DC19-48A2-8C64-CC2F06C78F18}" name="19" dataDxfId="677"/>
    <tableColumn id="39" xr3:uid="{493975ED-5EB8-423E-AA4C-FE2939F54ADD}" name="20" dataDxfId="676"/>
    <tableColumn id="40" xr3:uid="{22D383CD-8D51-4E2B-B8AD-162C4EA96596}" name="22" dataDxfId="675"/>
    <tableColumn id="41" xr3:uid="{C40800A4-2517-45F6-A65C-DB31FF36DE19}" name="23" dataDxfId="674"/>
    <tableColumn id="14" xr3:uid="{C5F741AB-EAFF-47A9-AE4C-11D36586027B}" name="24" dataDxfId="673"/>
    <tableColumn id="42" xr3:uid="{2C3B9F94-407C-405E-A402-8CCB311E808F}" name="25" dataDxfId="672"/>
    <tableColumn id="15" xr3:uid="{4CE307E2-10D2-4011-B1AD-2FED2C039B56}" name="26" dataDxfId="671"/>
    <tableColumn id="43" xr3:uid="{954CF0EC-11FA-4F12-B79C-5290AE576F7C}" name="27" dataDxfId="670"/>
    <tableColumn id="44" xr3:uid="{B3339241-CDDA-45D3-8AB7-9931E0F224ED}" name="28" dataDxfId="669"/>
    <tableColumn id="45" xr3:uid="{A457F3B8-EC6D-4788-BB8F-68BA01192CF8}" name="29" dataDxfId="668"/>
    <tableColumn id="46" xr3:uid="{85D87924-3899-4DD1-ACE7-EB5584777BF5}" name="30" dataDxfId="667"/>
    <tableColumn id="47" xr3:uid="{34F85811-B264-47A0-A0F4-332C8D1079B6}" name="31" dataDxfId="666"/>
    <tableColumn id="48" xr3:uid="{F7E68264-EFC4-4485-B775-76819762B23B}" name="32" dataDxfId="665"/>
    <tableColumn id="49" xr3:uid="{4C17B2CC-99E7-49AE-870D-B22BC5EA77BE}" name="33" dataDxfId="664"/>
    <tableColumn id="16" xr3:uid="{35DA4070-91AC-4F5C-B81E-268188E42388}" name="34" dataDxfId="663"/>
    <tableColumn id="9" xr3:uid="{4F7EDEA4-251D-43F0-938B-692AFC071546}" name="35" dataDxfId="662"/>
    <tableColumn id="50" xr3:uid="{2397EF23-B9CF-4561-98EA-96AF3A5FD0F7}" name="36" dataDxfId="661"/>
    <tableColumn id="17" xr3:uid="{561C5A36-2A21-4B6A-B8A5-7AC7177A1D41}" name="37" dataDxfId="660"/>
    <tableColumn id="51" xr3:uid="{199F1EB4-D976-42DA-B260-500F23ECE267}" name="38" dataDxfId="659"/>
  </tableColumns>
  <tableStyleInfo name="Tabellenformat 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E5A6A9-4EFA-40D8-B2B3-536BA1BDD227}" name="AnalysisData2" displayName="AnalysisData2" ref="B35:E41" totalsRowShown="0" headerRowDxfId="658" dataDxfId="656" headerRowBorderDxfId="657">
  <tableColumns count="4">
    <tableColumn id="3" xr3:uid="{0CED3116-0463-4019-BEB8-CD110B0C9FA0}" name="#" dataDxfId="655">
      <calculatedColumnFormula>ROW()-35</calculatedColumnFormula>
    </tableColumn>
    <tableColumn id="1" xr3:uid="{0BED3C71-FFE1-4C1F-9879-914295F573D5}" name="Components" dataDxfId="654"/>
    <tableColumn id="4" xr3:uid="{20AFC6D6-73BE-4438-9305-CCADE5B045D2}" name="Kosten" dataDxfId="653"/>
    <tableColumn id="2" xr3:uid="{45E94AA6-A6DB-4EAE-9A3B-D06BEB26D2D5}" name=" " dataDxfId="652"/>
  </tableColumns>
  <tableStyleInfo name="Tabellenformat 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32A653F-9AA4-467A-B7D2-B46D58CD8F33}" name="AnalysisChart2" displayName="AnalysisChart2" ref="AY2:CF32" totalsRowShown="0" headerRowDxfId="651" dataDxfId="650" tableBorderDxfId="649">
  <tableColumns count="34">
    <tableColumn id="24" xr3:uid="{69E64291-2D76-460C-B336-91114955AD12}" name=" " dataDxfId="648"/>
    <tableColumn id="9" xr3:uid="{BDBAC979-3A7B-43C9-B461-D4AE3732EE66}" name="  " dataDxfId="647">
      <calculatedColumnFormula>IF(AnalysisChart2[[#This Row],[ ]]&lt;&gt;"",AnalysisChart2[[#This Row],[ ]],"")</calculatedColumnFormula>
    </tableColumn>
    <tableColumn id="1" xr3:uid="{D1E4808D-EE8E-424F-9A78-1EA07C62A55B}" name="Split 2" dataDxfId="646"/>
    <tableColumn id="2" xr3:uid="{244122EB-38E7-49A8-8B68-0C97D50A1E04}" name="Kosten" dataDxfId="645"/>
    <tableColumn id="3" xr3:uid="{23B88595-7BDC-4E58-B55D-0017494F0CB5}" name="+" dataDxfId="644"/>
    <tableColumn id="28" xr3:uid="{E98B3338-BB66-4428-935A-3C2732C38625}" name="#" dataDxfId="643">
      <calculatedColumnFormula>ROW()-ROW($L$2)</calculatedColumnFormula>
    </tableColumn>
    <tableColumn id="29" xr3:uid="{85D45DD0-D9A9-487C-8389-1231E5D73AB3}" name="1" dataDxfId="642"/>
    <tableColumn id="4" xr3:uid="{4AD62872-1E12-48D7-81DD-ECCE4E0CBF81}" name="2" dataDxfId="641"/>
    <tableColumn id="18" xr3:uid="{10A3313E-1B83-4FE7-A6D1-17EFCF48D888}" name="3" dataDxfId="640"/>
    <tableColumn id="10" xr3:uid="{8C598722-A2D2-4873-98A7-9D23DDCF1556}" name="4" dataDxfId="639"/>
    <tableColumn id="19" xr3:uid="{9D84CD46-AF43-44F1-BE16-F98F5AC7DB0A}" name="5" dataDxfId="638"/>
    <tableColumn id="31" xr3:uid="{9186D365-8541-4A01-82B3-C319F4C4BFC7}" name="6" dataDxfId="637"/>
    <tableColumn id="6" xr3:uid="{970D8751-EF47-45A4-A1A1-264CA8E1BA34}" name="7" dataDxfId="636"/>
    <tableColumn id="5" xr3:uid="{E733FC6C-2823-4344-B482-DA7E7B35484D}" name="8" dataDxfId="635"/>
    <tableColumn id="11" xr3:uid="{911F5A63-71D9-4C2B-B29C-F96A492A5DE6}" name="9" dataDxfId="634"/>
    <tableColumn id="32" xr3:uid="{6E595AE6-BBE1-4B8F-BABD-43A4639F6B15}" name="10" dataDxfId="633"/>
    <tableColumn id="33" xr3:uid="{EF495323-B499-41AB-8F2D-062590F5A021}" name="11" dataDxfId="632"/>
    <tableColumn id="34" xr3:uid="{2197C4CA-DAD2-47EC-9A0F-2AE004BA5F90}" name="12" dataDxfId="631"/>
    <tableColumn id="35" xr3:uid="{C5F3FE71-DD03-45F3-9968-E9032538E5A3}" name="13" dataDxfId="630"/>
    <tableColumn id="8" xr3:uid="{4599D584-C6C4-468E-8A61-A40EBCE8066D}" name="14" dataDxfId="629"/>
    <tableColumn id="7" xr3:uid="{F6A4375F-6CAE-40BD-83D4-D45272C5ED12}" name="15" dataDxfId="628"/>
    <tableColumn id="12" xr3:uid="{283EE334-EA6E-4F9B-B719-3710F0606434}" name="16" dataDxfId="627"/>
    <tableColumn id="20" xr3:uid="{6DAD7A33-F33A-49A7-ABE0-86A9056EE9D1}" name="17" dataDxfId="626"/>
    <tableColumn id="37" xr3:uid="{2D04C57E-4FC9-4D6E-BE74-49D2CAB8F407}" name="19" dataDxfId="625"/>
    <tableColumn id="13" xr3:uid="{0595EBBF-637B-4753-BEA8-B14D40FF0B77}" name="20" dataDxfId="624"/>
    <tableColumn id="21" xr3:uid="{AB94635E-AB47-4DEB-87B1-019430CDDB20}" name="21" dataDxfId="623"/>
    <tableColumn id="38" xr3:uid="{BFA4082D-A69E-44DA-88B4-5A2CF7F3CDE6}" name="22" dataDxfId="622"/>
    <tableColumn id="39" xr3:uid="{CDEFF6E3-9D7F-41FA-A1DC-2F17A275298B}" name="23" dataDxfId="621"/>
    <tableColumn id="40" xr3:uid="{C31641FB-86E9-49BD-B3D4-6ADCE27AF2C9}" name="24" dataDxfId="620"/>
    <tableColumn id="41" xr3:uid="{795B6D9D-70C8-4C5F-802E-AD9D9DFC2811}" name="25" dataDxfId="619"/>
    <tableColumn id="14" xr3:uid="{6D858523-684E-473E-A185-7F6DF806E381}" name="26" dataDxfId="618"/>
    <tableColumn id="42" xr3:uid="{A0A7E8EE-E182-4648-8037-863C67C3BCF2}" name="27" dataDxfId="617"/>
    <tableColumn id="15" xr3:uid="{84A32548-CBD6-43BA-BB3B-D38A1C7C2226}" name="28" dataDxfId="616"/>
    <tableColumn id="51" xr3:uid="{68383BE7-02EC-477A-83EA-40BFC2F0F261}" name="29" dataDxfId="615"/>
  </tableColumns>
  <tableStyleInfo name="Tabellenformat 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C36597-9BA5-45FA-ABBE-70AC9E4B1801}" name="AnalysisData1" displayName="AnalysisData1" ref="B2:E33" totalsRowShown="0" headerRowDxfId="614" dataDxfId="613">
  <tableColumns count="4">
    <tableColumn id="4" xr3:uid="{319B0B5B-6350-49C8-AED4-8F28005FE06E}" name="#" dataDxfId="612"/>
    <tableColumn id="1" xr3:uid="{99293EA7-3C22-4700-AB36-F97CD954299C}" name="Kostenarten" dataDxfId="611"/>
    <tableColumn id="2" xr3:uid="{40C1DAC2-DEF0-43BD-9A77-965FB771F165}" name="Kosten" dataDxfId="610"/>
    <tableColumn id="5" xr3:uid="{78A1EECD-8A17-4E5D-97F2-6AFFCD0B49FD}" name="Spalte" dataDxfId="609"/>
  </tableColumns>
  <tableStyleInfo name="Tabellenformat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F7E7527-AB03-4FB6-AEA5-0DABEFD4EE87}" name="DocCalculation" displayName="DocCalculation" comment="Documentation" ref="B5:L108" totalsRowShown="0" headerRowDxfId="596" dataDxfId="595">
  <autoFilter ref="B5:L108" xr:uid="{B60A49CC-ED49-43B3-997A-CE5BDB24A8D7}"/>
  <tableColumns count="11">
    <tableColumn id="1" xr3:uid="{BDEB7B5F-03D6-4191-9172-454A42149452}" name="Column" dataDxfId="594"/>
    <tableColumn id="8" xr3:uid="{9159A626-33CC-476E-B77E-F2A25E09B577}" name="Header EN" dataDxfId="593">
      <calculatedColumnFormula>DocCalculation[[#This Row],[Category EN]]&amp;IF(LEN(DocCalculation[[#This Row],[Subcategory EN]])&gt;0," 
" &amp;DocCalculation[[#This Row],[Subcategory EN]],)</calculatedColumnFormula>
    </tableColumn>
    <tableColumn id="9" xr3:uid="{237C4806-C75D-4A86-AD31-8C13CCC773AF}" name="Body EN" dataDxfId="592"/>
    <tableColumn id="7" xr3:uid="{CB0D0A05-F152-4C75-86CC-5DCB1524F6B7}" name="Header DE" dataDxfId="591">
      <calculatedColumnFormula>DocCalculation[[#This Row],[Category DE]]&amp;IF(LEN(DocCalculation[[#This Row],[Subcategory DE]])&gt;0," 
" &amp;DocCalculation[[#This Row],[Subcategory DE]],)</calculatedColumnFormula>
    </tableColumn>
    <tableColumn id="4" xr3:uid="{53E0C6CF-2887-448B-8C48-5DE1F08FCD35}" name="Body DE" dataDxfId="590"/>
    <tableColumn id="11" xr3:uid="{1EA94407-1B95-460E-B9A9-76E6F54519A3}" name="Category EN" dataDxfId="589"/>
    <tableColumn id="10" xr3:uid="{D31B9562-80EE-44C2-B97D-A09F45C549D7}" name="Subcategory EN" dataDxfId="588"/>
    <tableColumn id="5" xr3:uid="{FBF87FEC-91AE-4648-B2AD-5EC008EAD077}" name="Category DE" dataDxfId="587"/>
    <tableColumn id="2" xr3:uid="{DE7BD328-0233-4751-8083-64AA53643507}" name="Subcategory DE" dataDxfId="586"/>
    <tableColumn id="3" xr3:uid="{D88BBE16-C958-409D-9639-E7485B43CC26}" name="Einheit" dataDxfId="585"/>
    <tableColumn id="6" xr3:uid="{0821E22A-D3BF-462C-8D80-657E5E88B9C6}" name="Visible" dataDxfId="584"/>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D9E27F4-E12A-40DF-8AE3-5AE751EDCE9E}" name="DocBOM" displayName="DocBOM" comment="Documentation" ref="B112:I130" totalsRowShown="0" headerRowDxfId="583" dataDxfId="582">
  <autoFilter ref="B112:I130" xr:uid="{8DAE2F09-538E-4AC6-8906-42F197C37C49}"/>
  <tableColumns count="8">
    <tableColumn id="1" xr3:uid="{CAAE2C3F-D4EF-4974-BD0A-D45065BCA187}" name="Column" dataDxfId="581"/>
    <tableColumn id="2" xr3:uid="{94F4A689-DCA3-4C21-A6F6-80E7F225C9BC}" name="Header EN" dataDxfId="580">
      <calculatedColumnFormula>DocBOM[[#This Row],[Category EN]]</calculatedColumnFormula>
    </tableColumn>
    <tableColumn id="3" xr3:uid="{D111D9BF-8F94-4AA9-A883-8D835B69232E}" name="Body EN" dataDxfId="579"/>
    <tableColumn id="4" xr3:uid="{0167C84A-2227-4FF0-827F-840C377467DF}" name="Header DE" dataDxfId="578"/>
    <tableColumn id="5" xr3:uid="{F227EAA2-28D6-45FA-8A06-6FE65CC408E7}" name="Body DE" dataDxfId="577"/>
    <tableColumn id="6" xr3:uid="{0CCF70B4-8F8C-480E-B6C4-157C49DE5DA7}" name="Category EN" dataDxfId="576"/>
    <tableColumn id="7" xr3:uid="{CD157440-69F9-40C8-8FC8-C523E5C0FD21}" name="Category DE" dataDxfId="575"/>
    <tableColumn id="8" xr3:uid="{D8160B74-F588-46F7-B261-AD0C776C6507}" name="Visible" dataDxfId="574"/>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5A2F55F-237F-4E60-BC92-EB6F2AE4306C}" name="DocPremises" displayName="DocPremises" comment="Documentation" ref="B134:L184" totalsRowShown="0" headerRowDxfId="573" dataDxfId="572">
  <autoFilter ref="B134:L184" xr:uid="{1EBC16C1-5AC3-45CF-A7D6-1458B230AC9F}"/>
  <tableColumns count="11">
    <tableColumn id="1" xr3:uid="{C88BAFBE-3BF1-4C4F-8094-AD5B109FCD59}" name="Row" dataDxfId="571"/>
    <tableColumn id="2" xr3:uid="{04B368F7-F639-4D12-8E25-266DAE22202A}" name="Header EN" dataDxfId="570">
      <calculatedColumnFormula>DocPremises[[#This Row],[Category EN]]&amp;IF(LEN(DocPremises[[#This Row],[Subcategory EN]])&gt;0," 
" &amp;DocPremises[[#This Row],[Subcategory EN]],)</calculatedColumnFormula>
    </tableColumn>
    <tableColumn id="3" xr3:uid="{7E804F8C-D8A8-4B5E-9F16-A7FC944D7216}" name="Body EN" dataDxfId="569"/>
    <tableColumn id="4" xr3:uid="{EBBE7212-FB79-4496-90CF-03112F165079}" name="Header DE" dataDxfId="568">
      <calculatedColumnFormula>DocPremises[[#This Row],[Category DE]]&amp;IF(LEN(DocPremises[[#This Row],[Subcategory DE]])&gt;0," 
" &amp;DocPremises[[#This Row],[Subcategory DE]],)</calculatedColumnFormula>
    </tableColumn>
    <tableColumn id="5" xr3:uid="{E85D6925-5454-466B-B953-B8CF4FDF00CA}" name="Body DE" dataDxfId="567"/>
    <tableColumn id="6" xr3:uid="{B06607F6-9C05-4CEC-A42D-638B16611C3C}" name="Category EN" dataDxfId="566"/>
    <tableColumn id="7" xr3:uid="{356B437D-A197-4FE0-99B9-62B9EA114DD7}" name="Subcategory EN" dataDxfId="565"/>
    <tableColumn id="8" xr3:uid="{FBE36D14-44F7-4956-8687-C3C861C71D56}" name="Category DE" dataDxfId="564"/>
    <tableColumn id="9" xr3:uid="{6E780150-73D2-4A75-8BCC-81D45B7C2921}" name="Subcategory DE" dataDxfId="563"/>
    <tableColumn id="10" xr3:uid="{59EAA60D-B90E-45BD-9E53-6C55AD8C723B}" name="Einheit" dataDxfId="562"/>
    <tableColumn id="11" xr3:uid="{E52C55D0-209D-4278-9785-2969A19DD513}" name="Visible" dataDxfId="561"/>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40A6EDC-3E80-4C53-A121-C427DA788B5F}" name="DocMHR" displayName="DocMHR" comment="Documentation" ref="B188:K237" totalsRowShown="0" headerRowDxfId="560" dataDxfId="559">
  <autoFilter ref="B188:K237" xr:uid="{5280BB3F-DE5B-494D-834C-DA4FAB669AD2}"/>
  <tableColumns count="10">
    <tableColumn id="1" xr3:uid="{89B3B74B-4CFC-4DA7-B678-8E70734ECF77}" name="Column" dataDxfId="558"/>
    <tableColumn id="2" xr3:uid="{AEA515E6-BDD5-400F-A93A-EB9A975DE37D}" name="Header EN" dataDxfId="557">
      <calculatedColumnFormula>DocMHR[[#This Row],[Category EN]]&amp;IF(LEN(DocMHR[[#This Row],[Subcategory EN]])&gt;0," 
" &amp;DocMHR[[#This Row],[Subcategory EN]],)</calculatedColumnFormula>
    </tableColumn>
    <tableColumn id="3" xr3:uid="{161F59FC-D09F-4766-8E48-28296DAFE622}" name="Body EN" dataDxfId="556"/>
    <tableColumn id="4" xr3:uid="{1C806C23-A036-4BF7-9352-24A666989481}" name="Header DE" dataDxfId="555">
      <calculatedColumnFormula>DocMHR[[#This Row],[Category DE]]&amp;IF(LEN(DocMHR[[#This Row],[Subcategory DE]])&gt;0," 
" &amp;DocMHR[[#This Row],[Subcategory DE]],)</calculatedColumnFormula>
    </tableColumn>
    <tableColumn id="5" xr3:uid="{BFA633AC-0E83-46B0-8897-6755367E6477}" name="Body DE" dataDxfId="554"/>
    <tableColumn id="6" xr3:uid="{CC68C314-E2A7-4945-94E8-6FC91613A805}" name="Category EN" dataDxfId="553"/>
    <tableColumn id="9" xr3:uid="{EA1D0B96-AB43-4347-8A70-61E968FD7FE4}" name="Subcategory EN" dataDxfId="552"/>
    <tableColumn id="7" xr3:uid="{02B653AA-C6BD-4A17-B43F-B7FF12C24448}" name="Category DE" dataDxfId="551"/>
    <tableColumn id="10" xr3:uid="{11FDA88F-B679-49A2-80E4-C2AE6C4F51E2}" name="Subcategory DE" dataDxfId="550"/>
    <tableColumn id="8" xr3:uid="{551C7DD9-E604-4F47-B0A8-E9EAF5DE27AC}" name="Visible" dataDxfId="549"/>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ABA338D-0D34-489B-9F2A-03FB241168E1}" name="DocMAT" displayName="DocMAT" comment="Documentation" ref="B241:K269" totalsRowShown="0" headerRowDxfId="548" dataDxfId="547">
  <autoFilter ref="B241:K269" xr:uid="{715D3402-7CEB-48DC-8046-B890A0164219}"/>
  <tableColumns count="10">
    <tableColumn id="1" xr3:uid="{B2A1A740-AE79-4925-848B-BDC022D00352}" name="Column" dataDxfId="546"/>
    <tableColumn id="2" xr3:uid="{EC2639CE-08E2-43DD-B817-AF2E8BA22DC5}" name="Header EN" dataDxfId="545">
      <calculatedColumnFormula>DocMAT[[#This Row],[Category EN]]&amp;IF(LEN(DocMAT[[#This Row],[Subcategory EN]])&gt;0," 
" &amp;DocMAT[[#This Row],[Subcategory EN]],)</calculatedColumnFormula>
    </tableColumn>
    <tableColumn id="3" xr3:uid="{7D7E76E3-36BB-4A41-BF0C-CBFB0AEDC661}" name="Body EN" dataDxfId="544"/>
    <tableColumn id="4" xr3:uid="{9B6BC8B2-947E-4522-B12A-615CF820B27C}" name="Header DE" dataDxfId="543">
      <calculatedColumnFormula>DocMAT[[#This Row],[Category DE]]&amp;IF(LEN(DocMAT[[#This Row],[Subcategory DE]])&gt;0," 
" &amp;DocMAT[[#This Row],[Subcategory DE]],)</calculatedColumnFormula>
    </tableColumn>
    <tableColumn id="5" xr3:uid="{10375D96-65BE-49D5-BA5A-E8601992B10F}" name="Body DE" dataDxfId="542"/>
    <tableColumn id="10" xr3:uid="{DB6A17B8-5D9D-4834-A08E-1171FD9E63BE}" name="Category EN" dataDxfId="541"/>
    <tableColumn id="9" xr3:uid="{43F122CD-B75E-422F-9BCC-0AD41A636BB0}" name="Subcategory EN" dataDxfId="540"/>
    <tableColumn id="6" xr3:uid="{D226CBF6-8FF7-4B4E-A26A-D51B28BC17CE}" name="Category DE" dataDxfId="539"/>
    <tableColumn id="7" xr3:uid="{BC1AB300-50BC-420C-B4AF-C04AE1EF50E0}" name="Subcategory DE" dataDxfId="538"/>
    <tableColumn id="8" xr3:uid="{5F98D276-8BD7-4BB6-ACC6-21360FAFFB04}" name="Visible" dataDxfId="537"/>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97A954-EF55-426F-B796-D855790718B2}" name="DocLOC" displayName="DocLOC" comment="Documentation" ref="B273:I297" totalsRowShown="0" headerRowDxfId="536" dataDxfId="535">
  <autoFilter ref="B273:I297" xr:uid="{E71D9492-3447-4FFD-A309-902354D863D4}"/>
  <tableColumns count="8">
    <tableColumn id="1" xr3:uid="{25D053C7-68DA-461C-B6B0-0980BEA78FC9}" name="Column" dataDxfId="534"/>
    <tableColumn id="2" xr3:uid="{006E5CF2-2B59-4325-9E52-1D2A199696FC}" name="Header EN" dataDxfId="533">
      <calculatedColumnFormula>DocLOC[[#This Row],[Category EN]]</calculatedColumnFormula>
    </tableColumn>
    <tableColumn id="3" xr3:uid="{EF4258D7-EEB8-4E84-BC0F-1BA33F181E8E}" name="Body EN" dataDxfId="532"/>
    <tableColumn id="4" xr3:uid="{6F42CBA9-7072-4EDB-B3AD-ACEBEB8735A7}" name="Header DE" dataDxfId="531">
      <calculatedColumnFormula>DocLOC[[#This Row],[Category DE]]</calculatedColumnFormula>
    </tableColumn>
    <tableColumn id="5" xr3:uid="{2790DC94-45C4-47FE-81ED-7DD6C51CB08A}" name="Body DE" dataDxfId="530"/>
    <tableColumn id="6" xr3:uid="{5A6ABFF4-F5D3-4E7C-AE28-26FA568D076F}" name="Category EN" dataDxfId="529"/>
    <tableColumn id="7" xr3:uid="{00A8DF35-A1F9-4171-ADC1-BD0AB8A5BE62}" name="Category DE" dataDxfId="528"/>
    <tableColumn id="8" xr3:uid="{E5A66230-739E-4E9B-992F-DEC4D9638901}" name="Visible" dataDxfId="527"/>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E715DCA-2584-4D25-AD6E-A7E772DF2B3C}" name="DocIndirectCosts" displayName="DocIndirectCosts" comment="Documentation" ref="B322:K368" totalsRowShown="0" headerRowDxfId="526" dataDxfId="525">
  <autoFilter ref="B322:K368" xr:uid="{7B9BB5EE-DCC0-47FD-8737-654FFB36AB49}"/>
  <tableColumns count="10">
    <tableColumn id="1" xr3:uid="{082A3588-C754-4C78-A36A-64969A23997E}" name="Range" dataDxfId="524"/>
    <tableColumn id="2" xr3:uid="{94C0486F-A1FB-439D-918E-F340DCBF681C}" name="Header EN" dataDxfId="523">
      <calculatedColumnFormula>DocIndirectCosts[[#This Row],[Category EN]]&amp;IF(LEN(DocIndirectCosts[[#This Row],[Subcategory EN]])&gt;0," 
" &amp;DocIndirectCosts[[#This Row],[Subcategory EN]],)</calculatedColumnFormula>
    </tableColumn>
    <tableColumn id="3" xr3:uid="{204AB1A4-10C4-4CE7-8673-D57DAD8B6225}" name="Body EN" dataDxfId="522"/>
    <tableColumn id="4" xr3:uid="{CF2B32BF-3081-4DD2-8342-80635CB956C2}" name="Header DE" dataDxfId="521">
      <calculatedColumnFormula>DocIndirectCosts[[#This Row],[Category DE]]&amp;IF(LEN(DocIndirectCosts[[#This Row],[Subcategory DE]])&gt;0," 
" &amp;DocIndirectCosts[[#This Row],[Subcategory DE]],)</calculatedColumnFormula>
    </tableColumn>
    <tableColumn id="5" xr3:uid="{CD8CDC81-3671-4C2D-BCBB-C53C51607C50}" name="Body DE" dataDxfId="520"/>
    <tableColumn id="10" xr3:uid="{C99C3FE0-A906-4533-95B5-B4F5F9A12358}" name="Category EN" dataDxfId="519"/>
    <tableColumn id="9" xr3:uid="{3DB52D60-08DD-42DB-994F-83620CF37DE0}" name="Subcategory EN" dataDxfId="518"/>
    <tableColumn id="6" xr3:uid="{37E5FA30-173C-47DF-94F5-DA464B888F0E}" name="Category DE" dataDxfId="517"/>
    <tableColumn id="7" xr3:uid="{89E495C5-394A-494D-B3EB-867F615E74D6}" name="Subcategory DE" dataDxfId="516"/>
    <tableColumn id="8" xr3:uid="{255151E2-6500-4C11-B2FC-ECDBE3B6F74A}" name="Visible" dataDxfId="515"/>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34DAF40-BB82-4727-8CA3-8967F47525A9}" name="DocUserForm" displayName="DocUserForm" comment="Documentation" ref="B382:G391" totalsRowShown="0" headerRowDxfId="514" dataDxfId="513">
  <autoFilter ref="B382:G391" xr:uid="{FC44F2EB-DA3F-4CC0-B6DF-9C327C96C1AB}"/>
  <tableColumns count="6">
    <tableColumn id="1" xr3:uid="{C8BDFCBE-5B8A-4280-A712-F35E5D4F562D}" name="UserForm" dataDxfId="512"/>
    <tableColumn id="2" xr3:uid="{46956F7C-A945-46BC-A98C-B12973D5D3A5}" name="Header EN" dataDxfId="511">
      <calculatedColumnFormula>"Userform " &amp;DocUserForm[[#This Row],[UserForm]]</calculatedColumnFormula>
    </tableColumn>
    <tableColumn id="3" xr3:uid="{BCED371F-2C7F-4A44-94A6-FCDE45553E83}" name="Body EN" dataDxfId="510"/>
    <tableColumn id="4" xr3:uid="{317A4695-2661-498B-93E3-856D96B73B95}" name="Header DE" dataDxfId="509">
      <calculatedColumnFormula>DocUserForm[[#This Row],[Header EN]]</calculatedColumnFormula>
    </tableColumn>
    <tableColumn id="5" xr3:uid="{E529A5B5-041C-47B3-A627-56B0ABAF0C95}" name="Body DE" dataDxfId="508"/>
    <tableColumn id="8" xr3:uid="{F1D965B0-DCB4-4489-85F2-D2574F3BFC64}" name="Visible" dataDxfId="507"/>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5AB493E-E5E3-48A3-BB83-E3D84EA2C81F}" name="DocInfo" displayName="DocInfo" comment="Documentation" ref="B301:I318" totalsRowShown="0" headerRowDxfId="506" dataDxfId="505">
  <autoFilter ref="B301:I318" xr:uid="{0DC37879-DCFA-45AE-B1BD-414C98B78FD1}"/>
  <tableColumns count="8">
    <tableColumn id="1" xr3:uid="{EC459231-32A7-4F41-83F8-C5FD80FF589E}" name="Column" dataDxfId="504"/>
    <tableColumn id="2" xr3:uid="{88369D7A-DAD3-455E-8B7D-2E9A34CE0A8D}" name="Header EN" dataDxfId="503">
      <calculatedColumnFormula>IF(NOT(ISBLANK(DocInfo[[#This Row],[Body EN]])),DocInfo[[#This Row],[Category EN]],0)</calculatedColumnFormula>
    </tableColumn>
    <tableColumn id="3" xr3:uid="{1D6932F8-5960-4E32-8B07-38D292E438C8}" name="Body EN" dataDxfId="502"/>
    <tableColumn id="4" xr3:uid="{9FD4C0A1-FD27-4458-BBA6-8077FB7D4330}" name="Header DE" dataDxfId="501">
      <calculatedColumnFormula>IF(NOT(ISBLANK(DocInfo[[#This Row],[Body DE]])),DocInfo[[#This Row],[Category DE]],0)</calculatedColumnFormula>
    </tableColumn>
    <tableColumn id="5" xr3:uid="{7E3AE112-1928-49CE-9A12-82F7CFD19064}" name="Body DE" dataDxfId="500"/>
    <tableColumn id="6" xr3:uid="{29009CEF-E882-4C71-9A85-2498C3B3FB53}" name="Category EN" dataDxfId="499"/>
    <tableColumn id="7" xr3:uid="{A6F25C59-0E42-4D32-BBCF-6FCEE3ED229C}" name="Category DE" dataDxfId="498"/>
    <tableColumn id="8" xr3:uid="{1A6C0F79-9B45-421C-8E38-7B3A2C9E537C}" name="Visible" dataDxfId="497"/>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EBDD46B-BFBC-45E2-BE3A-E1ADC0C01EFA}" name="DocCluster" displayName="DocCluster" comment="Documentation" ref="B377:I378" totalsRowShown="0" headerRowDxfId="496" dataDxfId="495">
  <autoFilter ref="B377:I378" xr:uid="{EFF046B8-60C2-4C62-9D9B-D20CFE2DFDFD}"/>
  <tableColumns count="8">
    <tableColumn id="1" xr3:uid="{28EFCF9B-B90A-43BE-91D4-AF4F61E2DE15}" name="Range" dataDxfId="494"/>
    <tableColumn id="2" xr3:uid="{55F879AD-8BAC-411A-945E-F1ACBF8AA9C1}" name="Header EN" dataDxfId="493">
      <calculatedColumnFormula>DocCluster[[#This Row],[Category EN]]</calculatedColumnFormula>
    </tableColumn>
    <tableColumn id="3" xr3:uid="{F0D54A1E-A714-4CFF-8446-24156F00D187}" name="Body EN" dataDxfId="492"/>
    <tableColumn id="4" xr3:uid="{D5109172-ECAE-4135-AD4C-D01BEDF52FE5}" name="Header DE" dataDxfId="491">
      <calculatedColumnFormula>DocCluster[[#This Row],[Category DE]]</calculatedColumnFormula>
    </tableColumn>
    <tableColumn id="5" xr3:uid="{7643DCA5-45B4-49B1-84A1-E59D423603AC}" name="Body DE" dataDxfId="490"/>
    <tableColumn id="10" xr3:uid="{7507FCBA-A02E-48E7-8496-CA267852FEAE}" name="Category EN" dataDxfId="489"/>
    <tableColumn id="6" xr3:uid="{15F3DC67-2BB9-454E-9171-4C5F8776137C}" name="Category DE" dataDxfId="488"/>
    <tableColumn id="8" xr3:uid="{787D5FFA-9E83-4FD9-B4CB-9A458643A64C}" name="Visible" dataDxfId="487"/>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87F51E3-57A7-4B2C-B104-FDE26155EE96}" name="DocAnalysis" displayName="DocAnalysis" comment="Documentation" ref="B372:I373" totalsRowShown="0" headerRowDxfId="486" dataDxfId="485">
  <autoFilter ref="B372:I373" xr:uid="{9FEB885F-5C0D-41E4-9991-E6334A44711D}"/>
  <tableColumns count="8">
    <tableColumn id="1" xr3:uid="{D8BDDCD9-2643-4046-9E40-9B0301CA47DB}" name="Range" dataDxfId="484"/>
    <tableColumn id="2" xr3:uid="{396FD85F-D178-4FAB-AB5B-FF1D3B7D143D}" name="Header EN" dataDxfId="483">
      <calculatedColumnFormula>DocAnalysis[[#This Row],[Category EN]]</calculatedColumnFormula>
    </tableColumn>
    <tableColumn id="3" xr3:uid="{68E16959-AEA3-4963-9175-0D5604BB1313}" name="Body EN" dataDxfId="482"/>
    <tableColumn id="4" xr3:uid="{F2DF2F6B-AA14-46D1-928D-671BC682B55C}" name="Header DE" dataDxfId="481">
      <calculatedColumnFormula>DocAnalysis[[#This Row],[Category DE]]</calculatedColumnFormula>
    </tableColumn>
    <tableColumn id="5" xr3:uid="{E8C330EA-D7B5-4949-B255-052BC84AF240}" name="Body DE" dataDxfId="480"/>
    <tableColumn id="10" xr3:uid="{A905F8B7-8E2D-470A-9E6E-174EBE072353}" name="Category EN" dataDxfId="479"/>
    <tableColumn id="6" xr3:uid="{D6ED53DD-0131-4BAF-9AD3-9DF85E87390F}" name="Category DE" dataDxfId="478"/>
    <tableColumn id="8" xr3:uid="{75B5F515-C0AD-4C87-8C3B-F4B29160E0B4}" name="Visible" dataDxfId="477"/>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9FB94786-E748-4DD5-AE4D-86C0448E7444}" name="DocLogistics" displayName="DocLogistics" comment="Documentation" ref="B396:K452" totalsRowShown="0" headerRowDxfId="476" dataDxfId="475">
  <autoFilter ref="B396:K452" xr:uid="{9FB94786-E748-4DD5-AE4D-86C0448E7444}"/>
  <tableColumns count="10">
    <tableColumn id="1" xr3:uid="{C48A89CA-049F-4DDE-9A02-FF11C3CE04B8}" name="Range" dataDxfId="474"/>
    <tableColumn id="2" xr3:uid="{64225678-CE9F-4550-A464-599D4FEA55C7}" name="Header EN" dataDxfId="473">
      <calculatedColumnFormula>DocLogistics[[#This Row],[Category EN]]&amp;IF(LEN(DocLogistics[[#This Row],[Subcategory EN]])&gt;0," 
" &amp;DocLogistics[[#This Row],[Subcategory EN]],)</calculatedColumnFormula>
    </tableColumn>
    <tableColumn id="3" xr3:uid="{E32A10E6-9CAE-4E96-86DF-F7C80C8B21BB}" name="Body EN" dataDxfId="472"/>
    <tableColumn id="4" xr3:uid="{AFC5D392-DDB2-46F2-A763-F4AC93D117F1}" name="Header DE" dataDxfId="471">
      <calculatedColumnFormula>DocLogistics[[#This Row],[Category DE]]&amp;IF(LEN(DocLogistics[[#This Row],[Subcategory DE]])&gt;0," 
" &amp;DocLogistics[[#This Row],[Subcategory DE]],)</calculatedColumnFormula>
    </tableColumn>
    <tableColumn id="5" xr3:uid="{EF1915C9-407B-4900-930A-685EA6B85D08}" name="Body DE" dataDxfId="470"/>
    <tableColumn id="10" xr3:uid="{62B682FE-F66B-4856-A7FC-766748CE4A58}" name="Category EN" dataDxfId="469"/>
    <tableColumn id="7" xr3:uid="{D3CC9326-9811-481F-AC9F-67EFC617D00D}" name="Subcategory EN" dataDxfId="468"/>
    <tableColumn id="6" xr3:uid="{10531476-FAEE-49A0-A848-4A69931C0B37}" name="Category DE" dataDxfId="467"/>
    <tableColumn id="9" xr3:uid="{29A59A84-F4C1-434B-A23B-52B5C1F4D9A7}" name="Subcategory DE" dataDxfId="466"/>
    <tableColumn id="8" xr3:uid="{1102213E-548C-4A38-B436-4CB4446884F6}" name="Visible" dataDxfId="465"/>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21ECB2E-E1B9-43FB-9994-D5414A975EC6}" name="DocCO2" displayName="DocCO2" comment="Documentation" ref="B457:I458" totalsRowShown="0" headerRowDxfId="464" dataDxfId="463">
  <autoFilter ref="B457:I458" xr:uid="{C21ECB2E-E1B9-43FB-9994-D5414A975EC6}"/>
  <tableColumns count="8">
    <tableColumn id="1" xr3:uid="{EBFA0C69-8164-40E0-B1F8-42E9D18434A4}" name="Range" dataDxfId="462"/>
    <tableColumn id="2" xr3:uid="{AA78CAD1-8364-41C7-906C-4971D96DCDE7}" name="Header EN" dataDxfId="461">
      <calculatedColumnFormula>DocCO2[[#This Row],[Category EN]]</calculatedColumnFormula>
    </tableColumn>
    <tableColumn id="3" xr3:uid="{9BDC2192-D1C0-497B-9438-15884E9BD984}" name="Body EN" dataDxfId="460"/>
    <tableColumn id="4" xr3:uid="{C2B47365-40C6-4AE5-A7F6-ECB6A2F37641}" name="Header DE" dataDxfId="459"/>
    <tableColumn id="5" xr3:uid="{90C62FF0-8AC9-4975-A405-9DF6F9CF7A7C}" name="Body DE" dataDxfId="458"/>
    <tableColumn id="10" xr3:uid="{A7944C90-2AE2-4045-968E-1C6B6DD412EF}" name="Category EN" dataDxfId="457"/>
    <tableColumn id="6" xr3:uid="{34CF402F-1714-42AD-B478-E417C430F381}" name="Category DE" dataDxfId="456"/>
    <tableColumn id="8" xr3:uid="{C17FA428-6ECB-478E-A27F-4BA8709032EB}" name="Visible" dataDxfId="455"/>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971CAC4-C68A-45B3-945A-2D462B17AD01}" name="DocClusterCO2" displayName="DocClusterCO2" comment="Documentation" ref="B462:I482" totalsRowShown="0" headerRowDxfId="454" dataDxfId="453">
  <autoFilter ref="B462:I482" xr:uid="{0971CAC4-C68A-45B3-945A-2D462B17AD01}"/>
  <tableColumns count="8">
    <tableColumn id="1" xr3:uid="{3921AC05-DC5F-4FCE-A920-49D61E48C775}" name="Range" dataDxfId="452"/>
    <tableColumn id="2" xr3:uid="{9A2D0DF4-5F92-4B09-852E-A3D97497379E}" name="Header EN" dataDxfId="451">
      <calculatedColumnFormula>DocClusterCO2[[#This Row],[Category EN]]</calculatedColumnFormula>
    </tableColumn>
    <tableColumn id="3" xr3:uid="{1C6CF19A-6F39-413C-8BF9-9DEFAF94D056}" name="Body EN" dataDxfId="450"/>
    <tableColumn id="4" xr3:uid="{E08379E7-331D-4F30-84A5-CE186AB46DC8}" name="Header DE" dataDxfId="449"/>
    <tableColumn id="5" xr3:uid="{1E774445-7845-49D3-835F-F183499B64C9}" name="Body DE" dataDxfId="448"/>
    <tableColumn id="10" xr3:uid="{B2E6F4DA-7526-4DB0-9795-3502F5D4F64B}" name="Category EN" dataDxfId="447"/>
    <tableColumn id="6" xr3:uid="{8E0FDECC-021E-41EF-BD67-B6297301BC64}" name="Category DE" dataDxfId="446"/>
    <tableColumn id="8" xr3:uid="{FA2A7FB0-383D-41FA-BB63-F3C5C1DEB750}" name="Visible" dataDxfId="445"/>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7D566A2A-E3D6-42AE-99F1-ADC96349B3D8}" name="DocEBOM" displayName="DocEBOM" comment="Documentation" ref="B486:I546" totalsRowShown="0" headerRowDxfId="444" dataDxfId="443">
  <autoFilter ref="B486:I546" xr:uid="{7D566A2A-E3D6-42AE-99F1-ADC96349B3D8}"/>
  <tableColumns count="8">
    <tableColumn id="1" xr3:uid="{2EAE3959-4C88-4931-BDF7-30AB2E483DFB}" name="Range" dataDxfId="442"/>
    <tableColumn id="2" xr3:uid="{85820A6F-0912-4C34-9369-B88FFA7F4F85}" name="Header EN" dataDxfId="441">
      <calculatedColumnFormula>DocEBOM[[#This Row],[Category EN]]</calculatedColumnFormula>
    </tableColumn>
    <tableColumn id="3" xr3:uid="{2DF5EC46-7139-4134-8FA9-122888A9A2A9}" name="Body EN" dataDxfId="440"/>
    <tableColumn id="4" xr3:uid="{D4D10AD7-151F-43E6-9DEF-46B19CA414E5}" name="Header DE" dataDxfId="439">
      <calculatedColumnFormula>DocEBOM[[#This Row],[Category DE]]</calculatedColumnFormula>
    </tableColumn>
    <tableColumn id="5" xr3:uid="{478C1968-4D31-4A6D-9393-204F57CC5AB2}" name="Body DE" dataDxfId="438"/>
    <tableColumn id="10" xr3:uid="{933301B0-5606-4E28-BA6D-C1FD0C5909DA}" name="Category EN" dataDxfId="437"/>
    <tableColumn id="6" xr3:uid="{84217C1D-E689-416E-AAEC-3C90D443B8CC}" name="Category DE" dataDxfId="436"/>
    <tableColumn id="8" xr3:uid="{98778443-C05D-4AC0-B4BF-0B729073B3E2}" name="Visible" dataDxfId="435"/>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19B3AEF-0A74-462E-B5FA-1F45EFAE307A}" name="Translation" displayName="Translation" comment="Translation" ref="B2:C417" totalsRowShown="0" headerRowDxfId="412" dataDxfId="411">
  <autoFilter ref="B2:C417" xr:uid="{C962E99A-A868-4880-8CFA-C547054651F0}"/>
  <tableColumns count="2">
    <tableColumn id="2" xr3:uid="{CE8F9744-8605-4647-80EA-AAC703B4541A}" name="EN" dataDxfId="410"/>
    <tableColumn id="1" xr3:uid="{BB6CA54E-CCA8-4A2C-BEE5-3EA0070F4032}" name="DE" dataDxfId="409"/>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768C571-6792-4EB6-B72F-3FCEAB233B80}" name="Dropdown" displayName="Dropdown" comment="Translation" ref="E2:E32" totalsRowShown="0" headerRowDxfId="408" dataDxfId="407">
  <autoFilter ref="E2:E32" xr:uid="{99368D0A-2881-4879-B43F-1ACB5943C4DB}"/>
  <tableColumns count="1">
    <tableColumn id="1" xr3:uid="{191865DD-5FDC-42CD-AF45-E56E3399E3D3}" name="Dropdown" dataDxfId="406">
      <calculatedColumnFormula>IF(Language="DE","T","D")</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D19B76D-20AC-4B93-9475-D3C294D36173}" name="Tutorial" displayName="Tutorial" ref="B3:K23" totalsRowShown="0" headerRowDxfId="402" dataDxfId="401">
  <autoFilter ref="B3:K23" xr:uid="{9424AD4A-BDC7-4583-9A14-CD2311385AC2}"/>
  <tableColumns count="10">
    <tableColumn id="1" xr3:uid="{D78ED09B-7B08-4EF8-BE87-ADAEFDE261B9}" name="Sheet" dataDxfId="400"/>
    <tableColumn id="2" xr3:uid="{489975EE-66C3-4303-B413-F737E5D8AE35}" name="Header EN" dataDxfId="399">
      <calculatedColumnFormula>Tutorial[[#This Row],[Category EN]]</calculatedColumnFormula>
    </tableColumn>
    <tableColumn id="3" xr3:uid="{5F39720C-1755-4408-8F59-360C86EF0CD1}" name="Body EN" dataDxfId="398"/>
    <tableColumn id="4" xr3:uid="{EF0ABA84-3588-4F5F-9718-4A70147EF9BB}" name="Header DE" dataDxfId="397">
      <calculatedColumnFormula>Tutorial[[#This Row],[Category DE]]</calculatedColumnFormula>
    </tableColumn>
    <tableColumn id="5" xr3:uid="{2EEC7DE0-722F-4BBB-A758-1DE8A5E67641}" name="Body DE" dataDxfId="396"/>
    <tableColumn id="6" xr3:uid="{1ACBC62D-2F91-4287-AE10-C246BBA92CC0}" name="Category EN" dataDxfId="395"/>
    <tableColumn id="7" xr3:uid="{95D108A7-C75C-4C4D-B04D-B259A2165B20}" name="Subcategory EN" dataDxfId="394"/>
    <tableColumn id="8" xr3:uid="{FF3859E5-1C86-43D2-836D-5A72913843CA}" name="Category DE" dataDxfId="393"/>
    <tableColumn id="9" xr3:uid="{62C7085A-DCB5-4E34-B570-9FC9C49B19B1}" name="Subcategory DE" dataDxfId="392"/>
    <tableColumn id="10" xr3:uid="{CB5128A8-EAFF-46C0-8AD3-CDA33101ACCF}" name="Link" dataDxfId="391"/>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58685DA-DF41-46A7-AE63-6A7475269B7E}" name="XML" displayName="XML" ref="B3:K189" totalsRowShown="0" headerRowDxfId="248" dataDxfId="247">
  <tableColumns count="10">
    <tableColumn id="1" xr3:uid="{4110D683-7BD8-44F0-955F-95E7E6F1B62D}" name="ID" dataDxfId="246"/>
    <tableColumn id="2" xr3:uid="{0D373F61-5DCA-4622-B007-0F4392306CA0}" name="OnAction" dataDxfId="245"/>
    <tableColumn id="3" xr3:uid="{8444CA16-328B-42D6-B78A-D8E64C170A71}" name="Label EN" dataDxfId="244"/>
    <tableColumn id="4" xr3:uid="{CE960BA7-D630-4E0C-8588-FBBE05C523AA}" name="Label DE" dataDxfId="243"/>
    <tableColumn id="5" xr3:uid="{9CAEC883-45BC-43C9-A442-1C6D74D0A490}" name="ScreenTip EN" dataDxfId="242"/>
    <tableColumn id="6" xr3:uid="{F4E01FD5-C073-4318-B868-23EE4DC9C741}" name="Supertip EN" dataDxfId="241"/>
    <tableColumn id="7" xr3:uid="{784B78E5-B8F9-425A-9B57-7CA5F2C8378D}" name="ScreenTip DE" dataDxfId="240"/>
    <tableColumn id="8" xr3:uid="{131B6A89-3850-4FBF-BC56-6EEA1667A505}" name="Supertip DE" dataDxfId="239"/>
    <tableColumn id="9" xr3:uid="{DCFA17B3-7E72-48AA-96D4-C33E896CC157}" name="Visible" dataDxfId="238"/>
    <tableColumn id="10" xr3:uid="{1BE978A8-51D1-4FA8-B465-C02094438388}" name="Enabled" dataDxfId="237"/>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F82772DD-A9F9-422B-A26D-ECD52A3A79CF}" name="Tab_ASY_Operations" displayName="Tab_ASY_Operations" ref="B62:C77" totalsRowShown="0" headerRowDxfId="236" dataDxfId="235">
  <autoFilter ref="B62:C77" xr:uid="{16C21E28-1B8D-41A3-98E3-B0C8CB60C70D}"/>
  <tableColumns count="2">
    <tableColumn id="2" xr3:uid="{3D468AEE-BF28-4D12-B772-5FC97F15AC62}" name="DE" dataDxfId="234"/>
    <tableColumn id="1" xr3:uid="{357169FB-D460-498C-A979-148423B5A8D6}" name="EN" dataDxfId="233"/>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528748F4-4BC6-427C-AD8F-CC9B07DCA0D7}" name="Tab_ASY_PickandPlace_2" displayName="Tab_ASY_PickandPlace_2" ref="B84:C94" totalsRowShown="0" headerRowDxfId="232" dataDxfId="231">
  <autoFilter ref="B84:C94" xr:uid="{F432FAED-C7FC-4B14-A540-8D0784DC2BDA}"/>
  <tableColumns count="2">
    <tableColumn id="5" xr3:uid="{7A49F3C2-2A28-447F-A239-06377FE3CC8D}" name="DE" dataDxfId="230"/>
    <tableColumn id="1" xr3:uid="{B674E002-1D39-4BEC-9BA9-B3ED34661459}" name="EN" dataDxfId="229"/>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C2F9E515-12E8-48C0-B5B7-C5A6CE2E5635}" name="Tab_ASY_TableRegister" displayName="Tab_ASY_TableRegister" ref="B1:D55" totalsRowShown="0" headerRowDxfId="228" dataDxfId="227">
  <autoFilter ref="B1:D55" xr:uid="{3C43021D-BB83-41A2-9AA8-D0B0174720E7}"/>
  <tableColumns count="3">
    <tableColumn id="3" xr3:uid="{6339570E-10E8-4B1B-AD0E-5AEF03A9D2D8}" name="DE" dataDxfId="226"/>
    <tableColumn id="1" xr3:uid="{98AC9043-2FE1-4F38-8359-093E1A2A52A9}" name="EN" dataDxfId="225"/>
    <tableColumn id="2" xr3:uid="{53DBA0D6-390F-4990-8EA8-37BB33F226E6}" name="Name" dataDxfId="22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2B3490CD-B7A0-4E3C-8406-D8E772AD055A}" name="Tab_ASY_PickandPlace_1" displayName="Tab_ASY_PickandPlace_1" ref="B79:C82" totalsRowShown="0" headerRowDxfId="223" dataDxfId="222">
  <autoFilter ref="B79:C82" xr:uid="{C23EDBA5-269E-42EE-B638-451948388341}"/>
  <tableColumns count="2">
    <tableColumn id="2" xr3:uid="{AE2408BD-E47D-47E4-8EC0-21B0D032ABAC}" name="DE" dataDxfId="221"/>
    <tableColumn id="1" xr3:uid="{3F674BF7-E1CB-4A11-A679-60E7A2F2079F}" name="EN" dataDxfId="22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D5CFF0B2-D700-421C-AEA6-5BF38C17DAFA}" name="Tab_ASY_PickandPlace_3" displayName="Tab_ASY_PickandPlace_3" ref="B96:C106" totalsRowShown="0" headerRowDxfId="219" dataDxfId="218">
  <autoFilter ref="B96:C106" xr:uid="{1B28FF62-C293-4C88-B645-0F5502848BC7}"/>
  <tableColumns count="2">
    <tableColumn id="5" xr3:uid="{A2384932-3381-4583-B6BD-206DE25E8067}" name="DE" dataDxfId="217"/>
    <tableColumn id="1" xr3:uid="{C466C07A-F831-4DFF-BD9C-2FAC40BC409E}" name="EN" dataDxfId="216"/>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1E7D5D24-94CF-41E0-BA89-D55451F275BD}" name="Tab_ASY_PickandPlace_4" displayName="Tab_ASY_PickandPlace_4" ref="B108:C118" totalsRowShown="0" headerRowDxfId="215" dataDxfId="214">
  <autoFilter ref="B108:C118" xr:uid="{D6AF5107-C183-49D2-9C4A-1BD94DE418DE}"/>
  <tableColumns count="2">
    <tableColumn id="5" xr3:uid="{E382295E-799F-4D6A-946D-B1612389BE0E}" name="DE" dataDxfId="213"/>
    <tableColumn id="1" xr3:uid="{4FDA9961-6F65-4BD3-9824-D0DBDEE9717B}" name="EN" dataDxfId="212"/>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70DFF619-FF6D-4A3F-B79E-CA523244D45F}" name="Tab_ASY_Screwing_1" displayName="Tab_ASY_Screwing_1" ref="B121:C124" totalsRowShown="0" headerRowDxfId="211">
  <autoFilter ref="B121:C124" xr:uid="{64A16052-F780-4908-B021-1438C4755A09}"/>
  <tableColumns count="2">
    <tableColumn id="1" xr3:uid="{3B66C4B0-EC7E-4D9D-9DB6-6D8F08669D15}" name="DE" dataDxfId="210"/>
    <tableColumn id="2" xr3:uid="{CC918294-123C-49D3-900E-F122BCDFEBA7}" name="EN" dataDxfId="209"/>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7" xr:uid="{8BEF9A41-88A0-4D97-8D4B-DF9306662C73}" name="Tab_ASY_Screwing_2" displayName="Tab_ASY_Screwing_2" ref="B126:C130" totalsRowShown="0" headerRowDxfId="208" dataDxfId="207">
  <autoFilter ref="B126:C130" xr:uid="{65E61A2B-EDF4-4478-BAE8-1318C7B201FB}"/>
  <tableColumns count="2">
    <tableColumn id="1" xr3:uid="{B75CED0F-0804-44EC-9CD7-4B402D5E65EB}" name="DE" dataDxfId="206"/>
    <tableColumn id="2" xr3:uid="{D7BE5BAA-04AC-4CE1-90AA-136A9AEE9FA9}" name="EN" dataDxfId="205"/>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8" xr:uid="{A75E7B1D-E5AA-44C4-A8BD-9B1897A22BD0}" name="Tab_ASY_Screwing_3" displayName="Tab_ASY_Screwing_3" ref="B132:C137" totalsRowShown="0" headerRowDxfId="204" dataDxfId="203">
  <autoFilter ref="B132:C137" xr:uid="{E947BFA7-E909-4175-B2FE-926A9CA7E7DD}"/>
  <tableColumns count="2">
    <tableColumn id="1" xr3:uid="{A811D114-FAA0-4ED4-A572-7884994DE7DA}" name="DE" dataDxfId="202"/>
    <tableColumn id="2" xr3:uid="{5E1E3494-A59A-4C55-9D0F-16D8E093DA97}" name="EN" dataDxfId="201"/>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9" xr:uid="{833BB397-E63B-4467-AB17-26706F8CA298}" name="Tab_ASY_Screwing_4" displayName="Tab_ASY_Screwing_4" ref="B139:C142" totalsRowShown="0" headerRowDxfId="200" dataDxfId="199">
  <autoFilter ref="B139:C142" xr:uid="{1EB50650-C951-440B-839D-63FCA3C5E77B}"/>
  <tableColumns count="2">
    <tableColumn id="1" xr3:uid="{4B44F4C6-67D1-483C-B3CD-E29C4D2C762D}" name="DE" dataDxfId="198"/>
    <tableColumn id="2" xr3:uid="{0A168777-29A8-474A-8A09-9F4DBB99096B}" name="EN" dataDxfId="197"/>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0" xr:uid="{F1FD9657-0325-4F34-8AA4-401A18E586F5}" name="Tab_ASY_Place_1" displayName="Tab_ASY_Place_1" ref="B144:C147" totalsRowShown="0">
  <autoFilter ref="B144:C147" xr:uid="{B792904D-38CC-4AEA-AC01-50AB6784828D}"/>
  <tableColumns count="2">
    <tableColumn id="1" xr3:uid="{4F020C7D-B184-446B-944A-F1F7597D2FA3}" name="DE" dataDxfId="196"/>
    <tableColumn id="2" xr3:uid="{06E76113-23C1-41B4-A206-1A2EC0DBA9FC}" name="EN" dataDxfId="195"/>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1" xr:uid="{8D1891B9-F667-49FD-A993-20701CFAF81D}" name="Tab_ASY_Place_2" displayName="Tab_ASY_Place_2" ref="B149:C152" totalsRowShown="0" headerRowDxfId="194" dataDxfId="193">
  <autoFilter ref="B149:C152" xr:uid="{AF1FBD40-F715-411C-8A6E-6AA5B3087F42}"/>
  <tableColumns count="2">
    <tableColumn id="1" xr3:uid="{149D2107-3DF9-4A14-9808-17E1A53B154A}" name="DE" dataDxfId="192"/>
    <tableColumn id="2" xr3:uid="{C1000D8D-8F0D-4FF4-866F-FE15D9C55827}" name="EN" dataDxfId="191"/>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2" xr:uid="{001780D0-FBEE-4C74-A9FA-71E9E5E3EF6E}" name="Tab_ASY_Place_3" displayName="Tab_ASY_Place_3" ref="B154:C157" totalsRowShown="0" headerRowDxfId="190" dataDxfId="189">
  <autoFilter ref="B154:C157" xr:uid="{760CE2A4-6B8A-46EE-A934-ED29C7FB3352}"/>
  <tableColumns count="2">
    <tableColumn id="1" xr3:uid="{384C4A06-7863-46DC-BFB0-E5BD34F4194B}" name="DE" dataDxfId="188"/>
    <tableColumn id="2" xr3:uid="{60768573-483B-4B94-B74C-EA892498937E}" name="EN" dataDxfId="187"/>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3" xr:uid="{FFEFC0FD-47AF-40B5-865A-E6FFE38C3120}" name="Tab_ASY_Place_4" displayName="Tab_ASY_Place_4" ref="B159:C162" totalsRowShown="0" headerRowDxfId="186" dataDxfId="185">
  <autoFilter ref="B159:C162" xr:uid="{79438502-BEE3-43F2-AEA6-2341A167954E}"/>
  <tableColumns count="2">
    <tableColumn id="1" xr3:uid="{00FBBBB0-D89C-42D1-A370-48A2AA6EC6FE}" name="DE" dataDxfId="184"/>
    <tableColumn id="2" xr3:uid="{0FD9E6C2-118F-4D55-B13E-D23E8F3882BF}" name="EN" dataDxfId="183"/>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4" xr:uid="{F72911A0-6877-41CD-B58C-1B6E1C546E56}" name="Tab_ASY_HandlingTools_1" displayName="Tab_ASY_HandlingTools_1" ref="B164:C167" totalsRowShown="0">
  <autoFilter ref="B164:C167" xr:uid="{3259B1D2-DAB2-43CE-80CA-A46B041DB275}"/>
  <tableColumns count="2">
    <tableColumn id="1" xr3:uid="{424A94A3-0B6F-4322-952A-8AF1D022D54D}" name="DE"/>
    <tableColumn id="2" xr3:uid="{3627906C-EC6E-4516-B7F9-85DCB5E9E5F0}" name="EN" dataDxfId="182"/>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5" xr:uid="{D0935B35-4D75-4564-B3CD-FEA3675ABF33}" name="Tab_ASY_HandlingTools_2" displayName="Tab_ASY_HandlingTools_2" ref="B169:C172" totalsRowShown="0" headerRowDxfId="181" dataDxfId="180">
  <autoFilter ref="B169:C172" xr:uid="{ACD2012F-6149-4BE3-BEBB-C356FF3AF379}"/>
  <tableColumns count="2">
    <tableColumn id="1" xr3:uid="{5757F3C9-E213-44E3-8CAE-33F9A4C33718}" name="DE" dataDxfId="179"/>
    <tableColumn id="2" xr3:uid="{89773777-81A1-4D79-83BF-D8738015ED27}" name="EN" dataDxfId="178"/>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6" xr:uid="{160E6B37-0582-4158-9309-86045BBE26A8}" name="Tab_ASY_HandlingTools_3" displayName="Tab_ASY_HandlingTools_3" ref="B174:C177" totalsRowShown="0" headerRowDxfId="177" dataDxfId="176">
  <autoFilter ref="B174:C177" xr:uid="{59F5B126-1C58-4AEF-B662-020F2C4CCCCA}"/>
  <tableColumns count="2">
    <tableColumn id="1" xr3:uid="{D4A4936F-1BD2-4963-8628-8EB776EB1E12}" name="DE" dataDxfId="175"/>
    <tableColumn id="2" xr3:uid="{0B0E48A4-5A76-4FD4-A97A-CE50E064DA92}" name="EN" dataDxfId="174"/>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7" xr:uid="{71A13E15-7E16-4604-975E-964E4B5531C6}" name="Tab_ASY_HandlingTools_4" displayName="Tab_ASY_HandlingTools_4" ref="B179:C182" totalsRowShown="0" headerRowDxfId="173" dataDxfId="172">
  <autoFilter ref="B179:C182" xr:uid="{9C5FC14B-5B92-4ED2-A8E5-9F5DB36EF1FB}"/>
  <tableColumns count="2">
    <tableColumn id="1" xr3:uid="{37D24E10-0E07-44D4-933B-C20D5A97DA3A}" name="DE" dataDxfId="171"/>
    <tableColumn id="2" xr3:uid="{D36EF0D6-F774-46CA-8A8D-4C3426AB9408}" name="EN" dataDxfId="170"/>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8" xr:uid="{80563EED-03B9-487F-A2F4-530A90146127}" name="Tab_ASY_Operate_1" displayName="Tab_ASY_Operate_1" ref="B184:C187" totalsRowShown="0">
  <autoFilter ref="B184:C187" xr:uid="{7E767373-ED73-4902-91EA-DDB113C4718F}"/>
  <tableColumns count="2">
    <tableColumn id="1" xr3:uid="{89C297B6-FB19-4220-A82D-2E48AE8A0A96}" name="DE" dataDxfId="169"/>
    <tableColumn id="2" xr3:uid="{C6EEC4A0-1A4D-426B-B0BC-B0373DAF32A7}" name="EN" dataDxfId="168"/>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9" xr:uid="{1F467D36-27FA-4520-A40C-3C4B95739430}" name="Tab_ASY_Operate_2" displayName="Tab_ASY_Operate_2" ref="B189:C191" totalsRowShown="0" headerRowDxfId="167" dataDxfId="166">
  <autoFilter ref="B189:C191" xr:uid="{61DD8606-2FEA-48B4-B038-D3F86A7D3F96}"/>
  <tableColumns count="2">
    <tableColumn id="1" xr3:uid="{82D50BEC-BE06-4312-8E35-F420D8FD2C1D}" name="DE" dataDxfId="165"/>
    <tableColumn id="2" xr3:uid="{9F8F48CC-C5BB-4518-BA35-EE9FCC4006D7}" name="EN" dataDxfId="164"/>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0" xr:uid="{16BF1C5D-19E3-4D07-B6CF-9EB881E013E1}" name="Tab_ASY_Operate_3" displayName="Tab_ASY_Operate_3" ref="B193:C195" totalsRowShown="0" headerRowDxfId="163" dataDxfId="162">
  <autoFilter ref="B193:C195" xr:uid="{D68E49E3-A768-4478-803D-D4F9B1081521}"/>
  <tableColumns count="2">
    <tableColumn id="1" xr3:uid="{849D2950-C8F0-47D7-9649-F53A719FD5A5}" name="DE" dataDxfId="161"/>
    <tableColumn id="2" xr3:uid="{A8B2EABE-C040-4D4A-9DC4-1304A454BE1B}" name="EN" dataDxfId="160"/>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1" xr:uid="{9D78C4BF-DCA0-42F0-B4A5-30DBCFAE4D2A}" name="Tab_ASY_Operate_4" displayName="Tab_ASY_Operate_4" ref="B197:C199" totalsRowShown="0" headerRowDxfId="159" dataDxfId="158">
  <autoFilter ref="B197:C199" xr:uid="{B4D68770-FBEC-4C8D-A510-26FDD7DC1308}"/>
  <tableColumns count="2">
    <tableColumn id="1" xr3:uid="{ED36122C-D084-4DAA-BDEA-C8C858EE219C}" name="DE" dataDxfId="157"/>
    <tableColumn id="2" xr3:uid="{84CD95F2-35F1-42D1-8940-333A42EDB419}" name="EN" dataDxfId="156"/>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2" xr:uid="{34ADB5CC-4D12-4F34-9E13-9EC5B94E9CA7}" name="Tab_ASY_MotionCycles_1" displayName="Tab_ASY_MotionCycles_1" ref="B201:C204" totalsRowShown="0">
  <autoFilter ref="B201:C204" xr:uid="{B559E269-88C2-4EA3-966D-FDD5DE339D5C}"/>
  <tableColumns count="2">
    <tableColumn id="1" xr3:uid="{CC50BADD-FC0E-47B5-A8BB-F911A31E3334}" name="DE" dataDxfId="155"/>
    <tableColumn id="2" xr3:uid="{7A2607D7-2D6C-442A-9E24-44157DD930CC}" name="EN" dataDxfId="154"/>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3" xr:uid="{F066451C-1B54-4EE3-A3E2-4C56268431DF}" name="Tab_ASY_MotionCycles_2" displayName="Tab_ASY_MotionCycles_2" ref="B206:C210" totalsRowShown="0" headerRowDxfId="153" dataDxfId="152">
  <autoFilter ref="B206:C210" xr:uid="{DDE6243B-3428-403F-81A1-72D35CB6C3F4}"/>
  <tableColumns count="2">
    <tableColumn id="1" xr3:uid="{5A947568-F7DC-433C-B03C-8D1CF62E3A21}" name="DE" dataDxfId="151"/>
    <tableColumn id="2" xr3:uid="{C06EBA61-0999-4EF2-BE64-EB9F08E73F2D}" name="EN" dataDxfId="150"/>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4" xr:uid="{E518EB50-0C3B-46A2-ADD9-2FB9589D27CB}" name="Tab_ASY_MotionCycles_3" displayName="Tab_ASY_MotionCycles_3" ref="B212:C216" totalsRowShown="0" headerRowDxfId="149" dataDxfId="148">
  <autoFilter ref="B212:C216" xr:uid="{15298C58-1C97-4B1A-BF26-7237BBC83C2D}"/>
  <tableColumns count="2">
    <tableColumn id="1" xr3:uid="{EEE4B8B5-BD70-4601-B05E-4FF85803A7F7}" name="DE" dataDxfId="147"/>
    <tableColumn id="2" xr3:uid="{FD0F633C-2F47-4EFC-89F5-CAE97F55126D}" name="EN" dataDxfId="146"/>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5" xr:uid="{98CD172C-CA08-4F6B-AA9C-C07771F0BC6A}" name="Tab_ASY_MotionCycles_4" displayName="Tab_ASY_MotionCycles_4" ref="B218:C222" totalsRowShown="0" headerRowDxfId="145" dataDxfId="144">
  <autoFilter ref="B218:C222" xr:uid="{AD697964-0E14-48B7-9CE2-24051BD4FC72}"/>
  <tableColumns count="2">
    <tableColumn id="1" xr3:uid="{6DE300DB-F7FE-496C-B24A-37B6DE8543A0}" name="DE" dataDxfId="143"/>
    <tableColumn id="2" xr3:uid="{A8E0098F-AD79-48C7-8F73-1BDF52814E85}" name="EN" dataDxfId="142"/>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6" xr:uid="{7FA56505-1A97-4663-8E6D-305E01A10C30}" name="Tab_ASY_BodyMotion" displayName="Tab_ASY_BodyMotion" ref="B224:C227" totalsRowShown="0" headerRowDxfId="141" dataDxfId="140">
  <autoFilter ref="B224:C227" xr:uid="{8612A3A0-190C-4413-BFFF-5FB58F2909F0}"/>
  <tableColumns count="2">
    <tableColumn id="1" xr3:uid="{900166E8-7497-4F85-B84E-AFBF713594EC}" name="DE" dataDxfId="139"/>
    <tableColumn id="2" xr3:uid="{E3EABD21-26FC-4F85-A82E-FE471FD9BA02}" name="EN" dataDxfId="138"/>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7" xr:uid="{34F4B937-B794-4F1C-8142-7CF7D7C6C8A0}" name="Tab_ASY_VisualCheck" displayName="Tab_ASY_VisualCheck" ref="B230:C240" totalsRowShown="0" headerRowDxfId="137" dataDxfId="136">
  <autoFilter ref="B230:C240" xr:uid="{52EB3A2B-D2D5-4930-8F87-04934E15DA09}"/>
  <tableColumns count="2">
    <tableColumn id="1" xr3:uid="{4CB4E293-4379-4F71-B8DD-7581F27F285C}" name="DE" dataDxfId="135"/>
    <tableColumn id="2" xr3:uid="{1FFD64E5-05B3-4812-A9FD-4FDECBCEFEE0}" name="EN" dataDxfId="134"/>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8" xr:uid="{0BF253C5-71B7-4C55-9F72-DB99EDA0CD78}" name="Tab_ASY_CheckingMeasuring_1" displayName="Tab_ASY_CheckingMeasuring_1" ref="B242:C246" totalsRowShown="0" dataDxfId="133">
  <autoFilter ref="B242:C246" xr:uid="{8AD04DC4-238D-4807-9CE1-B7684F03FDC0}"/>
  <tableColumns count="2">
    <tableColumn id="1" xr3:uid="{F37CCE7F-B7F4-4F62-9137-BF5ECC109240}" name="DE" dataDxfId="132"/>
    <tableColumn id="2" xr3:uid="{6885BEE3-D561-40D4-8BF1-43BADAA7F2CA}" name="EN" dataDxfId="131"/>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9" xr:uid="{B473A562-F4EE-48D3-BFEE-FA5B6319E9E2}" name="Tab_ASY_CheckingMeasuring_2" displayName="Tab_ASY_CheckingMeasuring_2" ref="B248:C253" totalsRowShown="0" headerRowDxfId="130" dataDxfId="129">
  <autoFilter ref="B248:C253" xr:uid="{57F961D9-DED0-4A53-9B0A-6CC3CA943022}"/>
  <tableColumns count="2">
    <tableColumn id="1" xr3:uid="{1DD9C909-856B-4367-AA85-F0D792483DF3}" name="DE" dataDxfId="128"/>
    <tableColumn id="2" xr3:uid="{0A2F6855-82C4-4800-B253-46844ED86BB9}" name="EN" dataDxfId="127"/>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0" xr:uid="{235AC985-81BF-4D70-91E8-996580DE1450}" name="Tab_ASY_CheckingMeasuring_3" displayName="Tab_ASY_CheckingMeasuring_3" ref="B255:C259" totalsRowShown="0" headerRowDxfId="126" dataDxfId="125">
  <autoFilter ref="B255:C259" xr:uid="{A34DBFC7-3FA0-4AD3-82E0-B9C50C46FC30}"/>
  <tableColumns count="2">
    <tableColumn id="1" xr3:uid="{5244899B-348E-45E3-A57E-6DD23C7C62B2}" name="DE" dataDxfId="124"/>
    <tableColumn id="2" xr3:uid="{2090E8F4-5ED6-4AA3-8E19-AE948AD7A6C6}" name="EN" dataDxfId="123"/>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1" xr:uid="{C9C14EE1-B1EA-41EC-A95F-28F74690990E}" name="Tab_ASY_CheckingMeasuring_4" displayName="Tab_ASY_CheckingMeasuring_4" ref="B261:C266" totalsRowShown="0" headerRowDxfId="122" dataDxfId="121">
  <autoFilter ref="B261:C266" xr:uid="{9BF6B932-BB62-4707-B282-510C02F77C81}"/>
  <tableColumns count="2">
    <tableColumn id="1" xr3:uid="{FAAE08B2-FBE0-4F21-A7D5-16EB97F3F097}" name="DE" dataDxfId="120"/>
    <tableColumn id="2" xr3:uid="{D7E09E78-FE5E-49C2-9CBA-458D7C47B023}" name="EN" dataDxfId="119"/>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2" xr:uid="{C20E747A-2E5C-4076-9802-F2D71C757FAF}" name="Tab_ASY_CheckingMeasuring_5" displayName="Tab_ASY_CheckingMeasuring_5" ref="B268:C270" totalsRowShown="0" headerRowDxfId="118" dataDxfId="117">
  <autoFilter ref="B268:C270" xr:uid="{17C23610-65D4-411E-8AED-FC41E809A9ED}"/>
  <tableColumns count="2">
    <tableColumn id="1" xr3:uid="{9C5C2401-89E4-4ACA-B941-A0E3798B8939}" name="DE"/>
    <tableColumn id="2" xr3:uid="{54D04262-952C-4DDE-BEA6-91943638D5CB}" name="EN" dataDxfId="116"/>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3" xr:uid="{6C006131-CC15-43F6-9402-5D3E8A96F9B8}" name="Tab_ASY_Marking" displayName="Tab_ASY_Marking" ref="B272:C279" totalsRowShown="0" headerRowDxfId="115" dataDxfId="114">
  <autoFilter ref="B272:C279" xr:uid="{D19DC5F1-CB83-498C-BF00-02C54C57F1AE}"/>
  <tableColumns count="2">
    <tableColumn id="1" xr3:uid="{3D51556B-9D4B-4DC3-A410-5270E82441F1}" name="DE" dataDxfId="113"/>
    <tableColumn id="2" xr3:uid="{8CB3E520-F15D-4E17-873F-1C0CC7E4323A}" name="EN" dataDxfId="112"/>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4" xr:uid="{644A11A3-C9C7-472F-9DCF-405D4ADF5625}" name="Tab_ASY_Treatment_1" displayName="Tab_ASY_Treatment_1" ref="B281:C285" totalsRowShown="0">
  <autoFilter ref="B281:C285" xr:uid="{D7DF9008-BB74-485A-B6E5-E79AC45A337A}"/>
  <tableColumns count="2">
    <tableColumn id="1" xr3:uid="{72599FF2-6F2B-482C-88CB-8E02A9BC450A}" name="DE" dataDxfId="111"/>
    <tableColumn id="2" xr3:uid="{6691F408-F4A1-458D-A519-1C634EBA39E6}" name="EN" dataDxfId="110"/>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5" xr:uid="{F6864FC2-61A0-41D7-8A44-714FD564FAD2}" name="Tab_ASY_Treatment_2" displayName="Tab_ASY_Treatment_2" ref="B287:C296" totalsRowShown="0" headerRowDxfId="109" dataDxfId="108">
  <autoFilter ref="B287:C296" xr:uid="{9A6E93D2-F074-4312-887B-B04AAE0CB22E}"/>
  <tableColumns count="2">
    <tableColumn id="1" xr3:uid="{713FA944-689C-47AE-907B-2D5697CD9D1E}" name="DE" dataDxfId="107"/>
    <tableColumn id="2" xr3:uid="{43422190-21F7-43FF-8BF5-18AA8CC171A9}" name="EN" dataDxfId="106"/>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6" xr:uid="{0BAF90E3-309A-47CF-9817-ED87B7435319}" name="Tab_ASY_Treatment_3" displayName="Tab_ASY_Treatment_3" ref="B298:C309" totalsRowShown="0" headerRowDxfId="105" dataDxfId="104">
  <autoFilter ref="B298:C309" xr:uid="{6D341075-A56C-4797-9983-45597B152F3F}"/>
  <tableColumns count="2">
    <tableColumn id="1" xr3:uid="{01AC7910-F1FF-46E0-A988-8B56DB121A98}" name="DE" dataDxfId="103"/>
    <tableColumn id="2" xr3:uid="{DE6FED1E-2F37-47D2-B286-683158B4F7D7}" name="EN" dataDxfId="102"/>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7" xr:uid="{A8A6CEF8-04A1-490C-81EF-5BD2935E321F}" name="Tab_ASY_Treatment_4" displayName="Tab_ASY_Treatment_4" ref="B311:C319" totalsRowShown="0" headerRowDxfId="101" dataDxfId="100">
  <autoFilter ref="B311:C319" xr:uid="{90ED0ED4-7EFA-42CB-A1D4-C9434410F0CA}"/>
  <tableColumns count="2">
    <tableColumn id="1" xr3:uid="{04A4123D-A6FB-48D1-A136-E900813FA590}" name="DE" dataDxfId="99"/>
    <tableColumn id="2" xr3:uid="{79F76F4F-C80F-4B7E-A9A5-1D4829687CFD}" name="EN" dataDxfId="98"/>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8" xr:uid="{87E1D253-C871-46A3-8BF8-5D1AB2E38084}" name="Tab_ASY_Treatment_5" displayName="Tab_ASY_Treatment_5" ref="B321:C323" totalsRowShown="0" headerRowDxfId="97" dataDxfId="96">
  <autoFilter ref="B321:C323" xr:uid="{B27BDFC2-C09A-4F87-9332-B588B8307678}"/>
  <tableColumns count="2">
    <tableColumn id="1" xr3:uid="{3E96E4B9-2FE7-4408-B538-E7B92EDE733B}" name="DE" dataDxfId="95"/>
    <tableColumn id="2" xr3:uid="{A9D318A1-739D-4C6D-BDE4-88DA38F57376}" name="EN" dataDxfId="94"/>
  </tableColumns>
  <tableStyleInfo name="TableStyleMedium2"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9" xr:uid="{CD51E65A-E29E-47CB-B3D3-863A990E9F78}" name="Tab_ASY_TighteningLoosening_1" displayName="Tab_ASY_TighteningLoosening_1" ref="B325:C327" totalsRowShown="0">
  <autoFilter ref="B325:C327" xr:uid="{6C0FE230-2E7D-48A2-A806-40205B4E7E2C}"/>
  <tableColumns count="2">
    <tableColumn id="1" xr3:uid="{B23EC54B-EE91-4352-9506-828D3EB308EF}" name="DE" dataDxfId="93"/>
    <tableColumn id="2" xr3:uid="{899CADBB-3A07-4655-9EAE-C1316008183B}" name="EN" dataDxfId="92"/>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0" xr:uid="{1BF8D007-352A-4A36-9E5A-0DFA3F5D3FF5}" name="Tab_ASY_TighteningLoosening_2" displayName="Tab_ASY_TighteningLoosening_2" ref="B329:C331" totalsRowShown="0" headerRowDxfId="91" dataDxfId="90">
  <autoFilter ref="B329:C331" xr:uid="{04AB062B-E15F-4F80-8552-A1A2C0B72C08}"/>
  <tableColumns count="2">
    <tableColumn id="1" xr3:uid="{825EB1D8-AFA6-414F-BFB4-5111F490B686}" name="DE" dataDxfId="89"/>
    <tableColumn id="2" xr3:uid="{BC3DD483-C225-4D46-92F4-F1B1FA566051}" name="EN" dataDxfId="88"/>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1" xr:uid="{4D72A360-D7CE-4B38-8930-8A098CEAE90C}" name="Tab_ASY_TighteningLoosening_3" displayName="Tab_ASY_TighteningLoosening_3" ref="B333:C340" totalsRowShown="0" headerRowDxfId="87" dataDxfId="86">
  <autoFilter ref="B333:C340" xr:uid="{32BA5031-2C27-45D9-A0F7-27BF6DA3079D}"/>
  <tableColumns count="2">
    <tableColumn id="1" xr3:uid="{A748A6CD-23BE-4211-9387-5B028CA8BBF9}" name="DE" dataDxfId="85"/>
    <tableColumn id="2" xr3:uid="{50324591-D5BD-429F-9F55-EF5105282E5E}" name="EN" dataDxfId="84"/>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2" xr:uid="{744D61C2-005E-485B-A2A5-68E9FEF1760A}" name="Tab_ASY_Unpacking_1" displayName="Tab_ASY_Unpacking_1" ref="B342:C344" totalsRowShown="0">
  <autoFilter ref="B342:C344" xr:uid="{465A4979-9264-4019-AEE5-BA369D3F1437}"/>
  <tableColumns count="2">
    <tableColumn id="1" xr3:uid="{785F10E8-F6DB-42DE-BDF7-45F104876EEF}" name="DE" dataDxfId="83"/>
    <tableColumn id="2" xr3:uid="{F16A6FF7-8EC0-4B0D-BA0F-DDB9083384D7}" name="EN" dataDxfId="82"/>
  </tableColumns>
  <tableStyleInfo name="TableStyleMedium2"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3" xr:uid="{FEBAAA00-6743-4C79-A9EA-DA6147190F9F}" name="Tab_ASY_Unpacking_2" displayName="Tab_ASY_Unpacking_2" ref="B346:C352" totalsRowShown="0" headerRowDxfId="81" dataDxfId="79" headerRowBorderDxfId="80" tableBorderDxfId="78">
  <autoFilter ref="B346:C352" xr:uid="{8053CBD9-F293-4B5A-AF48-BA8A36B88508}"/>
  <tableColumns count="2">
    <tableColumn id="1" xr3:uid="{98830D9E-AB5F-48CC-A1E7-B5391386CF72}" name="DE" dataDxfId="77"/>
    <tableColumn id="2" xr3:uid="{8428D473-6C0A-4B5A-8681-A33ABFB72FEA}" name="EN" dataDxfId="76"/>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4" xr:uid="{B3131B33-828D-491F-8439-5CF169D94A57}" name="Tab_ASY_Unpacking_3" displayName="Tab_ASY_Unpacking_3" ref="B354:C364" totalsRowShown="0" headerRowDxfId="75" dataDxfId="74">
  <autoFilter ref="B354:C364" xr:uid="{A6EE8416-8740-47C0-ACDD-A01B1C93616E}"/>
  <tableColumns count="2">
    <tableColumn id="1" xr3:uid="{0EC379C6-DA3B-4008-81E9-D67411F4E531}" name="DE" dataDxfId="73"/>
    <tableColumn id="2" xr3:uid="{381D57CE-1C24-4E2C-A377-41237A018686}" name="EN" dataDxfId="72"/>
  </tableColumns>
  <tableStyleInfo name="TableStyleMedium2"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5" xr:uid="{765CA426-7000-4E60-90A7-CA6F01812917}" name="Tab_ASY_AdhesiveApplication_1" displayName="Tab_ASY_AdhesiveApplication_1" ref="B366:C369" totalsRowShown="0">
  <autoFilter ref="B366:C369" xr:uid="{63028243-7E90-403C-846C-AE429FF4A926}"/>
  <tableColumns count="2">
    <tableColumn id="1" xr3:uid="{47ECAC4D-7D15-4F77-9615-49608A83FDBE}" name="DE" dataDxfId="71"/>
    <tableColumn id="2" xr3:uid="{282BEDDB-54A0-4835-AA13-B360D0111756}" name="EN" dataDxfId="70"/>
  </tableColumns>
  <tableStyleInfo name="TableStyleMedium2"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6" xr:uid="{2E40E410-449D-4DE6-BC37-6595C7647C6D}" name="Tab_ASY_AdhesiveApplication_2" displayName="Tab_ASY_AdhesiveApplication_2" ref="B371:C380" totalsRowShown="0" headerRowDxfId="69" dataDxfId="68">
  <autoFilter ref="B371:C380" xr:uid="{216EA57C-D61B-4A77-82F7-A88819F3C1AD}"/>
  <tableColumns count="2">
    <tableColumn id="1" xr3:uid="{82CDAC3B-D7B2-4DB7-B20B-946CAC607C3C}" name="DE" dataDxfId="67"/>
    <tableColumn id="2" xr3:uid="{68FDD2CA-5786-40BF-B03D-C09D640B37BD}" name="EN" dataDxfId="66"/>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7" xr:uid="{59DB8398-ABE4-4E21-8A96-1E60F6A60254}" name="Tab_ASY_AdhesiveApplication_3" displayName="Tab_ASY_AdhesiveApplication_3" ref="B382:C388" totalsRowShown="0" headerRowDxfId="65" dataDxfId="64">
  <autoFilter ref="B382:C388" xr:uid="{03806FB7-5B78-43AA-B5CC-8989A652D479}"/>
  <tableColumns count="2">
    <tableColumn id="1" xr3:uid="{8942C5B8-B265-4240-AB0C-31BAA2B759BE}" name="DE" dataDxfId="63"/>
    <tableColumn id="2" xr3:uid="{EBFEC221-1340-4C6D-8A81-A440F9460FBE}" name="EN" dataDxfId="62"/>
  </tableColumns>
  <tableStyleInfo name="TableStyleMedium2"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8" xr:uid="{987C1A03-D61C-4C21-87D2-DD8864ADCE65}" name="Tab_ASY_AdhesiveApplication_4" displayName="Tab_ASY_AdhesiveApplication_4" ref="B390:C394" totalsRowShown="0" headerRowDxfId="61" dataDxfId="60">
  <autoFilter ref="B390:C394" xr:uid="{E2FE8060-F507-4A94-970E-29295B4A8B7E}"/>
  <tableColumns count="2">
    <tableColumn id="1" xr3:uid="{031F5EE1-5FE4-40EC-94A3-A5D122D1D8F0}" name="DE" dataDxfId="59"/>
    <tableColumn id="2" xr3:uid="{8D61CC7E-9435-4AB2-9567-A8CFEC8A64EB}" name="EN" dataDxfId="58"/>
  </tableColumns>
  <tableStyleInfo name="TableStyleMedium2"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9" xr:uid="{74CEBA9B-79CD-4318-8FCD-397AAD34152B}" name="Tab_ASY_AssembleStandardParts" displayName="Tab_ASY_AssembleStandardParts" ref="B396:C404" totalsRowShown="0" headerRowDxfId="57" dataDxfId="56">
  <autoFilter ref="B396:C404" xr:uid="{8981E6CB-36B9-4858-B2A1-A45898AD9B74}"/>
  <tableColumns count="2">
    <tableColumn id="1" xr3:uid="{31717AD6-472F-466F-839F-FCA69B35F431}" name="DE" dataDxfId="55"/>
    <tableColumn id="2" xr3:uid="{11C3EBF3-3C91-43C4-BC3B-F31F8FC6CABE}" name="EN" dataDxfId="54"/>
  </tableColumns>
  <tableStyleInfo name="TableStyleMedium2"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0" xr:uid="{99291253-0EA2-47B6-94D2-7B42BBEA0D64}" name="Montage" displayName="Montage" ref="B12:P18" totalsRowCount="1" headerRowDxfId="51" headerRowBorderDxfId="50">
  <autoFilter ref="B12:P17" xr:uid="{86D53F53-73CC-4AAD-9CAB-9936233EFA9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991D0674-5072-4943-B2EE-60ADD883726F}" name="OP" totalsRowLabel="Ergebnis" dataDxfId="49" totalsRowDxfId="48">
      <calculatedColumnFormula>ROW(B13)-12</calculatedColumnFormula>
    </tableColumn>
    <tableColumn id="2" xr3:uid="{21843B25-2F0E-4FA0-BAD5-EB52F953EC3F}" name="Sub-Komponente" dataDxfId="47" totalsRowDxfId="46"/>
    <tableColumn id="3" xr3:uid="{0B0DCA7F-A539-4209-B395-84B5D74FE0CB}" name="Anzahl_x000a_BOM" dataDxfId="45" totalsRowDxfId="44">
      <calculatedColumnFormula>IFERROR(VLOOKUP(Montage[[#This Row],[Sub-Komponente]],BOM,6,FALSE),"")</calculatedColumnFormula>
    </tableColumn>
    <tableColumn id="17" xr3:uid="{3A23EA24-2FAC-4545-A434-ADF08A3DE0E2}" name="Repetitions assembly step" dataDxfId="43" totalsRowDxfId="42">
      <calculatedColumnFormula>Montage[[#This Row],[Anzahl
BOM]]</calculatedColumnFormula>
    </tableColumn>
    <tableColumn id="4" xr3:uid="{DAC33BED-B328-4231-8537-37BE17422789}" name="Weight _x000a_[kg]" dataDxfId="41" totalsRowDxfId="40">
      <calculatedColumnFormula>IFERROR(VLOOKUP(Montage[[#This Row],[Sub-Komponente]],BOM,7,0),"")</calculatedColumnFormula>
    </tableColumn>
    <tableColumn id="5" xr3:uid="{C8C3FAE1-CA14-445C-8E56-7CD65DC830D3}" name="Basic operation" dataDxfId="39" totalsRowDxfId="38"/>
    <tableColumn id="7" xr3:uid="{DCF6D7E4-26E6-4064-B0D0-FB3E78628EBD}" name="Subcategory 1" dataDxfId="37" totalsRowDxfId="36"/>
    <tableColumn id="9" xr3:uid="{17D2F02B-8EDF-4914-B552-F7294D4026A3}" name="Subcategory 2" dataDxfId="35" totalsRowDxfId="34"/>
    <tableColumn id="10" xr3:uid="{05579F42-4941-4119-9BBE-B28CDA020BF5}" name="MTM_x000a_Code" dataDxfId="33" totalsRowDxfId="32"/>
    <tableColumn id="12" xr3:uid="{64D77343-C7C4-437D-ABC3-01334424DAFF}" name="Einzelzeit_x000a_[s]" dataDxfId="31" totalsRowDxfId="30"/>
    <tableColumn id="19" xr3:uid="{62BF74F8-7407-4FF1-8439-A289DB00C06B}" name="Korrigiert_x000a_[s]" dataDxfId="29" totalsRowDxfId="28"/>
    <tableColumn id="13" xr3:uid="{60E8D395-3E28-41F4-B929-A1671FF657E7}" name="Total time_x000a_[s]" totalsRowFunction="sum" dataDxfId="27" totalsRowDxfId="26">
      <calculatedColumnFormula>IFERROR(IFERROR(Montage[[#This Row],[Repetitions assembly step]]*IF(ISBLANK(Montage[[#This Row],[Korrigiert
'[s']]]),Montage[[#This Row],[Einzelzeit
'[s']]],Montage[[#This Row],[Korrigiert
'[s']]]),""),"")</calculatedColumnFormula>
    </tableColumn>
    <tableColumn id="6" xr3:uid="{584AA59D-876E-42E2-8C7A-4AF43EA2C0DE}" name="Parameter 1" dataDxfId="25" totalsRowDxfId="24">
      <calculatedColumnFormula array="1">IFERROR(IFERROR(_xlfn.XLOOKUP(Montage[[#This Row],[Basic operation]],IF(Language="DE",Tab_ASY_TableRegister[DE],Tab_ASY_TableRegister[EN]),"Tab_" &amp; Tab_ASY_TableRegister[Name] &amp; IF(Language="DE","[DE]","[EN]")),""),"")</calculatedColumnFormula>
    </tableColumn>
    <tableColumn id="8" xr3:uid="{AA5E0D0B-1832-4F72-B000-48D3BB20C2ED}" name="Parameter 2" dataDxfId="23" totalsRowDxfId="22">
      <calculatedColumnFormula array="1">IFERROR(IFERROR(IFERROR(_xlfn.XLOOKUP(Montage[[#This Row],[Subcategory 1]],IF(Language="DE",Tab_ASY_TableRegister[DE],Tab_ASY_TableRegister[EN]),"Tab_" &amp; Tab_ASY_TableRegister[Name] &amp; IF(Language="DE","[DE]","[EN]")),""),""),"")</calculatedColumnFormula>
    </tableColumn>
    <tableColumn id="14" xr3:uid="{67BDD45D-9F09-4C9D-B873-1BB5D8B9A2FD}" name="Parameter 3" dataDxfId="21" totalsRowDxfId="20">
      <calculatedColumnFormula>IFERROR(IF(Montage[[#This Row],[Parameter 2]]="",Montage[[#This Row],[Parameter 1]],Montage[[#This Row],[Parameter 2]]),"")</calculatedColumnFormula>
    </tableColumn>
  </tableColumns>
  <tableStyleInfo name="TableStyleLight11" showFirstColumn="0" showLastColumn="0" showRowStripes="0"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5725B23-1459-4D81-BC0D-9F1189469A30}" name="Settings" displayName="Settings" ref="B2:F107" totalsRowShown="0" headerRowDxfId="12" dataDxfId="11">
  <tableColumns count="5">
    <tableColumn id="4" xr3:uid="{88047596-10AB-4E84-83CD-BAB9FA227236}" name="ID" dataDxfId="10"/>
    <tableColumn id="1" xr3:uid="{89A437CE-0A73-4A4D-889B-C3C2ECA3AD85}" name="Value" dataDxfId="9"/>
    <tableColumn id="3" xr3:uid="{237BF4A8-859C-42A2-B791-5770AC694B1C}" name=" " dataDxfId="8"/>
    <tableColumn id="2" xr3:uid="{E5102527-683B-43FE-825C-939AE347FB96}" name="  " dataDxfId="7"/>
    <tableColumn id="5" xr3:uid="{BE069FCF-CA0F-4D6F-87D4-53D1A6981843}" name="Access" dataDxfId="6"/>
  </tableColumns>
  <tableStyleInfo name="TableStyleLight1"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524B5DA-756A-49A1-BD4B-32738A06B1FD}" name="LIC" displayName="LIC" ref="H2:K3" totalsRowShown="0">
  <autoFilter ref="H2:K3" xr:uid="{0524B5DA-756A-49A1-BD4B-32738A06B1FD}"/>
  <tableColumns count="4">
    <tableColumn id="1" xr3:uid="{45395674-A841-4D24-9EB0-0D6D0137D7A6}" name="UserDomain" dataDxfId="5"/>
    <tableColumn id="2" xr3:uid="{44236F0D-4EB6-41E0-A7A7-CC6B75ADBA7A}" name="UserName" dataDxfId="4"/>
    <tableColumn id="3" xr3:uid="{433D23AF-7318-4880-9569-5B8B7F3F57D9}" name="EndDate" dataDxfId="3"/>
    <tableColumn id="4" xr3:uid="{2D56CA50-C689-4D5C-B076-428081458ED2}" name="UserRole" dataDxfId="2"/>
  </tableColumns>
  <tableStyleInfo name="TableStyleMedium7"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3939BAB8-E9EA-4CF1-9D3F-7B5BBEE7C6F0}" name="EULA" displayName="EULA" ref="H5:I6" totalsRowShown="0">
  <autoFilter ref="H5:I6" xr:uid="{3939BAB8-E9EA-4CF1-9D3F-7B5BBEE7C6F0}"/>
  <tableColumns count="2">
    <tableColumn id="1" xr3:uid="{3C51E414-13BA-4A4F-B2A9-CE7ABABAEFE0}" name="UserDomain" dataDxfId="1"/>
    <tableColumn id="2" xr3:uid="{BA16AF1E-E369-4F87-BD22-3CE1E57E5AE9}" name="UserName" dataDxfId="0"/>
  </tableColumns>
  <tableStyleInfo name="TableStyleMedium7" showFirstColumn="0" showLastColumn="0" showRowStripes="1" showColumnStripes="0"/>
</table>
</file>

<file path=xl/theme/theme1.xml><?xml version="1.0" encoding="utf-8"?>
<a:theme xmlns:a="http://schemas.openxmlformats.org/drawingml/2006/main" name="AWS Design">
  <a:themeElements>
    <a:clrScheme name="AWS neu">
      <a:dk1>
        <a:sysClr val="windowText" lastClr="000000"/>
      </a:dk1>
      <a:lt1>
        <a:sysClr val="window" lastClr="FFFFFF"/>
      </a:lt1>
      <a:dk2>
        <a:srgbClr val="000000"/>
      </a:dk2>
      <a:lt2>
        <a:srgbClr val="FFFFFF"/>
      </a:lt2>
      <a:accent1>
        <a:srgbClr val="94C356"/>
      </a:accent1>
      <a:accent2>
        <a:srgbClr val="99CFB8"/>
      </a:accent2>
      <a:accent3>
        <a:srgbClr val="0079B0"/>
      </a:accent3>
      <a:accent4>
        <a:srgbClr val="004698"/>
      </a:accent4>
      <a:accent5>
        <a:srgbClr val="002F63"/>
      </a:accent5>
      <a:accent6>
        <a:srgbClr val="3F4E55"/>
      </a:accent6>
      <a:hlink>
        <a:srgbClr val="E5006D"/>
      </a:hlink>
      <a:folHlink>
        <a:srgbClr val="C1348B"/>
      </a:folHlink>
    </a:clrScheme>
    <a:fontScheme name="ACT">
      <a:majorFont>
        <a:latin typeface="Arial Narrow"/>
        <a:ea typeface=""/>
        <a:cs typeface=""/>
      </a:majorFont>
      <a:minorFont>
        <a:latin typeface="Arial Narrow"/>
        <a:ea typeface=""/>
        <a:cs typeface=""/>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bodyPr vert="horz" wrap="none" lIns="0" tIns="0" rIns="0" bIns="0" rtlCol="0">
        <a:spAutoFit/>
      </a:bodyPr>
      <a:lstStyle>
        <a:defPPr marL="177800" indent="-177800" algn="l">
          <a:buClr>
            <a:schemeClr val="accent5"/>
          </a:buClr>
          <a:buFont typeface="Wingdings" panose="05000000000000000000" pitchFamily="2" charset="2"/>
          <a:buChar char="§"/>
          <a:defRPr sz="1600" smtClean="0"/>
        </a:defPPr>
      </a:lstStyle>
    </a:txDef>
  </a:objectDefaults>
  <a:extraClrSchemeLst/>
  <a:custClrLst>
    <a:custClr name="lila">
      <a:srgbClr val="623D90"/>
    </a:custClr>
    <a:custClr name="pink">
      <a:srgbClr val="C1348B"/>
    </a:custClr>
    <a:custClr name="magenta">
      <a:srgbClr val="E5006D"/>
    </a:custClr>
    <a:custClr name="lime">
      <a:srgbClr val="C7D64F"/>
    </a:custClr>
    <a:custClr name="gelb">
      <a:srgbClr val="E8E100"/>
    </a:custClr>
  </a:custClrLst>
  <a:extLst>
    <a:ext uri="{05A4C25C-085E-4340-85A3-A5531E510DB2}">
      <thm15:themeFamily xmlns:thm15="http://schemas.microsoft.com/office/thememl/2012/main" name="AWS Design" id="{334D7173-4B7D-4875-9AB9-CC3A14D41F4E}" vid="{8E27CDE0-6E90-424A-B170-85C4C051E3D2}"/>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A4B4791-40C0-4A93-BE90-E7DA540C5CE9}">
  <we:reference id="32a0e171-16d7-4fa9-a42d-44bb3629b664" version="1.0.0.1" store="EXCatalog" storeType="EXCatalog"/>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3.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bin"/><Relationship Id="rId5" Type="http://schemas.openxmlformats.org/officeDocument/2006/relationships/table" Target="../tables/table9.xml"/><Relationship Id="rId4" Type="http://schemas.openxmlformats.org/officeDocument/2006/relationships/table" Target="../tables/table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8" Type="http://schemas.openxmlformats.org/officeDocument/2006/relationships/hyperlink" Target="https://www.digikey.de/en/products/detail/te-connectivity-erni/244629-E/18693896" TargetMode="External"/><Relationship Id="rId13" Type="http://schemas.openxmlformats.org/officeDocument/2006/relationships/drawing" Target="../drawings/drawing5.xml"/><Relationship Id="rId18" Type="http://schemas.openxmlformats.org/officeDocument/2006/relationships/comments" Target="../comments5.xml"/><Relationship Id="rId3" Type="http://schemas.openxmlformats.org/officeDocument/2006/relationships/hyperlink" Target="https://www.digikey.de/en/products/detail/nic-components-corp/NACZ471M25V10X10-5TR15F/22320436?s=N4IgjCBcoCwGxVAYygMwIYBsDOBTANCAPZQDaIAHGGAAxgDMIAuoQA4AuUIAyuwE4BLAHYBzEAF9CAJhoB2AJyIQKSBhwFiZEFICsAAgBqzNp0ggAqkIHsA8qgCyudNgCufXBPHigA" TargetMode="External"/><Relationship Id="rId7" Type="http://schemas.openxmlformats.org/officeDocument/2006/relationships/hyperlink" Target="https://www.digikey.de/en/products/detail/te-connectivity-amp-connectors/1-2328702-0/9565577" TargetMode="External"/><Relationship Id="rId12" Type="http://schemas.openxmlformats.org/officeDocument/2006/relationships/printerSettings" Target="../printerSettings/printerSettings8.bin"/><Relationship Id="rId17" Type="http://schemas.openxmlformats.org/officeDocument/2006/relationships/table" Target="../tables/table15.xml"/><Relationship Id="rId2" Type="http://schemas.openxmlformats.org/officeDocument/2006/relationships/hyperlink" Target="https://www.digikey.de/en/products/detail/american-bright-optoelectronics-corporation/BL-HBGJAGRM132N-EP/9678128" TargetMode="External"/><Relationship Id="rId16" Type="http://schemas.openxmlformats.org/officeDocument/2006/relationships/table" Target="../tables/table14.xml"/><Relationship Id="rId1" Type="http://schemas.openxmlformats.org/officeDocument/2006/relationships/hyperlink" Target="https://www.digikey.de/en/products/detail/w%C3%BCrth-elektronik/701512500/9488168" TargetMode="External"/><Relationship Id="rId6" Type="http://schemas.openxmlformats.org/officeDocument/2006/relationships/hyperlink" Target="https://www.digikey.de/en/products/detail/nexperia-usa-inc/74HC4094D-653/946655" TargetMode="External"/><Relationship Id="rId11" Type="http://schemas.openxmlformats.org/officeDocument/2006/relationships/hyperlink" Target="https://www.digikey.de/de/products/detail/te-connectivity-amp-connectors/293587-1/3879127" TargetMode="External"/><Relationship Id="rId5" Type="http://schemas.openxmlformats.org/officeDocument/2006/relationships/hyperlink" Target="https://www.digikey.de/en/products/detail/microchip-technology/ATSAMD20G15A-AU/4431287" TargetMode="External"/><Relationship Id="rId15" Type="http://schemas.openxmlformats.org/officeDocument/2006/relationships/table" Target="../tables/table13.xml"/><Relationship Id="rId10" Type="http://schemas.openxmlformats.org/officeDocument/2006/relationships/hyperlink" Target="https://www.digikey.de/de/products/detail/soberton-inc/SP-4005Y/9924431" TargetMode="External"/><Relationship Id="rId4" Type="http://schemas.openxmlformats.org/officeDocument/2006/relationships/hyperlink" Target="https://www.mouser.de/ProductDetail/STMicroelectronics/L78L33ABD-TR?qs=yIs9YiJLO4fccdnNfUSH5Q%3D%3D" TargetMode="External"/><Relationship Id="rId9" Type="http://schemas.openxmlformats.org/officeDocument/2006/relationships/hyperlink" Target="https://www.digikey.de/en/products/detail/te-connectivity-alcoswitch-switches/2425755-1/17829533" TargetMode="External"/><Relationship Id="rId14"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8" Type="http://schemas.openxmlformats.org/officeDocument/2006/relationships/hyperlink" Target="https://hyper-source.net/p/M12L2561616A-6T" TargetMode="External"/><Relationship Id="rId13" Type="http://schemas.openxmlformats.org/officeDocument/2006/relationships/hyperlink" Target="https://www.digikey.de/en/products/detail/amphenol-cs-fci/62684-402100ALF/1001514" TargetMode="External"/><Relationship Id="rId18" Type="http://schemas.openxmlformats.org/officeDocument/2006/relationships/table" Target="../tables/table16.xml"/><Relationship Id="rId3" Type="http://schemas.openxmlformats.org/officeDocument/2006/relationships/hyperlink" Target="https://www.digikey.de/de/products/detail/epson/RX-8803SA-UB3-PURE-SN/5175011" TargetMode="External"/><Relationship Id="rId21" Type="http://schemas.openxmlformats.org/officeDocument/2006/relationships/comments" Target="../comments7.xml"/><Relationship Id="rId7" Type="http://schemas.openxmlformats.org/officeDocument/2006/relationships/hyperlink" Target="https://www.digikey.de/de/products/detail/25AA02E64T-I-OT/25AA02E64T-I-OTCT-ND/4292624?curr=eur&amp;utm_campaign=buynow&amp;utm_medium=aggregator&amp;utm_source=octopart" TargetMode="External"/><Relationship Id="rId12" Type="http://schemas.openxmlformats.org/officeDocument/2006/relationships/hyperlink" Target="https://www.digikey.de/en/products/detail/ecs-inc/ECS-250-18-33-JGN-TR3/14825156" TargetMode="External"/><Relationship Id="rId17" Type="http://schemas.openxmlformats.org/officeDocument/2006/relationships/vmlDrawing" Target="../drawings/vmlDrawing7.vml"/><Relationship Id="rId2" Type="http://schemas.openxmlformats.org/officeDocument/2006/relationships/hyperlink" Target="https://www.digikey.de/de/products/detail/stmicroelectronics/M95640-WMN6TP/1664212" TargetMode="External"/><Relationship Id="rId16" Type="http://schemas.openxmlformats.org/officeDocument/2006/relationships/drawing" Target="../drawings/drawing7.xml"/><Relationship Id="rId20" Type="http://schemas.openxmlformats.org/officeDocument/2006/relationships/table" Target="../tables/table18.xml"/><Relationship Id="rId1" Type="http://schemas.openxmlformats.org/officeDocument/2006/relationships/hyperlink" Target="https://www.digikey.de/en/products/detail/samtec-inc/FW-11-03-G-D-200-200-P-TR/7480741" TargetMode="External"/><Relationship Id="rId6" Type="http://schemas.openxmlformats.org/officeDocument/2006/relationships/hyperlink" Target="https://www.win-source.net/products/detail/toshiba-semiconductor-and-storage/tmpa910crbxbg.html" TargetMode="External"/><Relationship Id="rId11" Type="http://schemas.openxmlformats.org/officeDocument/2006/relationships/hyperlink" Target="https://www.digikey.de/de/products/detail/micron-technology-inc/MT28EW256ABA1LJS-0SIT/6595670" TargetMode="External"/><Relationship Id="rId5" Type="http://schemas.openxmlformats.org/officeDocument/2006/relationships/hyperlink" Target="https://www.digikey.de/de/products/detail/nichicon/RPS0G471MCN1GS/2242466" TargetMode="External"/><Relationship Id="rId15" Type="http://schemas.openxmlformats.org/officeDocument/2006/relationships/printerSettings" Target="../printerSettings/printerSettings9.bin"/><Relationship Id="rId10" Type="http://schemas.openxmlformats.org/officeDocument/2006/relationships/hyperlink" Target="https://www.mouser.de/ProductDetail/Monolithic-Power-Systems-MPS/MP4436AGR-P?qs=GedFDFLaBXHuU8J%252BvoXGbA%3D%3D&amp;utm_campaign=enhanced_listing&amp;utm_content=Monolithic%20Power%20Systems%20(MPS)&amp;utm_medium=display&amp;utm_source=octopart" TargetMode="External"/><Relationship Id="rId19" Type="http://schemas.openxmlformats.org/officeDocument/2006/relationships/table" Target="../tables/table17.xml"/><Relationship Id="rId4" Type="http://schemas.openxmlformats.org/officeDocument/2006/relationships/hyperlink" Target="https://www.digikey.de/de/products/detail/nextgen-components/UE477M025HGKTA/16730221" TargetMode="External"/><Relationship Id="rId9" Type="http://schemas.openxmlformats.org/officeDocument/2006/relationships/hyperlink" Target="https://hyper-source.net/p/M12L2561616A-6T" TargetMode="External"/><Relationship Id="rId14" Type="http://schemas.openxmlformats.org/officeDocument/2006/relationships/hyperlink" Target="https://www.digikey.de/en/products/detail/eaton-electronics-division/CTX1-1P-R/667326" TargetMode="Externa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hyperlink" Target="https://www.digikey.de/de/products/detail/texas-instruments/LDC1312QDNTRQ1/6100246" TargetMode="External"/><Relationship Id="rId7" Type="http://schemas.openxmlformats.org/officeDocument/2006/relationships/table" Target="../tables/table19.xml"/><Relationship Id="rId2" Type="http://schemas.openxmlformats.org/officeDocument/2006/relationships/hyperlink" Target="https://www.digikey.de/en/products/detail/taiyo-yuden/NRS4018T4R7MDGJ/2648971" TargetMode="External"/><Relationship Id="rId1" Type="http://schemas.openxmlformats.org/officeDocument/2006/relationships/hyperlink" Target="https://www.digikey.de/en/products/detail/inolux/IN-S63AT5UW/7604931" TargetMode="External"/><Relationship Id="rId6" Type="http://schemas.openxmlformats.org/officeDocument/2006/relationships/vmlDrawing" Target="../drawings/vmlDrawing9.vml"/><Relationship Id="rId5" Type="http://schemas.openxmlformats.org/officeDocument/2006/relationships/drawing" Target="../drawings/drawing9.xml"/><Relationship Id="rId10" Type="http://schemas.openxmlformats.org/officeDocument/2006/relationships/comments" Target="../comments9.xml"/><Relationship Id="rId4" Type="http://schemas.openxmlformats.org/officeDocument/2006/relationships/printerSettings" Target="../printerSettings/printerSettings10.bin"/><Relationship Id="rId9" Type="http://schemas.openxmlformats.org/officeDocument/2006/relationships/table" Target="../tables/table21.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table" Target="../tables/table24.xml"/><Relationship Id="rId4" Type="http://schemas.openxmlformats.org/officeDocument/2006/relationships/table" Target="../tables/table23.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14.bin"/><Relationship Id="rId5" Type="http://schemas.openxmlformats.org/officeDocument/2006/relationships/table" Target="../tables/table28.xml"/><Relationship Id="rId4" Type="http://schemas.openxmlformats.org/officeDocument/2006/relationships/table" Target="../tables/table27.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36.xml"/><Relationship Id="rId13" Type="http://schemas.openxmlformats.org/officeDocument/2006/relationships/table" Target="../tables/table41.xml"/><Relationship Id="rId3" Type="http://schemas.openxmlformats.org/officeDocument/2006/relationships/table" Target="../tables/table31.xml"/><Relationship Id="rId7" Type="http://schemas.openxmlformats.org/officeDocument/2006/relationships/table" Target="../tables/table35.xml"/><Relationship Id="rId12" Type="http://schemas.openxmlformats.org/officeDocument/2006/relationships/table" Target="../tables/table40.xml"/><Relationship Id="rId2" Type="http://schemas.openxmlformats.org/officeDocument/2006/relationships/table" Target="../tables/table30.xml"/><Relationship Id="rId1" Type="http://schemas.openxmlformats.org/officeDocument/2006/relationships/table" Target="../tables/table29.xml"/><Relationship Id="rId6" Type="http://schemas.openxmlformats.org/officeDocument/2006/relationships/table" Target="../tables/table34.xml"/><Relationship Id="rId11" Type="http://schemas.openxmlformats.org/officeDocument/2006/relationships/table" Target="../tables/table39.xml"/><Relationship Id="rId5" Type="http://schemas.openxmlformats.org/officeDocument/2006/relationships/table" Target="../tables/table33.xml"/><Relationship Id="rId15" Type="http://schemas.openxmlformats.org/officeDocument/2006/relationships/table" Target="../tables/table43.xml"/><Relationship Id="rId10" Type="http://schemas.openxmlformats.org/officeDocument/2006/relationships/table" Target="../tables/table38.xml"/><Relationship Id="rId4" Type="http://schemas.openxmlformats.org/officeDocument/2006/relationships/table" Target="../tables/table32.xml"/><Relationship Id="rId9" Type="http://schemas.openxmlformats.org/officeDocument/2006/relationships/table" Target="../tables/table37.xml"/><Relationship Id="rId14" Type="http://schemas.openxmlformats.org/officeDocument/2006/relationships/table" Target="../tables/table42.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table" Target="../tables/table44.xml"/><Relationship Id="rId1" Type="http://schemas.openxmlformats.org/officeDocument/2006/relationships/vmlDrawing" Target="../drawings/vmlDrawing12.vml"/><Relationship Id="rId4" Type="http://schemas.openxmlformats.org/officeDocument/2006/relationships/comments" Target="../comments12.xml"/></Relationships>
</file>

<file path=xl/worksheets/_rels/sheet24.xml.rels><?xml version="1.0" encoding="UTF-8" standalone="yes"?>
<Relationships xmlns="http://schemas.openxmlformats.org/package/2006/relationships"><Relationship Id="rId3" Type="http://schemas.openxmlformats.org/officeDocument/2006/relationships/hyperlink" Target="file:///\\wts\06%20Schulungen\04%20Schulungen%20AWS%20Pr&#228;missen\Zuschlagss&#228;tze" TargetMode="External"/><Relationship Id="rId2" Type="http://schemas.openxmlformats.org/officeDocument/2006/relationships/hyperlink" Target="file:///\\wts\..\..\..\..\..\..\..\..\..\..\..\..\..\..\..\..\..\..\..\..\..\..\..\..\..\..\..\..\..\..\..\..\..\..\..\..\..\..\..\..\..\..\..\..\..\..\..\..\..\..\..\..\..\..\..\..\..\..\..\..\..\..\..\..\..\..\..\..\..\..\..\..\Roaming\Microsoft\ACT%206" TargetMode="External"/><Relationship Id="rId1" Type="http://schemas.openxmlformats.org/officeDocument/2006/relationships/hyperlink" Target="file:///\\wts\..\..\..\..\..\..\..\..\..\..\..\..\..\..\..\..\..\..\..\..\..\..\..\..\..\..\..\..\..\..\..\..\..\..\..\..\..\..\..\..\..\..\..\..\..\..\..\..\..\..\..\..\..\..\..\..\..\..\..\..\..\..\..\..\..\..\..\..\..\..\..\..\10%20Sonstige%20Anwendungen\AWS%20Toolbox" TargetMode="External"/><Relationship Id="rId4" Type="http://schemas.openxmlformats.org/officeDocument/2006/relationships/table" Target="../tables/table46.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26.xml.rels><?xml version="1.0" encoding="UTF-8" standalone="yes"?>
<Relationships xmlns="http://schemas.openxmlformats.org/package/2006/relationships"><Relationship Id="rId13" Type="http://schemas.openxmlformats.org/officeDocument/2006/relationships/table" Target="../tables/table60.xml"/><Relationship Id="rId18" Type="http://schemas.openxmlformats.org/officeDocument/2006/relationships/table" Target="../tables/table65.xml"/><Relationship Id="rId26" Type="http://schemas.openxmlformats.org/officeDocument/2006/relationships/table" Target="../tables/table73.xml"/><Relationship Id="rId39" Type="http://schemas.openxmlformats.org/officeDocument/2006/relationships/table" Target="../tables/table86.xml"/><Relationship Id="rId21" Type="http://schemas.openxmlformats.org/officeDocument/2006/relationships/table" Target="../tables/table68.xml"/><Relationship Id="rId34" Type="http://schemas.openxmlformats.org/officeDocument/2006/relationships/table" Target="../tables/table81.xml"/><Relationship Id="rId42" Type="http://schemas.openxmlformats.org/officeDocument/2006/relationships/table" Target="../tables/table89.xml"/><Relationship Id="rId47" Type="http://schemas.openxmlformats.org/officeDocument/2006/relationships/table" Target="../tables/table94.xml"/><Relationship Id="rId50" Type="http://schemas.openxmlformats.org/officeDocument/2006/relationships/table" Target="../tables/table97.xml"/><Relationship Id="rId7" Type="http://schemas.openxmlformats.org/officeDocument/2006/relationships/table" Target="../tables/table54.xml"/><Relationship Id="rId2" Type="http://schemas.openxmlformats.org/officeDocument/2006/relationships/table" Target="../tables/table49.xml"/><Relationship Id="rId16" Type="http://schemas.openxmlformats.org/officeDocument/2006/relationships/table" Target="../tables/table63.xml"/><Relationship Id="rId29" Type="http://schemas.openxmlformats.org/officeDocument/2006/relationships/table" Target="../tables/table76.xml"/><Relationship Id="rId11" Type="http://schemas.openxmlformats.org/officeDocument/2006/relationships/table" Target="../tables/table58.xml"/><Relationship Id="rId24" Type="http://schemas.openxmlformats.org/officeDocument/2006/relationships/table" Target="../tables/table71.xml"/><Relationship Id="rId32" Type="http://schemas.openxmlformats.org/officeDocument/2006/relationships/table" Target="../tables/table79.xml"/><Relationship Id="rId37" Type="http://schemas.openxmlformats.org/officeDocument/2006/relationships/table" Target="../tables/table84.xml"/><Relationship Id="rId40" Type="http://schemas.openxmlformats.org/officeDocument/2006/relationships/table" Target="../tables/table87.xml"/><Relationship Id="rId45" Type="http://schemas.openxmlformats.org/officeDocument/2006/relationships/table" Target="../tables/table92.xml"/><Relationship Id="rId5" Type="http://schemas.openxmlformats.org/officeDocument/2006/relationships/table" Target="../tables/table52.xml"/><Relationship Id="rId15" Type="http://schemas.openxmlformats.org/officeDocument/2006/relationships/table" Target="../tables/table62.xml"/><Relationship Id="rId23" Type="http://schemas.openxmlformats.org/officeDocument/2006/relationships/table" Target="../tables/table70.xml"/><Relationship Id="rId28" Type="http://schemas.openxmlformats.org/officeDocument/2006/relationships/table" Target="../tables/table75.xml"/><Relationship Id="rId36" Type="http://schemas.openxmlformats.org/officeDocument/2006/relationships/table" Target="../tables/table83.xml"/><Relationship Id="rId49" Type="http://schemas.openxmlformats.org/officeDocument/2006/relationships/table" Target="../tables/table96.xml"/><Relationship Id="rId10" Type="http://schemas.openxmlformats.org/officeDocument/2006/relationships/table" Target="../tables/table57.xml"/><Relationship Id="rId19" Type="http://schemas.openxmlformats.org/officeDocument/2006/relationships/table" Target="../tables/table66.xml"/><Relationship Id="rId31" Type="http://schemas.openxmlformats.org/officeDocument/2006/relationships/table" Target="../tables/table78.xml"/><Relationship Id="rId44" Type="http://schemas.openxmlformats.org/officeDocument/2006/relationships/table" Target="../tables/table91.xml"/><Relationship Id="rId4" Type="http://schemas.openxmlformats.org/officeDocument/2006/relationships/table" Target="../tables/table51.xml"/><Relationship Id="rId9" Type="http://schemas.openxmlformats.org/officeDocument/2006/relationships/table" Target="../tables/table56.xml"/><Relationship Id="rId14" Type="http://schemas.openxmlformats.org/officeDocument/2006/relationships/table" Target="../tables/table61.xml"/><Relationship Id="rId22" Type="http://schemas.openxmlformats.org/officeDocument/2006/relationships/table" Target="../tables/table69.xml"/><Relationship Id="rId27" Type="http://schemas.openxmlformats.org/officeDocument/2006/relationships/table" Target="../tables/table74.xml"/><Relationship Id="rId30" Type="http://schemas.openxmlformats.org/officeDocument/2006/relationships/table" Target="../tables/table77.xml"/><Relationship Id="rId35" Type="http://schemas.openxmlformats.org/officeDocument/2006/relationships/table" Target="../tables/table82.xml"/><Relationship Id="rId43" Type="http://schemas.openxmlformats.org/officeDocument/2006/relationships/table" Target="../tables/table90.xml"/><Relationship Id="rId48" Type="http://schemas.openxmlformats.org/officeDocument/2006/relationships/table" Target="../tables/table95.xml"/><Relationship Id="rId8" Type="http://schemas.openxmlformats.org/officeDocument/2006/relationships/table" Target="../tables/table55.xml"/><Relationship Id="rId3" Type="http://schemas.openxmlformats.org/officeDocument/2006/relationships/table" Target="../tables/table50.xml"/><Relationship Id="rId12" Type="http://schemas.openxmlformats.org/officeDocument/2006/relationships/table" Target="../tables/table59.xml"/><Relationship Id="rId17" Type="http://schemas.openxmlformats.org/officeDocument/2006/relationships/table" Target="../tables/table64.xml"/><Relationship Id="rId25" Type="http://schemas.openxmlformats.org/officeDocument/2006/relationships/table" Target="../tables/table72.xml"/><Relationship Id="rId33" Type="http://schemas.openxmlformats.org/officeDocument/2006/relationships/table" Target="../tables/table80.xml"/><Relationship Id="rId38" Type="http://schemas.openxmlformats.org/officeDocument/2006/relationships/table" Target="../tables/table85.xml"/><Relationship Id="rId46" Type="http://schemas.openxmlformats.org/officeDocument/2006/relationships/table" Target="../tables/table93.xml"/><Relationship Id="rId20" Type="http://schemas.openxmlformats.org/officeDocument/2006/relationships/table" Target="../tables/table67.xml"/><Relationship Id="rId41" Type="http://schemas.openxmlformats.org/officeDocument/2006/relationships/table" Target="../tables/table88.xml"/><Relationship Id="rId1" Type="http://schemas.openxmlformats.org/officeDocument/2006/relationships/table" Target="../tables/table48.xml"/><Relationship Id="rId6" Type="http://schemas.openxmlformats.org/officeDocument/2006/relationships/table" Target="../tables/table53.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98.xml"/><Relationship Id="rId1" Type="http://schemas.openxmlformats.org/officeDocument/2006/relationships/drawing" Target="../drawings/drawing13.xml"/></Relationships>
</file>

<file path=xl/worksheets/_rels/sheet28.xml.rels><?xml version="1.0" encoding="UTF-8" standalone="yes"?>
<Relationships xmlns="http://schemas.openxmlformats.org/package/2006/relationships"><Relationship Id="rId8" Type="http://schemas.openxmlformats.org/officeDocument/2006/relationships/table" Target="../tables/table100.xml"/><Relationship Id="rId3" Type="http://schemas.openxmlformats.org/officeDocument/2006/relationships/hyperlink" Target="file:///\\wts\..\..\..\..\..\..\..\..\..\..\..\..\..\..\..\..\..\..\..\..\..\03%20Materialdaten\" TargetMode="External"/><Relationship Id="rId7" Type="http://schemas.openxmlformats.org/officeDocument/2006/relationships/table" Target="../tables/table99.xml"/><Relationship Id="rId2" Type="http://schemas.openxmlformats.org/officeDocument/2006/relationships/hyperlink" Target="mailto:info@aws-systemtechnik.de" TargetMode="External"/><Relationship Id="rId1" Type="http://schemas.openxmlformats.org/officeDocument/2006/relationships/hyperlink" Target="mailto:info@aws-systemtechnik.de" TargetMode="External"/><Relationship Id="rId6" Type="http://schemas.openxmlformats.org/officeDocument/2006/relationships/printerSettings" Target="../printerSettings/printerSettings15.bin"/><Relationship Id="rId5" Type="http://schemas.openxmlformats.org/officeDocument/2006/relationships/hyperlink" Target="mailto:eray.altuntas@aws-ce.com" TargetMode="External"/><Relationship Id="rId4" Type="http://schemas.openxmlformats.org/officeDocument/2006/relationships/hyperlink" Target="file:///\\wts\..\..\..\..\..\..\..\..\..\..\..\..\..\..\..\..\..\..\..\..\..\03%20Materialdaten\" TargetMode="External"/><Relationship Id="rId9" Type="http://schemas.openxmlformats.org/officeDocument/2006/relationships/table" Target="../tables/table10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41836-9226-4E89-B2EF-3A6A75C6264F}">
  <sheetPr codeName="TabLog">
    <tabColor rgb="FFFFC000"/>
    <outlinePr summaryBelow="0" summaryRight="0"/>
  </sheetPr>
  <dimension ref="B1:J134"/>
  <sheetViews>
    <sheetView showGridLines="0" workbookViewId="0">
      <selection activeCell="C133" sqref="C133"/>
    </sheetView>
  </sheetViews>
  <sheetFormatPr baseColWidth="10" defaultColWidth="11.42578125" defaultRowHeight="12.75" outlineLevelRow="1"/>
  <cols>
    <col min="1" max="1" width="2.7109375" style="5" customWidth="1"/>
    <col min="2" max="2" width="5.7109375" style="13" customWidth="1"/>
    <col min="3" max="3" width="20.7109375" style="2" customWidth="1"/>
    <col min="4" max="4" width="100.7109375" style="3" customWidth="1"/>
    <col min="5" max="5" width="20.7109375" style="5" customWidth="1"/>
    <col min="6" max="7" width="20.7109375" style="4" customWidth="1"/>
    <col min="8" max="8" width="10.7109375" style="4" customWidth="1"/>
    <col min="9" max="9" width="2.7109375" style="5" customWidth="1"/>
    <col min="10" max="10" width="15.140625" style="4" bestFit="1" customWidth="1"/>
    <col min="11" max="16384" width="11.42578125" style="5"/>
  </cols>
  <sheetData>
    <row r="1" spans="2:10">
      <c r="B1" s="2"/>
      <c r="E1" s="4"/>
      <c r="J1" s="5"/>
    </row>
    <row r="2" spans="2:10" collapsed="1">
      <c r="B2" s="6" t="s">
        <v>148</v>
      </c>
      <c r="C2" s="6" t="s">
        <v>2192</v>
      </c>
      <c r="D2" s="7" t="s">
        <v>2131</v>
      </c>
      <c r="E2" s="8" t="s">
        <v>2130</v>
      </c>
      <c r="F2" s="8" t="s">
        <v>2134</v>
      </c>
      <c r="G2" s="8" t="s">
        <v>178</v>
      </c>
      <c r="H2" s="8" t="s">
        <v>2129</v>
      </c>
      <c r="I2" s="4"/>
      <c r="J2" s="5"/>
    </row>
    <row r="3" spans="2:10" hidden="1" outlineLevel="1">
      <c r="B3" s="9">
        <v>1</v>
      </c>
      <c r="C3" s="6"/>
      <c r="D3" s="10" t="s">
        <v>2132</v>
      </c>
      <c r="E3" s="6" t="s">
        <v>2133</v>
      </c>
      <c r="F3" s="6" t="s">
        <v>2135</v>
      </c>
      <c r="G3" s="11" t="s">
        <v>2207</v>
      </c>
      <c r="H3" s="12">
        <v>44307</v>
      </c>
      <c r="I3" s="4"/>
      <c r="J3" s="5"/>
    </row>
    <row r="4" spans="2:10" hidden="1" outlineLevel="1">
      <c r="B4" s="9">
        <v>2</v>
      </c>
      <c r="C4" s="6" t="s">
        <v>1918</v>
      </c>
      <c r="D4" s="10" t="s">
        <v>2204</v>
      </c>
      <c r="E4" s="6" t="s">
        <v>2133</v>
      </c>
      <c r="F4" s="6" t="s">
        <v>2135</v>
      </c>
      <c r="G4" s="11" t="s">
        <v>2207</v>
      </c>
      <c r="H4" s="12">
        <v>44322</v>
      </c>
      <c r="I4" s="4"/>
      <c r="J4" s="5"/>
    </row>
    <row r="5" spans="2:10" ht="38.25" hidden="1" outlineLevel="1">
      <c r="B5" s="9">
        <v>3</v>
      </c>
      <c r="C5" s="6" t="s">
        <v>873</v>
      </c>
      <c r="D5" s="10" t="s">
        <v>2203</v>
      </c>
      <c r="E5" s="6" t="s">
        <v>2133</v>
      </c>
      <c r="F5" s="6" t="s">
        <v>2135</v>
      </c>
      <c r="G5" s="11" t="s">
        <v>2207</v>
      </c>
      <c r="H5" s="12">
        <v>44322</v>
      </c>
      <c r="I5" s="4"/>
      <c r="J5" s="5"/>
    </row>
    <row r="6" spans="2:10" hidden="1" outlineLevel="1">
      <c r="B6" s="9">
        <v>4</v>
      </c>
      <c r="C6" s="6"/>
      <c r="D6" s="10" t="s">
        <v>2205</v>
      </c>
      <c r="E6" s="6" t="s">
        <v>2133</v>
      </c>
      <c r="F6" s="6" t="s">
        <v>2135</v>
      </c>
      <c r="G6" s="11" t="s">
        <v>2207</v>
      </c>
      <c r="H6" s="12">
        <v>44322</v>
      </c>
      <c r="I6" s="4"/>
      <c r="J6" s="5"/>
    </row>
    <row r="7" spans="2:10" hidden="1" outlineLevel="1">
      <c r="B7" s="9">
        <v>5</v>
      </c>
      <c r="C7" s="6" t="s">
        <v>749</v>
      </c>
      <c r="D7" s="10" t="s">
        <v>2206</v>
      </c>
      <c r="E7" s="6" t="s">
        <v>2133</v>
      </c>
      <c r="F7" s="6" t="s">
        <v>2135</v>
      </c>
      <c r="G7" s="11" t="s">
        <v>2207</v>
      </c>
      <c r="H7" s="12">
        <v>44322</v>
      </c>
      <c r="I7" s="4"/>
      <c r="J7" s="5"/>
    </row>
    <row r="8" spans="2:10" hidden="1" outlineLevel="1">
      <c r="B8" s="9">
        <v>6</v>
      </c>
      <c r="C8" s="6" t="s">
        <v>1377</v>
      </c>
      <c r="D8" s="10" t="s">
        <v>2208</v>
      </c>
      <c r="E8" s="6" t="s">
        <v>2133</v>
      </c>
      <c r="F8" s="6" t="s">
        <v>2135</v>
      </c>
      <c r="G8" s="11" t="s">
        <v>2207</v>
      </c>
      <c r="H8" s="12">
        <v>44322</v>
      </c>
      <c r="I8" s="4"/>
      <c r="J8" s="5"/>
    </row>
    <row r="9" spans="2:10" hidden="1" outlineLevel="1">
      <c r="B9" s="9">
        <v>7</v>
      </c>
      <c r="C9" s="6" t="s">
        <v>1377</v>
      </c>
      <c r="D9" s="10" t="s">
        <v>2220</v>
      </c>
      <c r="E9" s="6" t="s">
        <v>2133</v>
      </c>
      <c r="F9" s="6" t="s">
        <v>2135</v>
      </c>
      <c r="G9" s="11" t="s">
        <v>2207</v>
      </c>
      <c r="H9" s="12">
        <v>44322</v>
      </c>
      <c r="I9" s="4"/>
      <c r="J9" s="5"/>
    </row>
    <row r="10" spans="2:10" ht="38.25" hidden="1" outlineLevel="1">
      <c r="B10" s="9">
        <v>8</v>
      </c>
      <c r="C10" s="14"/>
      <c r="D10" s="10" t="s">
        <v>2210</v>
      </c>
      <c r="E10" s="6" t="s">
        <v>2133</v>
      </c>
      <c r="F10" s="6" t="s">
        <v>2135</v>
      </c>
      <c r="G10" s="11" t="s">
        <v>2207</v>
      </c>
      <c r="H10" s="12">
        <v>44325</v>
      </c>
      <c r="I10" s="4"/>
      <c r="J10" s="5"/>
    </row>
    <row r="11" spans="2:10" ht="76.5" hidden="1" outlineLevel="1">
      <c r="B11" s="9">
        <v>9</v>
      </c>
      <c r="C11" s="6" t="s">
        <v>1377</v>
      </c>
      <c r="D11" s="10" t="s">
        <v>2389</v>
      </c>
      <c r="E11" s="6" t="s">
        <v>2133</v>
      </c>
      <c r="F11" s="6" t="s">
        <v>2135</v>
      </c>
      <c r="G11" s="11" t="s">
        <v>2207</v>
      </c>
      <c r="H11" s="12">
        <v>44325</v>
      </c>
      <c r="I11" s="4"/>
      <c r="J11" s="5"/>
    </row>
    <row r="12" spans="2:10" ht="63.75" hidden="1" outlineLevel="1">
      <c r="B12" s="9">
        <v>10</v>
      </c>
      <c r="C12" s="6" t="s">
        <v>749</v>
      </c>
      <c r="D12" s="10" t="s">
        <v>2390</v>
      </c>
      <c r="E12" s="6" t="s">
        <v>2133</v>
      </c>
      <c r="F12" s="6" t="s">
        <v>2135</v>
      </c>
      <c r="G12" s="11" t="s">
        <v>2207</v>
      </c>
      <c r="H12" s="12">
        <v>44325</v>
      </c>
      <c r="I12" s="4"/>
      <c r="J12" s="5"/>
    </row>
    <row r="13" spans="2:10" ht="51" hidden="1" outlineLevel="1">
      <c r="B13" s="9">
        <v>11</v>
      </c>
      <c r="C13" s="6" t="s">
        <v>875</v>
      </c>
      <c r="D13" s="10" t="s">
        <v>2209</v>
      </c>
      <c r="E13" s="6" t="s">
        <v>2133</v>
      </c>
      <c r="F13" s="6" t="s">
        <v>2135</v>
      </c>
      <c r="G13" s="11" t="s">
        <v>2207</v>
      </c>
      <c r="H13" s="12">
        <v>44325</v>
      </c>
      <c r="I13" s="4"/>
      <c r="J13" s="5"/>
    </row>
    <row r="14" spans="2:10" hidden="1" outlineLevel="1">
      <c r="B14" s="9">
        <v>12</v>
      </c>
      <c r="C14" s="6"/>
      <c r="D14" s="10" t="s">
        <v>2202</v>
      </c>
      <c r="E14" s="6" t="s">
        <v>2133</v>
      </c>
      <c r="F14" s="6" t="s">
        <v>2135</v>
      </c>
      <c r="G14" s="11" t="s">
        <v>2207</v>
      </c>
      <c r="H14" s="12">
        <v>44325</v>
      </c>
      <c r="I14" s="4"/>
      <c r="J14" s="5"/>
    </row>
    <row r="15" spans="2:10" hidden="1" outlineLevel="1">
      <c r="B15" s="9">
        <v>13</v>
      </c>
      <c r="C15" s="6" t="s">
        <v>875</v>
      </c>
      <c r="D15" s="10" t="s">
        <v>2246</v>
      </c>
      <c r="E15" s="6" t="s">
        <v>2133</v>
      </c>
      <c r="F15" s="6" t="s">
        <v>2135</v>
      </c>
      <c r="G15" s="11" t="s">
        <v>2207</v>
      </c>
      <c r="H15" s="12">
        <v>44327</v>
      </c>
      <c r="I15" s="4"/>
      <c r="J15" s="5"/>
    </row>
    <row r="16" spans="2:10" hidden="1" outlineLevel="1">
      <c r="B16" s="9">
        <v>14</v>
      </c>
      <c r="C16" s="9"/>
      <c r="D16" s="10" t="s">
        <v>2293</v>
      </c>
      <c r="E16" s="6" t="s">
        <v>2133</v>
      </c>
      <c r="F16" s="6" t="s">
        <v>2135</v>
      </c>
      <c r="G16" s="11" t="s">
        <v>2277</v>
      </c>
      <c r="H16" s="12">
        <v>44331</v>
      </c>
      <c r="I16" s="4"/>
      <c r="J16" s="5"/>
    </row>
    <row r="17" spans="2:10" hidden="1" outlineLevel="1">
      <c r="B17" s="9">
        <v>15</v>
      </c>
      <c r="C17" s="6"/>
      <c r="D17" s="10" t="s">
        <v>2294</v>
      </c>
      <c r="E17" s="6" t="s">
        <v>2133</v>
      </c>
      <c r="F17" s="6" t="s">
        <v>2135</v>
      </c>
      <c r="G17" s="11" t="s">
        <v>2277</v>
      </c>
      <c r="H17" s="12">
        <v>44332</v>
      </c>
      <c r="I17" s="4"/>
      <c r="J17" s="5"/>
    </row>
    <row r="18" spans="2:10" hidden="1" outlineLevel="1">
      <c r="B18" s="9">
        <v>16</v>
      </c>
      <c r="C18" s="6"/>
      <c r="D18" s="10" t="s">
        <v>2295</v>
      </c>
      <c r="E18" s="6" t="s">
        <v>2133</v>
      </c>
      <c r="F18" s="6" t="s">
        <v>2135</v>
      </c>
      <c r="G18" s="11" t="s">
        <v>2277</v>
      </c>
      <c r="H18" s="12">
        <v>44332</v>
      </c>
      <c r="I18" s="4"/>
      <c r="J18" s="5"/>
    </row>
    <row r="19" spans="2:10" hidden="1" outlineLevel="1">
      <c r="B19" s="9">
        <v>17</v>
      </c>
      <c r="C19" s="9"/>
      <c r="D19" s="10" t="s">
        <v>2298</v>
      </c>
      <c r="E19" s="6" t="s">
        <v>2133</v>
      </c>
      <c r="F19" s="6" t="s">
        <v>2135</v>
      </c>
      <c r="G19" s="11" t="s">
        <v>2277</v>
      </c>
      <c r="H19" s="12">
        <v>44332</v>
      </c>
    </row>
    <row r="20" spans="2:10" ht="38.25" hidden="1" outlineLevel="1">
      <c r="B20" s="9">
        <v>18</v>
      </c>
      <c r="C20" s="9" t="s">
        <v>873</v>
      </c>
      <c r="D20" s="10" t="s">
        <v>2354</v>
      </c>
      <c r="E20" s="6" t="s">
        <v>2133</v>
      </c>
      <c r="F20" s="6" t="s">
        <v>2135</v>
      </c>
      <c r="G20" s="11" t="s">
        <v>2334</v>
      </c>
      <c r="H20" s="12">
        <v>44357</v>
      </c>
    </row>
    <row r="21" spans="2:10" hidden="1" outlineLevel="1">
      <c r="B21" s="9">
        <v>19</v>
      </c>
      <c r="C21" s="9"/>
      <c r="D21" s="10" t="s">
        <v>2353</v>
      </c>
      <c r="E21" s="6" t="s">
        <v>2133</v>
      </c>
      <c r="F21" s="6" t="s">
        <v>2135</v>
      </c>
      <c r="G21" s="11" t="s">
        <v>2334</v>
      </c>
      <c r="H21" s="12">
        <v>44357</v>
      </c>
    </row>
    <row r="22" spans="2:10" hidden="1" outlineLevel="1">
      <c r="B22" s="9">
        <v>20</v>
      </c>
      <c r="C22" s="9"/>
      <c r="D22" s="10" t="s">
        <v>2380</v>
      </c>
      <c r="E22" s="6" t="s">
        <v>2133</v>
      </c>
      <c r="F22" s="6" t="s">
        <v>2135</v>
      </c>
      <c r="G22" s="11" t="s">
        <v>2334</v>
      </c>
      <c r="H22" s="12">
        <v>44357</v>
      </c>
    </row>
    <row r="23" spans="2:10" hidden="1" outlineLevel="1">
      <c r="B23" s="9">
        <v>21</v>
      </c>
      <c r="C23" s="9"/>
      <c r="D23" s="10" t="s">
        <v>2202</v>
      </c>
      <c r="E23" s="6" t="s">
        <v>2133</v>
      </c>
      <c r="F23" s="6" t="s">
        <v>2135</v>
      </c>
      <c r="G23" s="11" t="s">
        <v>2334</v>
      </c>
      <c r="H23" s="12">
        <v>44357</v>
      </c>
    </row>
    <row r="24" spans="2:10" hidden="1" outlineLevel="1">
      <c r="B24" s="9">
        <v>22</v>
      </c>
      <c r="C24" s="9"/>
      <c r="D24" s="10" t="s">
        <v>2429</v>
      </c>
      <c r="E24" s="6" t="s">
        <v>2133</v>
      </c>
      <c r="F24" s="6" t="s">
        <v>2135</v>
      </c>
      <c r="G24" s="11" t="s">
        <v>2430</v>
      </c>
      <c r="H24" s="12">
        <v>44370</v>
      </c>
    </row>
    <row r="25" spans="2:10" hidden="1" outlineLevel="1">
      <c r="B25" s="9">
        <v>23</v>
      </c>
      <c r="C25" s="9"/>
      <c r="D25" s="10" t="s">
        <v>2437</v>
      </c>
      <c r="E25" s="6" t="s">
        <v>2133</v>
      </c>
      <c r="F25" s="6" t="s">
        <v>2135</v>
      </c>
      <c r="G25" s="11" t="s">
        <v>2430</v>
      </c>
      <c r="H25" s="12">
        <v>44382</v>
      </c>
    </row>
    <row r="26" spans="2:10" hidden="1" outlineLevel="1">
      <c r="B26" s="9">
        <v>24</v>
      </c>
      <c r="C26" s="9" t="s">
        <v>284</v>
      </c>
      <c r="D26" s="10" t="s">
        <v>2449</v>
      </c>
      <c r="E26" s="6" t="s">
        <v>2133</v>
      </c>
      <c r="F26" s="6" t="s">
        <v>2135</v>
      </c>
      <c r="G26" s="11" t="s">
        <v>2430</v>
      </c>
      <c r="H26" s="12">
        <v>44410</v>
      </c>
    </row>
    <row r="27" spans="2:10" hidden="1" outlineLevel="1">
      <c r="B27" s="9">
        <v>25</v>
      </c>
      <c r="C27" s="9" t="s">
        <v>204</v>
      </c>
      <c r="D27" s="10" t="s">
        <v>2450</v>
      </c>
      <c r="E27" s="6" t="s">
        <v>2133</v>
      </c>
      <c r="F27" s="6" t="s">
        <v>2135</v>
      </c>
      <c r="G27" s="11" t="s">
        <v>2430</v>
      </c>
      <c r="H27" s="12">
        <v>44410</v>
      </c>
    </row>
    <row r="28" spans="2:10" hidden="1" outlineLevel="1">
      <c r="B28" s="9">
        <v>26</v>
      </c>
      <c r="C28" s="818" t="s">
        <v>204</v>
      </c>
      <c r="D28" s="10" t="s">
        <v>2505</v>
      </c>
      <c r="E28" s="6" t="s">
        <v>2133</v>
      </c>
      <c r="F28" s="6" t="s">
        <v>2135</v>
      </c>
      <c r="G28" s="11" t="s">
        <v>2430</v>
      </c>
      <c r="H28" s="819">
        <v>44410</v>
      </c>
    </row>
    <row r="29" spans="2:10" hidden="1" outlineLevel="1">
      <c r="B29" s="9">
        <v>27</v>
      </c>
      <c r="C29" s="9" t="s">
        <v>284</v>
      </c>
      <c r="D29" s="10" t="s">
        <v>2506</v>
      </c>
      <c r="E29" s="6" t="s">
        <v>2133</v>
      </c>
      <c r="F29" s="6" t="s">
        <v>2135</v>
      </c>
      <c r="G29" s="11" t="s">
        <v>2430</v>
      </c>
      <c r="H29" s="819">
        <v>44442</v>
      </c>
    </row>
    <row r="30" spans="2:10" hidden="1" outlineLevel="1">
      <c r="B30" s="9">
        <v>28</v>
      </c>
      <c r="C30" s="9" t="s">
        <v>284</v>
      </c>
      <c r="D30" s="10" t="s">
        <v>2508</v>
      </c>
      <c r="E30" s="6" t="s">
        <v>2133</v>
      </c>
      <c r="F30" s="6" t="s">
        <v>2135</v>
      </c>
      <c r="G30" s="11" t="s">
        <v>2430</v>
      </c>
      <c r="H30" s="819">
        <v>44442</v>
      </c>
    </row>
    <row r="31" spans="2:10" hidden="1" outlineLevel="1">
      <c r="B31" s="9">
        <v>29</v>
      </c>
      <c r="C31" s="9" t="s">
        <v>204</v>
      </c>
      <c r="D31" s="10" t="s">
        <v>2507</v>
      </c>
      <c r="E31" s="6" t="s">
        <v>2133</v>
      </c>
      <c r="F31" s="6" t="s">
        <v>2135</v>
      </c>
      <c r="G31" s="11" t="s">
        <v>2430</v>
      </c>
      <c r="H31" s="819">
        <v>44442</v>
      </c>
    </row>
    <row r="32" spans="2:10" hidden="1" outlineLevel="1">
      <c r="B32" s="9">
        <v>30</v>
      </c>
      <c r="C32" s="9" t="s">
        <v>58</v>
      </c>
      <c r="D32" s="10" t="s">
        <v>2509</v>
      </c>
      <c r="E32" s="6" t="s">
        <v>2133</v>
      </c>
      <c r="F32" s="6" t="s">
        <v>2135</v>
      </c>
      <c r="G32" s="11" t="s">
        <v>2430</v>
      </c>
      <c r="H32" s="819">
        <v>44442</v>
      </c>
    </row>
    <row r="33" spans="2:8" hidden="1" outlineLevel="1">
      <c r="B33" s="9">
        <v>31</v>
      </c>
      <c r="C33" s="9" t="s">
        <v>2136</v>
      </c>
      <c r="D33" s="10" t="s">
        <v>2510</v>
      </c>
      <c r="E33" s="6" t="s">
        <v>2133</v>
      </c>
      <c r="F33" s="6" t="s">
        <v>2135</v>
      </c>
      <c r="G33" s="11" t="s">
        <v>2430</v>
      </c>
      <c r="H33" s="819">
        <v>44442</v>
      </c>
    </row>
    <row r="34" spans="2:8" ht="25.5" hidden="1" outlineLevel="1">
      <c r="B34" s="9">
        <v>32</v>
      </c>
      <c r="C34" s="9"/>
      <c r="D34" s="10" t="s">
        <v>2513</v>
      </c>
      <c r="E34" s="6" t="s">
        <v>2133</v>
      </c>
      <c r="F34" s="6" t="s">
        <v>2135</v>
      </c>
      <c r="G34" s="11" t="s">
        <v>2430</v>
      </c>
      <c r="H34" s="819">
        <v>44442</v>
      </c>
    </row>
    <row r="35" spans="2:8" hidden="1" outlineLevel="1">
      <c r="B35" s="9">
        <v>33</v>
      </c>
      <c r="C35" s="9"/>
      <c r="D35" s="10" t="s">
        <v>2511</v>
      </c>
      <c r="E35" s="6" t="s">
        <v>2133</v>
      </c>
      <c r="F35" s="6" t="s">
        <v>2135</v>
      </c>
      <c r="G35" s="11" t="s">
        <v>2430</v>
      </c>
      <c r="H35" s="819">
        <v>44442</v>
      </c>
    </row>
    <row r="36" spans="2:8" hidden="1" outlineLevel="1">
      <c r="B36" s="9">
        <v>34</v>
      </c>
      <c r="C36" s="9"/>
      <c r="D36" s="10" t="s">
        <v>2512</v>
      </c>
      <c r="E36" s="6" t="s">
        <v>2133</v>
      </c>
      <c r="F36" s="6" t="s">
        <v>2135</v>
      </c>
      <c r="G36" s="11" t="s">
        <v>2430</v>
      </c>
      <c r="H36" s="819">
        <v>44442</v>
      </c>
    </row>
    <row r="37" spans="2:8" hidden="1" outlineLevel="1">
      <c r="B37" s="9">
        <v>35</v>
      </c>
      <c r="C37" s="9"/>
      <c r="D37" s="10" t="s">
        <v>2202</v>
      </c>
      <c r="E37" s="6" t="s">
        <v>2133</v>
      </c>
      <c r="F37" s="6" t="s">
        <v>2135</v>
      </c>
      <c r="G37" s="11" t="s">
        <v>2430</v>
      </c>
      <c r="H37" s="819">
        <v>44442</v>
      </c>
    </row>
    <row r="38" spans="2:8" ht="51" hidden="1" outlineLevel="1">
      <c r="B38" s="9">
        <v>36</v>
      </c>
      <c r="C38" s="9"/>
      <c r="D38" s="10" t="s">
        <v>2611</v>
      </c>
      <c r="E38" s="6" t="s">
        <v>2133</v>
      </c>
      <c r="F38" s="6" t="s">
        <v>2135</v>
      </c>
      <c r="G38" s="11" t="s">
        <v>2613</v>
      </c>
      <c r="H38" s="12">
        <v>44456</v>
      </c>
    </row>
    <row r="39" spans="2:8" hidden="1" outlineLevel="1">
      <c r="B39" s="9">
        <v>37</v>
      </c>
      <c r="C39" s="9" t="s">
        <v>204</v>
      </c>
      <c r="D39" s="10" t="s">
        <v>2612</v>
      </c>
      <c r="E39" s="6" t="s">
        <v>2133</v>
      </c>
      <c r="F39" s="6" t="s">
        <v>2135</v>
      </c>
      <c r="G39" s="11" t="s">
        <v>2613</v>
      </c>
      <c r="H39" s="12">
        <v>44456</v>
      </c>
    </row>
    <row r="40" spans="2:8" hidden="1" outlineLevel="1">
      <c r="B40" s="9">
        <v>38</v>
      </c>
      <c r="C40" s="9" t="s">
        <v>749</v>
      </c>
      <c r="D40" s="10" t="s">
        <v>2614</v>
      </c>
      <c r="E40" s="6" t="s">
        <v>2133</v>
      </c>
      <c r="F40" s="6" t="s">
        <v>2135</v>
      </c>
      <c r="G40" s="11" t="s">
        <v>2613</v>
      </c>
      <c r="H40" s="12">
        <v>44456</v>
      </c>
    </row>
    <row r="41" spans="2:8" ht="25.5" hidden="1" outlineLevel="1">
      <c r="B41" s="9">
        <v>39</v>
      </c>
      <c r="C41" s="9" t="s">
        <v>749</v>
      </c>
      <c r="D41" s="10" t="s">
        <v>2646</v>
      </c>
      <c r="E41" s="6" t="s">
        <v>2133</v>
      </c>
      <c r="F41" s="6" t="s">
        <v>2135</v>
      </c>
      <c r="G41" s="11" t="s">
        <v>2649</v>
      </c>
      <c r="H41" s="971">
        <v>44472</v>
      </c>
    </row>
    <row r="42" spans="2:8" hidden="1" outlineLevel="1">
      <c r="B42" s="9">
        <v>40</v>
      </c>
      <c r="C42" s="9" t="s">
        <v>749</v>
      </c>
      <c r="D42" s="10" t="s">
        <v>2650</v>
      </c>
      <c r="E42" s="6" t="s">
        <v>2133</v>
      </c>
      <c r="F42" s="6" t="s">
        <v>2135</v>
      </c>
      <c r="G42" s="11" t="s">
        <v>2649</v>
      </c>
      <c r="H42" s="971">
        <v>44472</v>
      </c>
    </row>
    <row r="43" spans="2:8" ht="25.5" hidden="1" outlineLevel="1">
      <c r="B43" s="9">
        <v>41</v>
      </c>
      <c r="C43" s="9" t="s">
        <v>749</v>
      </c>
      <c r="D43" s="10" t="s">
        <v>2647</v>
      </c>
      <c r="E43" s="6" t="s">
        <v>2133</v>
      </c>
      <c r="F43" s="6" t="s">
        <v>2135</v>
      </c>
      <c r="G43" s="11" t="s">
        <v>2649</v>
      </c>
      <c r="H43" s="971">
        <v>44472</v>
      </c>
    </row>
    <row r="44" spans="2:8" hidden="1" outlineLevel="1">
      <c r="B44" s="9">
        <v>42</v>
      </c>
      <c r="C44" s="960"/>
      <c r="D44" s="10" t="s">
        <v>2648</v>
      </c>
      <c r="E44" s="6" t="s">
        <v>2133</v>
      </c>
      <c r="F44" s="6" t="s">
        <v>2135</v>
      </c>
      <c r="G44" s="11" t="s">
        <v>2649</v>
      </c>
      <c r="H44" s="971">
        <v>44472</v>
      </c>
    </row>
    <row r="45" spans="2:8" hidden="1" outlineLevel="1">
      <c r="B45" s="9">
        <v>43</v>
      </c>
      <c r="C45" s="9" t="s">
        <v>204</v>
      </c>
      <c r="D45" s="10" t="s">
        <v>3206</v>
      </c>
      <c r="E45" s="6" t="s">
        <v>2133</v>
      </c>
      <c r="F45" s="6" t="s">
        <v>2135</v>
      </c>
      <c r="G45" s="11" t="s">
        <v>2649</v>
      </c>
      <c r="H45" s="12">
        <v>44472</v>
      </c>
    </row>
    <row r="46" spans="2:8" ht="25.5" hidden="1" outlineLevel="1">
      <c r="B46" s="9">
        <v>44</v>
      </c>
      <c r="C46" s="9" t="s">
        <v>816</v>
      </c>
      <c r="D46" s="10" t="s">
        <v>3207</v>
      </c>
      <c r="E46" s="6" t="s">
        <v>2133</v>
      </c>
      <c r="F46" s="6" t="s">
        <v>2135</v>
      </c>
      <c r="G46" s="11" t="s">
        <v>2649</v>
      </c>
      <c r="H46" s="12">
        <v>44472</v>
      </c>
    </row>
    <row r="47" spans="2:8" hidden="1" outlineLevel="1">
      <c r="B47" s="9">
        <v>45</v>
      </c>
      <c r="C47" s="9" t="s">
        <v>58</v>
      </c>
      <c r="D47" s="10" t="s">
        <v>3208</v>
      </c>
      <c r="E47" s="6" t="s">
        <v>2133</v>
      </c>
      <c r="F47" s="6" t="s">
        <v>2135</v>
      </c>
      <c r="G47" s="11" t="s">
        <v>2649</v>
      </c>
      <c r="H47" s="12">
        <v>44487</v>
      </c>
    </row>
    <row r="48" spans="2:8" hidden="1" outlineLevel="1">
      <c r="B48" s="9">
        <v>46</v>
      </c>
      <c r="C48" s="9"/>
      <c r="D48" s="10" t="s">
        <v>3209</v>
      </c>
      <c r="E48" s="6" t="s">
        <v>2133</v>
      </c>
      <c r="F48" s="6" t="s">
        <v>2135</v>
      </c>
      <c r="G48" s="11" t="s">
        <v>2649</v>
      </c>
      <c r="H48" s="12">
        <v>44489</v>
      </c>
    </row>
    <row r="49" spans="2:8" hidden="1" outlineLevel="1">
      <c r="B49" s="9">
        <v>47</v>
      </c>
      <c r="C49" s="9"/>
      <c r="D49" s="10" t="s">
        <v>3210</v>
      </c>
      <c r="E49" s="6" t="s">
        <v>2133</v>
      </c>
      <c r="F49" s="6" t="s">
        <v>2135</v>
      </c>
      <c r="G49" s="11" t="s">
        <v>2649</v>
      </c>
      <c r="H49" s="12">
        <v>44492</v>
      </c>
    </row>
    <row r="50" spans="2:8" hidden="1" outlineLevel="1">
      <c r="B50" s="9">
        <v>48</v>
      </c>
      <c r="C50" s="9" t="s">
        <v>749</v>
      </c>
      <c r="D50" s="10" t="s">
        <v>3211</v>
      </c>
      <c r="E50" s="6" t="s">
        <v>2133</v>
      </c>
      <c r="F50" s="6" t="s">
        <v>2135</v>
      </c>
      <c r="G50" s="11" t="s">
        <v>2649</v>
      </c>
      <c r="H50" s="12">
        <v>44495</v>
      </c>
    </row>
    <row r="51" spans="2:8" hidden="1" outlineLevel="1">
      <c r="B51" s="9">
        <v>49</v>
      </c>
      <c r="C51" s="9" t="s">
        <v>58</v>
      </c>
      <c r="D51" s="10" t="s">
        <v>3212</v>
      </c>
      <c r="E51" s="6" t="s">
        <v>2133</v>
      </c>
      <c r="F51" s="6" t="s">
        <v>2135</v>
      </c>
      <c r="G51" s="11" t="s">
        <v>3213</v>
      </c>
      <c r="H51" s="12">
        <v>44504</v>
      </c>
    </row>
    <row r="52" spans="2:8" hidden="1" outlineLevel="1">
      <c r="B52" s="9">
        <v>50</v>
      </c>
      <c r="C52" s="9" t="s">
        <v>749</v>
      </c>
      <c r="D52" s="10" t="s">
        <v>3214</v>
      </c>
      <c r="E52" s="6" t="s">
        <v>2133</v>
      </c>
      <c r="F52" s="6" t="s">
        <v>2135</v>
      </c>
      <c r="G52" s="11" t="s">
        <v>3215</v>
      </c>
      <c r="H52" s="12">
        <v>44509</v>
      </c>
    </row>
    <row r="53" spans="2:8" hidden="1" outlineLevel="1">
      <c r="B53" s="9">
        <v>51</v>
      </c>
      <c r="C53" s="9"/>
      <c r="D53" s="10" t="s">
        <v>3216</v>
      </c>
      <c r="E53" s="6" t="s">
        <v>2133</v>
      </c>
      <c r="F53" s="6" t="s">
        <v>2135</v>
      </c>
      <c r="G53" s="11" t="s">
        <v>3217</v>
      </c>
      <c r="H53" s="12">
        <v>44512</v>
      </c>
    </row>
    <row r="54" spans="2:8" hidden="1" outlineLevel="1">
      <c r="B54" s="9">
        <v>52</v>
      </c>
      <c r="C54" s="1047"/>
      <c r="D54" s="10" t="s">
        <v>3219</v>
      </c>
      <c r="E54" s="6" t="s">
        <v>2133</v>
      </c>
      <c r="F54" s="6" t="s">
        <v>2135</v>
      </c>
      <c r="G54" s="11" t="s">
        <v>3218</v>
      </c>
      <c r="H54" s="1049">
        <v>44521</v>
      </c>
    </row>
    <row r="55" spans="2:8" hidden="1" outlineLevel="1">
      <c r="B55" s="9">
        <v>53</v>
      </c>
      <c r="C55" s="9" t="s">
        <v>875</v>
      </c>
      <c r="D55" s="10" t="s">
        <v>3221</v>
      </c>
      <c r="E55" s="6" t="s">
        <v>2133</v>
      </c>
      <c r="F55" s="6" t="s">
        <v>2135</v>
      </c>
      <c r="G55" s="11" t="s">
        <v>3218</v>
      </c>
      <c r="H55" s="1049">
        <v>44521</v>
      </c>
    </row>
    <row r="56" spans="2:8" hidden="1" outlineLevel="1">
      <c r="B56" s="9">
        <v>54</v>
      </c>
      <c r="C56" s="9" t="s">
        <v>875</v>
      </c>
      <c r="D56" s="10" t="s">
        <v>3222</v>
      </c>
      <c r="E56" s="6" t="s">
        <v>2133</v>
      </c>
      <c r="F56" s="6" t="s">
        <v>2135</v>
      </c>
      <c r="G56" s="11" t="s">
        <v>3218</v>
      </c>
      <c r="H56" s="1049">
        <v>44521</v>
      </c>
    </row>
    <row r="57" spans="2:8" ht="25.5" hidden="1" outlineLevel="1">
      <c r="B57" s="9">
        <v>55</v>
      </c>
      <c r="C57" s="1047" t="s">
        <v>749</v>
      </c>
      <c r="D57" s="1050" t="s">
        <v>3235</v>
      </c>
      <c r="E57" s="6" t="s">
        <v>2133</v>
      </c>
      <c r="F57" s="6" t="s">
        <v>2135</v>
      </c>
      <c r="G57" s="11" t="s">
        <v>3236</v>
      </c>
      <c r="H57" s="1049">
        <v>44528</v>
      </c>
    </row>
    <row r="58" spans="2:8" hidden="1" outlineLevel="1">
      <c r="B58" s="9">
        <v>56</v>
      </c>
      <c r="C58" s="1047"/>
      <c r="D58" s="1050" t="s">
        <v>3237</v>
      </c>
      <c r="E58" s="6" t="s">
        <v>2133</v>
      </c>
      <c r="F58" s="6" t="s">
        <v>2135</v>
      </c>
      <c r="G58" s="11" t="s">
        <v>3238</v>
      </c>
      <c r="H58" s="1049">
        <v>44528</v>
      </c>
    </row>
    <row r="59" spans="2:8" hidden="1" outlineLevel="1">
      <c r="B59" s="9">
        <v>57</v>
      </c>
      <c r="C59" s="1047"/>
      <c r="D59" s="10" t="s">
        <v>3278</v>
      </c>
      <c r="E59" s="6" t="s">
        <v>2133</v>
      </c>
      <c r="F59" s="6" t="s">
        <v>2135</v>
      </c>
      <c r="G59" s="11" t="s">
        <v>3277</v>
      </c>
      <c r="H59" s="1049">
        <v>44598</v>
      </c>
    </row>
    <row r="60" spans="2:8" hidden="1" outlineLevel="1">
      <c r="B60" s="9">
        <v>58</v>
      </c>
      <c r="C60" s="1047"/>
      <c r="D60" s="10" t="s">
        <v>3282</v>
      </c>
      <c r="E60" s="6" t="s">
        <v>2133</v>
      </c>
      <c r="F60" s="6" t="s">
        <v>2135</v>
      </c>
      <c r="G60" s="11" t="s">
        <v>3277</v>
      </c>
      <c r="H60" s="1049">
        <v>44598</v>
      </c>
    </row>
    <row r="61" spans="2:8" hidden="1" outlineLevel="1">
      <c r="B61" s="9">
        <v>59</v>
      </c>
      <c r="C61" s="1047"/>
      <c r="D61" s="10" t="s">
        <v>3283</v>
      </c>
      <c r="E61" s="6" t="s">
        <v>2133</v>
      </c>
      <c r="F61" s="6" t="s">
        <v>2135</v>
      </c>
      <c r="G61" s="11" t="s">
        <v>3277</v>
      </c>
      <c r="H61" s="1049">
        <v>44598</v>
      </c>
    </row>
    <row r="62" spans="2:8" hidden="1" outlineLevel="1">
      <c r="B62" s="9">
        <v>60</v>
      </c>
      <c r="C62" s="9"/>
      <c r="D62" s="10" t="s">
        <v>3286</v>
      </c>
      <c r="E62" s="6" t="s">
        <v>3285</v>
      </c>
      <c r="F62" s="6" t="s">
        <v>2135</v>
      </c>
      <c r="G62" s="1048" t="s">
        <v>3284</v>
      </c>
      <c r="H62" s="1049">
        <v>44600</v>
      </c>
    </row>
    <row r="63" spans="2:8" hidden="1" outlineLevel="1">
      <c r="B63" s="9">
        <v>61</v>
      </c>
      <c r="C63" s="9" t="s">
        <v>1045</v>
      </c>
      <c r="D63" s="10" t="s">
        <v>3287</v>
      </c>
      <c r="E63" s="6" t="s">
        <v>3285</v>
      </c>
      <c r="F63" s="6" t="s">
        <v>2135</v>
      </c>
      <c r="G63" s="1048" t="s">
        <v>3311</v>
      </c>
      <c r="H63" s="1049">
        <v>44631</v>
      </c>
    </row>
    <row r="64" spans="2:8" hidden="1" outlineLevel="1">
      <c r="B64" s="9">
        <v>62</v>
      </c>
      <c r="C64" s="1047"/>
      <c r="D64" s="10" t="s">
        <v>3312</v>
      </c>
      <c r="E64" s="6" t="s">
        <v>3285</v>
      </c>
      <c r="F64" s="6" t="s">
        <v>2135</v>
      </c>
      <c r="G64" s="1048" t="s">
        <v>3313</v>
      </c>
      <c r="H64" s="1049">
        <v>44672</v>
      </c>
    </row>
    <row r="65" spans="2:8" hidden="1" outlineLevel="1">
      <c r="B65" s="9">
        <v>63</v>
      </c>
      <c r="C65" s="1094"/>
      <c r="D65" s="1098" t="s">
        <v>3314</v>
      </c>
      <c r="E65" s="1095" t="s">
        <v>3315</v>
      </c>
      <c r="F65" s="1095" t="s">
        <v>2135</v>
      </c>
      <c r="G65" s="1095" t="s">
        <v>3313</v>
      </c>
      <c r="H65" s="1096">
        <v>44672</v>
      </c>
    </row>
    <row r="66" spans="2:8" hidden="1" outlineLevel="1">
      <c r="B66" s="9">
        <v>64</v>
      </c>
      <c r="C66" s="1094"/>
      <c r="D66" s="1098" t="s">
        <v>3333</v>
      </c>
      <c r="E66" s="6" t="s">
        <v>3285</v>
      </c>
      <c r="F66" s="6" t="s">
        <v>2135</v>
      </c>
      <c r="G66" s="1095" t="s">
        <v>3334</v>
      </c>
      <c r="H66" s="1096">
        <v>44705</v>
      </c>
    </row>
    <row r="67" spans="2:8" hidden="1" outlineLevel="1">
      <c r="B67" s="9">
        <v>65</v>
      </c>
      <c r="C67" s="9" t="s">
        <v>1377</v>
      </c>
      <c r="D67" s="10" t="s">
        <v>3343</v>
      </c>
      <c r="E67" s="6" t="s">
        <v>3285</v>
      </c>
      <c r="F67" s="6" t="s">
        <v>2135</v>
      </c>
      <c r="G67" s="6" t="s">
        <v>3358</v>
      </c>
      <c r="H67" s="12">
        <v>44714</v>
      </c>
    </row>
    <row r="68" spans="2:8" ht="25.5" hidden="1" outlineLevel="1">
      <c r="B68" s="9">
        <v>66</v>
      </c>
      <c r="C68" s="9" t="s">
        <v>58</v>
      </c>
      <c r="D68" s="10" t="s">
        <v>3344</v>
      </c>
      <c r="E68" s="6" t="s">
        <v>3285</v>
      </c>
      <c r="F68" s="6" t="s">
        <v>2135</v>
      </c>
      <c r="G68" s="6" t="s">
        <v>3358</v>
      </c>
      <c r="H68" s="12">
        <v>44714</v>
      </c>
    </row>
    <row r="69" spans="2:8" ht="38.25" hidden="1" outlineLevel="1">
      <c r="B69" s="9">
        <v>67</v>
      </c>
      <c r="C69" s="1094"/>
      <c r="D69" s="10" t="s">
        <v>3353</v>
      </c>
      <c r="E69" s="6" t="s">
        <v>3285</v>
      </c>
      <c r="F69" s="6" t="s">
        <v>2135</v>
      </c>
      <c r="G69" s="6" t="s">
        <v>3358</v>
      </c>
      <c r="H69" s="12">
        <v>44714</v>
      </c>
    </row>
    <row r="70" spans="2:8" hidden="1" outlineLevel="1">
      <c r="B70" s="9">
        <v>68</v>
      </c>
      <c r="C70" s="9" t="s">
        <v>749</v>
      </c>
      <c r="D70" s="10" t="s">
        <v>3352</v>
      </c>
      <c r="E70" s="6" t="s">
        <v>3285</v>
      </c>
      <c r="F70" s="6" t="s">
        <v>2135</v>
      </c>
      <c r="G70" s="6" t="s">
        <v>3358</v>
      </c>
      <c r="H70" s="12">
        <v>44719</v>
      </c>
    </row>
    <row r="71" spans="2:8" hidden="1" outlineLevel="1">
      <c r="B71" s="9">
        <v>69</v>
      </c>
      <c r="C71" s="9" t="s">
        <v>3359</v>
      </c>
      <c r="D71" s="10" t="s">
        <v>3352</v>
      </c>
      <c r="E71" s="6" t="s">
        <v>3285</v>
      </c>
      <c r="F71" s="6" t="s">
        <v>2135</v>
      </c>
      <c r="G71" s="6" t="s">
        <v>3358</v>
      </c>
      <c r="H71" s="12">
        <v>44719</v>
      </c>
    </row>
    <row r="72" spans="2:8" hidden="1" outlineLevel="1">
      <c r="B72" s="9">
        <v>70</v>
      </c>
      <c r="C72" s="9" t="s">
        <v>873</v>
      </c>
      <c r="D72" s="10" t="s">
        <v>3360</v>
      </c>
      <c r="E72" s="6" t="s">
        <v>3285</v>
      </c>
      <c r="F72" s="6" t="s">
        <v>2135</v>
      </c>
      <c r="G72" s="6" t="s">
        <v>3358</v>
      </c>
      <c r="H72" s="12">
        <v>44719</v>
      </c>
    </row>
    <row r="73" spans="2:8" hidden="1" outlineLevel="1">
      <c r="B73" s="9">
        <v>71</v>
      </c>
      <c r="C73" s="9" t="s">
        <v>3368</v>
      </c>
      <c r="D73" s="10" t="s">
        <v>3369</v>
      </c>
      <c r="E73" s="6" t="s">
        <v>3285</v>
      </c>
      <c r="F73" s="6" t="s">
        <v>2135</v>
      </c>
      <c r="G73" s="6" t="s">
        <v>3358</v>
      </c>
      <c r="H73" s="12">
        <v>44719</v>
      </c>
    </row>
    <row r="74" spans="2:8" ht="25.5" hidden="1" outlineLevel="1">
      <c r="B74" s="9">
        <v>72</v>
      </c>
      <c r="C74" s="1105"/>
      <c r="D74" s="1106" t="s">
        <v>3371</v>
      </c>
      <c r="E74" s="6" t="s">
        <v>3285</v>
      </c>
      <c r="F74" s="6" t="s">
        <v>2135</v>
      </c>
      <c r="G74" s="6" t="s">
        <v>3372</v>
      </c>
      <c r="H74" s="12">
        <v>44719</v>
      </c>
    </row>
    <row r="75" spans="2:8" hidden="1" outlineLevel="1">
      <c r="B75" s="9">
        <v>73</v>
      </c>
      <c r="C75" s="9" t="s">
        <v>3359</v>
      </c>
      <c r="D75" s="1106" t="s">
        <v>3378</v>
      </c>
      <c r="E75" s="6" t="s">
        <v>3285</v>
      </c>
      <c r="F75" s="6" t="s">
        <v>2135</v>
      </c>
      <c r="G75" s="6" t="s">
        <v>3380</v>
      </c>
      <c r="H75" s="1115">
        <v>44749</v>
      </c>
    </row>
    <row r="76" spans="2:8" hidden="1" outlineLevel="1">
      <c r="B76" s="9">
        <v>74</v>
      </c>
      <c r="C76" s="9" t="s">
        <v>749</v>
      </c>
      <c r="D76" s="1106" t="s">
        <v>3379</v>
      </c>
      <c r="E76" s="6" t="s">
        <v>3285</v>
      </c>
      <c r="F76" s="6" t="s">
        <v>2135</v>
      </c>
      <c r="G76" s="6" t="s">
        <v>3380</v>
      </c>
      <c r="H76" s="1115">
        <v>44749</v>
      </c>
    </row>
    <row r="77" spans="2:8" hidden="1" outlineLevel="1">
      <c r="B77" s="9">
        <v>75</v>
      </c>
      <c r="C77" s="9" t="s">
        <v>1377</v>
      </c>
      <c r="D77" s="10" t="s">
        <v>3381</v>
      </c>
      <c r="E77" s="6" t="s">
        <v>3285</v>
      </c>
      <c r="F77" s="6" t="s">
        <v>2135</v>
      </c>
      <c r="G77" s="6" t="s">
        <v>3380</v>
      </c>
      <c r="H77" s="1115">
        <v>44749</v>
      </c>
    </row>
    <row r="78" spans="2:8" ht="22.15" hidden="1" customHeight="1" outlineLevel="1">
      <c r="B78" s="9">
        <v>76</v>
      </c>
      <c r="C78" s="9" t="s">
        <v>749</v>
      </c>
      <c r="D78" s="10" t="s">
        <v>3383</v>
      </c>
      <c r="E78" s="6" t="s">
        <v>3285</v>
      </c>
      <c r="F78" s="6" t="s">
        <v>2135</v>
      </c>
      <c r="G78" s="6" t="s">
        <v>3380</v>
      </c>
      <c r="H78" s="1115">
        <v>44749</v>
      </c>
    </row>
    <row r="79" spans="2:8" hidden="1" outlineLevel="1">
      <c r="B79" s="9">
        <v>77</v>
      </c>
      <c r="C79" s="1105" t="s">
        <v>3388</v>
      </c>
      <c r="D79" s="1106" t="s">
        <v>3390</v>
      </c>
      <c r="E79" s="6" t="s">
        <v>3285</v>
      </c>
      <c r="F79" s="6" t="s">
        <v>2135</v>
      </c>
      <c r="G79" s="6" t="s">
        <v>3389</v>
      </c>
      <c r="H79" s="1115">
        <v>44749</v>
      </c>
    </row>
    <row r="80" spans="2:8" hidden="1" outlineLevel="1">
      <c r="B80" s="9">
        <v>78</v>
      </c>
      <c r="C80" s="1105" t="s">
        <v>3395</v>
      </c>
      <c r="D80" s="1106" t="s">
        <v>3312</v>
      </c>
      <c r="E80" s="6" t="s">
        <v>3285</v>
      </c>
      <c r="F80" s="6" t="s">
        <v>2135</v>
      </c>
      <c r="G80" s="6" t="s">
        <v>3396</v>
      </c>
      <c r="H80" s="1115">
        <v>44774</v>
      </c>
    </row>
    <row r="81" spans="2:8" hidden="1" outlineLevel="1">
      <c r="B81" s="9">
        <v>79</v>
      </c>
      <c r="C81" s="1105" t="s">
        <v>3401</v>
      </c>
      <c r="D81" s="1106" t="s">
        <v>3402</v>
      </c>
      <c r="E81" s="6" t="s">
        <v>3285</v>
      </c>
      <c r="F81" s="6" t="s">
        <v>2135</v>
      </c>
      <c r="G81" s="6" t="s">
        <v>3403</v>
      </c>
      <c r="H81" s="1115">
        <v>44774</v>
      </c>
    </row>
    <row r="82" spans="2:8" hidden="1" outlineLevel="1">
      <c r="B82" s="9">
        <v>80</v>
      </c>
      <c r="C82" s="1105" t="s">
        <v>3401</v>
      </c>
      <c r="D82" s="1106" t="s">
        <v>3408</v>
      </c>
      <c r="E82" s="6" t="s">
        <v>3285</v>
      </c>
      <c r="F82" s="6" t="s">
        <v>2135</v>
      </c>
      <c r="G82" s="6" t="s">
        <v>3409</v>
      </c>
      <c r="H82" s="1115">
        <v>44774</v>
      </c>
    </row>
    <row r="83" spans="2:8" hidden="1" outlineLevel="1">
      <c r="B83" s="9">
        <v>81</v>
      </c>
      <c r="C83" s="1105" t="s">
        <v>3368</v>
      </c>
      <c r="D83" s="1106" t="s">
        <v>3457</v>
      </c>
      <c r="E83" s="6" t="s">
        <v>3285</v>
      </c>
      <c r="F83" s="6" t="s">
        <v>2135</v>
      </c>
      <c r="G83" s="6" t="s">
        <v>3458</v>
      </c>
      <c r="H83" s="1115">
        <v>44790</v>
      </c>
    </row>
    <row r="84" spans="2:8" hidden="1" outlineLevel="1">
      <c r="B84" s="9">
        <v>82</v>
      </c>
      <c r="C84" s="1105" t="s">
        <v>3368</v>
      </c>
      <c r="D84" s="1106" t="s">
        <v>3459</v>
      </c>
      <c r="E84" s="1116" t="s">
        <v>3285</v>
      </c>
      <c r="F84" s="1116" t="s">
        <v>2135</v>
      </c>
      <c r="G84" s="1116" t="s">
        <v>3460</v>
      </c>
      <c r="H84" s="1115">
        <v>44854</v>
      </c>
    </row>
    <row r="85" spans="2:8" hidden="1" outlineLevel="1">
      <c r="B85" s="9">
        <v>83</v>
      </c>
      <c r="C85" s="1105" t="s">
        <v>3368</v>
      </c>
      <c r="D85" s="1106" t="s">
        <v>3566</v>
      </c>
      <c r="E85" s="1116" t="s">
        <v>3285</v>
      </c>
      <c r="F85" s="1116" t="s">
        <v>2135</v>
      </c>
      <c r="G85" s="1116" t="s">
        <v>3567</v>
      </c>
      <c r="H85" s="1115">
        <v>44882</v>
      </c>
    </row>
    <row r="86" spans="2:8" ht="51" hidden="1" outlineLevel="1">
      <c r="B86" s="9">
        <v>84</v>
      </c>
      <c r="C86" s="1105" t="s">
        <v>3571</v>
      </c>
      <c r="D86" s="1106" t="s">
        <v>3572</v>
      </c>
      <c r="E86" s="1116" t="s">
        <v>3285</v>
      </c>
      <c r="F86" s="1116" t="s">
        <v>2135</v>
      </c>
      <c r="G86" s="1116" t="s">
        <v>3567</v>
      </c>
      <c r="H86" s="1115">
        <v>44882</v>
      </c>
    </row>
    <row r="87" spans="2:8" hidden="1" outlineLevel="1">
      <c r="B87" s="9">
        <v>85</v>
      </c>
      <c r="C87" s="1105" t="s">
        <v>3401</v>
      </c>
      <c r="D87" s="1106" t="s">
        <v>3568</v>
      </c>
      <c r="E87" s="1116" t="s">
        <v>3285</v>
      </c>
      <c r="F87" s="1116" t="s">
        <v>2135</v>
      </c>
      <c r="G87" s="1116" t="s">
        <v>3567</v>
      </c>
      <c r="H87" s="1115">
        <v>44882</v>
      </c>
    </row>
    <row r="88" spans="2:8" ht="38.25" hidden="1" outlineLevel="1">
      <c r="B88" s="9">
        <v>86</v>
      </c>
      <c r="C88" s="1105" t="s">
        <v>3569</v>
      </c>
      <c r="D88" s="1106" t="s">
        <v>3570</v>
      </c>
      <c r="E88" s="1116" t="s">
        <v>3285</v>
      </c>
      <c r="F88" s="1116" t="s">
        <v>2135</v>
      </c>
      <c r="G88" s="1116" t="s">
        <v>3567</v>
      </c>
      <c r="H88" s="1115">
        <v>44882</v>
      </c>
    </row>
    <row r="89" spans="2:8" ht="25.5" hidden="1" outlineLevel="1">
      <c r="B89" s="9">
        <v>87</v>
      </c>
      <c r="C89" s="9" t="s">
        <v>3674</v>
      </c>
      <c r="D89" s="10" t="s">
        <v>3675</v>
      </c>
      <c r="E89" s="1116" t="s">
        <v>3285</v>
      </c>
      <c r="F89" s="1116" t="s">
        <v>2135</v>
      </c>
      <c r="G89" s="6" t="s">
        <v>3676</v>
      </c>
      <c r="H89" s="1115">
        <v>44883</v>
      </c>
    </row>
    <row r="90" spans="2:8" hidden="1" outlineLevel="1">
      <c r="B90" s="9">
        <v>88</v>
      </c>
      <c r="C90" s="1105" t="s">
        <v>3388</v>
      </c>
      <c r="D90" s="1106" t="s">
        <v>3685</v>
      </c>
      <c r="E90" s="1116" t="s">
        <v>3285</v>
      </c>
      <c r="F90" s="1116" t="s">
        <v>2135</v>
      </c>
      <c r="G90" s="6" t="s">
        <v>3686</v>
      </c>
      <c r="H90" s="1115">
        <v>44886</v>
      </c>
    </row>
    <row r="91" spans="2:8" hidden="1" outlineLevel="1">
      <c r="B91" s="9">
        <v>89</v>
      </c>
      <c r="C91" s="1105" t="s">
        <v>3401</v>
      </c>
      <c r="D91" s="1106" t="s">
        <v>3687</v>
      </c>
      <c r="E91" s="1116" t="s">
        <v>3285</v>
      </c>
      <c r="F91" s="1116" t="s">
        <v>2135</v>
      </c>
      <c r="G91" s="1116" t="s">
        <v>3686</v>
      </c>
      <c r="H91" s="1115">
        <v>44886</v>
      </c>
    </row>
    <row r="92" spans="2:8" hidden="1" outlineLevel="1">
      <c r="B92" s="9">
        <v>90</v>
      </c>
      <c r="C92" s="1105" t="s">
        <v>3710</v>
      </c>
      <c r="D92" s="1106" t="s">
        <v>3711</v>
      </c>
      <c r="E92" s="1116" t="s">
        <v>3285</v>
      </c>
      <c r="F92" s="1116" t="s">
        <v>2135</v>
      </c>
      <c r="G92" s="1116" t="s">
        <v>3686</v>
      </c>
      <c r="H92" s="1115">
        <v>44886</v>
      </c>
    </row>
    <row r="93" spans="2:8" ht="25.5" hidden="1" outlineLevel="1">
      <c r="B93" s="9">
        <v>91</v>
      </c>
      <c r="C93" s="1105" t="s">
        <v>3712</v>
      </c>
      <c r="D93" s="1106" t="s">
        <v>3713</v>
      </c>
      <c r="E93" s="1116" t="s">
        <v>3285</v>
      </c>
      <c r="F93" s="1116" t="s">
        <v>2135</v>
      </c>
      <c r="G93" s="1116" t="s">
        <v>3686</v>
      </c>
      <c r="H93" s="1115">
        <v>44886</v>
      </c>
    </row>
    <row r="94" spans="2:8" ht="25.5" hidden="1" outlineLevel="1">
      <c r="B94" s="9">
        <v>92</v>
      </c>
      <c r="C94" s="9" t="s">
        <v>1377</v>
      </c>
      <c r="D94" s="10" t="s">
        <v>3714</v>
      </c>
      <c r="E94" s="1116" t="s">
        <v>3285</v>
      </c>
      <c r="F94" s="1116" t="s">
        <v>2135</v>
      </c>
      <c r="G94" s="6" t="s">
        <v>3715</v>
      </c>
      <c r="H94" s="12">
        <v>44887</v>
      </c>
    </row>
    <row r="95" spans="2:8" hidden="1" outlineLevel="1">
      <c r="B95" s="9">
        <v>93</v>
      </c>
      <c r="C95" s="1118" t="s">
        <v>3401</v>
      </c>
      <c r="D95" s="1119" t="s">
        <v>3722</v>
      </c>
      <c r="E95" s="1116" t="s">
        <v>3285</v>
      </c>
      <c r="F95" s="1116" t="s">
        <v>2135</v>
      </c>
      <c r="G95" s="6" t="s">
        <v>3723</v>
      </c>
      <c r="H95" s="12">
        <v>44889</v>
      </c>
    </row>
    <row r="96" spans="2:8" hidden="1" outlineLevel="1">
      <c r="B96" s="9">
        <v>94</v>
      </c>
      <c r="C96" s="1122" t="s">
        <v>879</v>
      </c>
      <c r="D96" s="1123" t="s">
        <v>3730</v>
      </c>
      <c r="E96" s="1116" t="s">
        <v>3285</v>
      </c>
      <c r="F96" s="1116" t="s">
        <v>2135</v>
      </c>
      <c r="G96" s="6" t="s">
        <v>3731</v>
      </c>
      <c r="H96" s="1124">
        <v>44894</v>
      </c>
    </row>
    <row r="97" spans="2:8" hidden="1" outlineLevel="1">
      <c r="B97" s="9">
        <v>95</v>
      </c>
      <c r="C97" s="1122" t="s">
        <v>3732</v>
      </c>
      <c r="D97" s="1123" t="s">
        <v>3733</v>
      </c>
      <c r="E97" s="1116" t="s">
        <v>3285</v>
      </c>
      <c r="F97" s="1116" t="s">
        <v>2135</v>
      </c>
      <c r="G97" s="6" t="s">
        <v>3734</v>
      </c>
      <c r="H97" s="1124">
        <v>44896</v>
      </c>
    </row>
    <row r="98" spans="2:8" ht="25.5" hidden="1" outlineLevel="1">
      <c r="B98" s="9">
        <v>96</v>
      </c>
      <c r="C98" s="1122" t="s">
        <v>3735</v>
      </c>
      <c r="D98" s="1123" t="s">
        <v>3736</v>
      </c>
      <c r="E98" s="1125" t="s">
        <v>3285</v>
      </c>
      <c r="F98" s="1125" t="s">
        <v>2135</v>
      </c>
      <c r="G98" s="1125" t="s">
        <v>3734</v>
      </c>
      <c r="H98" s="1124">
        <v>44896</v>
      </c>
    </row>
    <row r="99" spans="2:8" hidden="1" outlineLevel="1">
      <c r="B99" s="9">
        <v>97</v>
      </c>
      <c r="C99" s="1122" t="s">
        <v>3737</v>
      </c>
      <c r="D99" s="1123" t="s">
        <v>3738</v>
      </c>
      <c r="E99" s="1125" t="s">
        <v>3285</v>
      </c>
      <c r="F99" s="1125" t="s">
        <v>2135</v>
      </c>
      <c r="G99" s="1125" t="s">
        <v>3734</v>
      </c>
      <c r="H99" s="1124">
        <v>44896</v>
      </c>
    </row>
    <row r="100" spans="2:8" ht="25.5" hidden="1" outlineLevel="1">
      <c r="B100" s="9">
        <v>98</v>
      </c>
      <c r="C100" s="1122" t="s">
        <v>58</v>
      </c>
      <c r="D100" s="1123" t="s">
        <v>3739</v>
      </c>
      <c r="E100" s="1125" t="s">
        <v>3285</v>
      </c>
      <c r="F100" s="1125" t="s">
        <v>2135</v>
      </c>
      <c r="G100" s="1125" t="s">
        <v>3734</v>
      </c>
      <c r="H100" s="1124">
        <v>44897</v>
      </c>
    </row>
    <row r="101" spans="2:8" ht="51" hidden="1" outlineLevel="1">
      <c r="B101" s="9">
        <v>99</v>
      </c>
      <c r="C101" s="9" t="s">
        <v>749</v>
      </c>
      <c r="D101" s="10" t="s">
        <v>3770</v>
      </c>
      <c r="E101" s="1125" t="s">
        <v>3285</v>
      </c>
      <c r="F101" s="1125" t="s">
        <v>2135</v>
      </c>
      <c r="G101" s="6" t="s">
        <v>3753</v>
      </c>
      <c r="H101" s="12">
        <v>44910</v>
      </c>
    </row>
    <row r="102" spans="2:8" hidden="1" outlineLevel="1">
      <c r="B102" s="9">
        <v>100</v>
      </c>
      <c r="C102" s="9" t="s">
        <v>3368</v>
      </c>
      <c r="D102" s="10" t="s">
        <v>3751</v>
      </c>
      <c r="E102" s="1125" t="s">
        <v>3285</v>
      </c>
      <c r="F102" s="1125" t="s">
        <v>2135</v>
      </c>
      <c r="G102" s="6" t="s">
        <v>3753</v>
      </c>
      <c r="H102" s="12">
        <v>44910</v>
      </c>
    </row>
    <row r="103" spans="2:8" ht="51" hidden="1" outlineLevel="1">
      <c r="B103" s="9">
        <v>101</v>
      </c>
      <c r="C103" s="9" t="s">
        <v>3359</v>
      </c>
      <c r="D103" s="10" t="s">
        <v>3770</v>
      </c>
      <c r="E103" s="1125" t="s">
        <v>3285</v>
      </c>
      <c r="F103" s="1125" t="s">
        <v>2135</v>
      </c>
      <c r="G103" s="6" t="s">
        <v>3753</v>
      </c>
      <c r="H103" s="12">
        <v>44910</v>
      </c>
    </row>
    <row r="104" spans="2:8" hidden="1" outlineLevel="1">
      <c r="B104" s="9">
        <v>102</v>
      </c>
      <c r="C104" s="1122"/>
      <c r="D104" s="1123" t="s">
        <v>3771</v>
      </c>
      <c r="E104" s="1125" t="s">
        <v>3285</v>
      </c>
      <c r="F104" s="1125" t="s">
        <v>2135</v>
      </c>
      <c r="G104" s="6" t="s">
        <v>3768</v>
      </c>
      <c r="H104" s="1124">
        <v>44911</v>
      </c>
    </row>
    <row r="105" spans="2:8" hidden="1" outlineLevel="1">
      <c r="B105" s="9">
        <v>103</v>
      </c>
      <c r="C105" s="9" t="s">
        <v>3571</v>
      </c>
      <c r="D105" s="10" t="s">
        <v>3780</v>
      </c>
      <c r="E105" s="1125" t="s">
        <v>3285</v>
      </c>
      <c r="F105" s="1125" t="s">
        <v>2135</v>
      </c>
      <c r="G105" s="6" t="s">
        <v>3782</v>
      </c>
      <c r="H105" s="1124">
        <v>44915</v>
      </c>
    </row>
    <row r="106" spans="2:8" hidden="1" outlineLevel="1">
      <c r="B106" s="9">
        <v>104</v>
      </c>
      <c r="C106" s="9" t="s">
        <v>3737</v>
      </c>
      <c r="D106" s="10" t="s">
        <v>3781</v>
      </c>
      <c r="E106" s="1125" t="s">
        <v>3285</v>
      </c>
      <c r="F106" s="1125" t="s">
        <v>2135</v>
      </c>
      <c r="G106" s="6" t="s">
        <v>3782</v>
      </c>
      <c r="H106" s="1124">
        <v>44915</v>
      </c>
    </row>
    <row r="107" spans="2:8" hidden="1" outlineLevel="1">
      <c r="B107" s="9">
        <v>105</v>
      </c>
      <c r="C107" s="9" t="s">
        <v>3735</v>
      </c>
      <c r="D107" s="10" t="s">
        <v>3783</v>
      </c>
      <c r="E107" s="1125" t="s">
        <v>3285</v>
      </c>
      <c r="F107" s="1125" t="s">
        <v>2135</v>
      </c>
      <c r="G107" s="6" t="s">
        <v>3782</v>
      </c>
      <c r="H107" s="1124">
        <v>44915</v>
      </c>
    </row>
    <row r="108" spans="2:8" hidden="1" outlineLevel="1">
      <c r="B108" s="9">
        <v>106</v>
      </c>
      <c r="C108" s="1122" t="s">
        <v>3785</v>
      </c>
      <c r="D108" s="1123" t="s">
        <v>3784</v>
      </c>
      <c r="E108" s="1125" t="s">
        <v>3285</v>
      </c>
      <c r="F108" s="1125" t="s">
        <v>2135</v>
      </c>
      <c r="G108" s="6" t="s">
        <v>3786</v>
      </c>
      <c r="H108" s="1124">
        <v>44915</v>
      </c>
    </row>
    <row r="109" spans="2:8" ht="38.25" hidden="1" outlineLevel="1">
      <c r="B109" s="9">
        <v>107</v>
      </c>
      <c r="C109" s="1122" t="s">
        <v>3388</v>
      </c>
      <c r="D109" s="1123" t="s">
        <v>3800</v>
      </c>
      <c r="E109" s="1125" t="s">
        <v>3285</v>
      </c>
      <c r="F109" s="1125" t="s">
        <v>2135</v>
      </c>
      <c r="G109" s="6" t="s">
        <v>3799</v>
      </c>
      <c r="H109" s="1124">
        <v>44917</v>
      </c>
    </row>
    <row r="110" spans="2:8" hidden="1" outlineLevel="1">
      <c r="B110" s="9">
        <v>108</v>
      </c>
      <c r="C110" s="1122" t="s">
        <v>3801</v>
      </c>
      <c r="D110" s="1123" t="s">
        <v>3802</v>
      </c>
      <c r="E110" s="1125" t="s">
        <v>3285</v>
      </c>
      <c r="F110" s="1125" t="s">
        <v>2135</v>
      </c>
      <c r="G110" s="6" t="s">
        <v>3799</v>
      </c>
      <c r="H110" s="1124">
        <v>44917</v>
      </c>
    </row>
    <row r="111" spans="2:8" hidden="1" outlineLevel="1">
      <c r="B111" s="9">
        <v>109</v>
      </c>
      <c r="C111" s="1122" t="s">
        <v>3820</v>
      </c>
      <c r="D111" s="1123" t="s">
        <v>3821</v>
      </c>
      <c r="E111" s="1125" t="s">
        <v>3285</v>
      </c>
      <c r="F111" s="1125" t="s">
        <v>2135</v>
      </c>
      <c r="G111" s="6" t="s">
        <v>3807</v>
      </c>
      <c r="H111" s="1124">
        <v>44934</v>
      </c>
    </row>
    <row r="112" spans="2:8" hidden="1" outlineLevel="1">
      <c r="B112" s="9">
        <v>110</v>
      </c>
      <c r="C112" s="1122" t="s">
        <v>3401</v>
      </c>
      <c r="D112" s="1123" t="s">
        <v>3752</v>
      </c>
      <c r="E112" s="1125" t="s">
        <v>3285</v>
      </c>
      <c r="F112" s="1127" t="s">
        <v>3754</v>
      </c>
      <c r="G112" s="1125"/>
      <c r="H112" s="1125"/>
    </row>
    <row r="113" spans="2:8" ht="25.5" hidden="1" outlineLevel="1">
      <c r="B113" s="9">
        <v>111</v>
      </c>
      <c r="C113" s="1122" t="s">
        <v>3823</v>
      </c>
      <c r="D113" s="1123" t="s">
        <v>3824</v>
      </c>
      <c r="E113" s="1125" t="s">
        <v>3285</v>
      </c>
      <c r="F113" s="1125" t="s">
        <v>2135</v>
      </c>
      <c r="G113" s="6" t="s">
        <v>3825</v>
      </c>
      <c r="H113" s="1124">
        <v>44945</v>
      </c>
    </row>
    <row r="114" spans="2:8" ht="25.5" hidden="1" outlineLevel="1">
      <c r="B114" s="9">
        <v>112</v>
      </c>
      <c r="C114" s="9" t="s">
        <v>58</v>
      </c>
      <c r="D114" s="10" t="s">
        <v>3826</v>
      </c>
      <c r="E114" s="1125" t="s">
        <v>3285</v>
      </c>
      <c r="F114" s="1125" t="s">
        <v>2135</v>
      </c>
      <c r="G114" s="6" t="s">
        <v>3827</v>
      </c>
      <c r="H114" s="1124">
        <v>44957</v>
      </c>
    </row>
    <row r="115" spans="2:8" hidden="1" outlineLevel="1">
      <c r="B115" s="9">
        <v>113</v>
      </c>
      <c r="C115" s="1128" t="s">
        <v>1377</v>
      </c>
      <c r="D115" s="1131" t="s">
        <v>3828</v>
      </c>
      <c r="E115" s="1129" t="s">
        <v>2133</v>
      </c>
      <c r="F115" s="1129" t="s">
        <v>2135</v>
      </c>
      <c r="G115" s="1129" t="s">
        <v>3827</v>
      </c>
      <c r="H115" s="1130">
        <v>44958</v>
      </c>
    </row>
    <row r="116" spans="2:8" ht="25.5" hidden="1" outlineLevel="1">
      <c r="B116" s="9">
        <v>114</v>
      </c>
      <c r="C116" s="9" t="s">
        <v>58</v>
      </c>
      <c r="D116" s="10" t="s">
        <v>3829</v>
      </c>
      <c r="E116" s="6" t="s">
        <v>3285</v>
      </c>
      <c r="F116" s="6" t="s">
        <v>2135</v>
      </c>
      <c r="G116" s="6" t="s">
        <v>3830</v>
      </c>
      <c r="H116" s="12">
        <v>44971</v>
      </c>
    </row>
    <row r="117" spans="2:8" hidden="1" outlineLevel="1">
      <c r="B117" s="9">
        <v>115</v>
      </c>
      <c r="C117" s="1132" t="s">
        <v>3732</v>
      </c>
      <c r="D117" s="1133" t="s">
        <v>3831</v>
      </c>
      <c r="E117" s="1135" t="s">
        <v>3285</v>
      </c>
      <c r="F117" s="1135" t="s">
        <v>2135</v>
      </c>
      <c r="G117" s="1135" t="s">
        <v>3830</v>
      </c>
      <c r="H117" s="1134">
        <v>44972</v>
      </c>
    </row>
    <row r="118" spans="2:8" ht="25.5" hidden="1" outlineLevel="1">
      <c r="B118" s="9">
        <v>116</v>
      </c>
      <c r="C118" s="1128" t="s">
        <v>1377</v>
      </c>
      <c r="D118" s="10" t="s">
        <v>3833</v>
      </c>
      <c r="E118" s="1129" t="s">
        <v>2133</v>
      </c>
      <c r="F118" s="1129" t="s">
        <v>2135</v>
      </c>
      <c r="G118" s="6" t="s">
        <v>3832</v>
      </c>
      <c r="H118" s="1130">
        <v>44976</v>
      </c>
    </row>
    <row r="119" spans="2:8" hidden="1" outlineLevel="1">
      <c r="B119" s="9">
        <v>117</v>
      </c>
      <c r="C119" s="1128"/>
      <c r="D119" s="10" t="s">
        <v>3834</v>
      </c>
      <c r="E119" s="1129" t="s">
        <v>2133</v>
      </c>
      <c r="F119" s="1129" t="s">
        <v>2135</v>
      </c>
      <c r="G119" s="6" t="s">
        <v>3832</v>
      </c>
      <c r="H119" s="1130">
        <v>44982</v>
      </c>
    </row>
    <row r="120" spans="2:8" ht="25.5" hidden="1" outlineLevel="1">
      <c r="B120" s="9">
        <v>118</v>
      </c>
      <c r="C120" s="1132"/>
      <c r="D120" s="1133" t="s">
        <v>3836</v>
      </c>
      <c r="E120" s="1129" t="s">
        <v>2133</v>
      </c>
      <c r="F120" s="1129" t="s">
        <v>2135</v>
      </c>
      <c r="G120" s="6" t="s">
        <v>3832</v>
      </c>
      <c r="H120" s="1130">
        <v>44984</v>
      </c>
    </row>
    <row r="121" spans="2:8" ht="25.5" hidden="1" outlineLevel="1">
      <c r="B121" s="9">
        <v>119</v>
      </c>
      <c r="C121" s="1132" t="s">
        <v>749</v>
      </c>
      <c r="D121" s="1133" t="s">
        <v>3835</v>
      </c>
      <c r="E121" s="1129" t="s">
        <v>2133</v>
      </c>
      <c r="F121" s="1129" t="s">
        <v>2135</v>
      </c>
      <c r="G121" s="6" t="s">
        <v>3832</v>
      </c>
      <c r="H121" s="1130">
        <v>44984</v>
      </c>
    </row>
    <row r="122" spans="2:8" hidden="1" outlineLevel="1">
      <c r="B122" s="9">
        <v>120</v>
      </c>
      <c r="C122" s="9"/>
      <c r="D122" s="10" t="s">
        <v>3837</v>
      </c>
      <c r="E122" s="1129" t="s">
        <v>2133</v>
      </c>
      <c r="F122" s="1129" t="s">
        <v>2135</v>
      </c>
      <c r="G122" s="6" t="s">
        <v>3832</v>
      </c>
      <c r="H122" s="12">
        <v>44985</v>
      </c>
    </row>
    <row r="123" spans="2:8" hidden="1" outlineLevel="1">
      <c r="B123" s="9">
        <v>121</v>
      </c>
      <c r="C123" s="1132"/>
      <c r="D123" s="1133" t="s">
        <v>3838</v>
      </c>
      <c r="E123" s="1129" t="s">
        <v>2133</v>
      </c>
      <c r="F123" s="1129" t="s">
        <v>2135</v>
      </c>
      <c r="G123" s="6" t="s">
        <v>3832</v>
      </c>
      <c r="H123" s="12">
        <v>44997</v>
      </c>
    </row>
    <row r="124" spans="2:8" hidden="1" outlineLevel="1">
      <c r="B124" s="9">
        <v>122</v>
      </c>
      <c r="C124" s="1132"/>
      <c r="D124" s="1133" t="s">
        <v>3839</v>
      </c>
      <c r="E124" s="1129" t="s">
        <v>2133</v>
      </c>
      <c r="F124" s="1129" t="s">
        <v>2135</v>
      </c>
      <c r="G124" s="6" t="s">
        <v>3832</v>
      </c>
      <c r="H124" s="1134">
        <v>45011</v>
      </c>
    </row>
    <row r="125" spans="2:8" hidden="1" outlineLevel="1">
      <c r="B125" s="9">
        <v>123</v>
      </c>
      <c r="C125" s="1132"/>
      <c r="D125" s="1148" t="s">
        <v>3858</v>
      </c>
      <c r="E125" s="1129" t="s">
        <v>2133</v>
      </c>
      <c r="F125" s="1129" t="s">
        <v>2135</v>
      </c>
      <c r="G125" s="6" t="s">
        <v>3857</v>
      </c>
      <c r="H125" s="1134">
        <v>45028</v>
      </c>
    </row>
    <row r="126" spans="2:8" ht="25.5" hidden="1" outlineLevel="1">
      <c r="B126" s="9">
        <v>124</v>
      </c>
      <c r="C126" s="1132" t="s">
        <v>749</v>
      </c>
      <c r="D126" s="10" t="s">
        <v>3883</v>
      </c>
      <c r="E126" s="1129" t="s">
        <v>2133</v>
      </c>
      <c r="F126" s="1129" t="s">
        <v>2135</v>
      </c>
      <c r="G126" s="6" t="s">
        <v>3857</v>
      </c>
      <c r="H126" s="1134">
        <v>45028</v>
      </c>
    </row>
    <row r="127" spans="2:8" ht="38.25">
      <c r="B127" s="9">
        <v>125</v>
      </c>
      <c r="C127" s="9"/>
      <c r="D127" s="10" t="s">
        <v>3882</v>
      </c>
      <c r="E127" s="1129" t="s">
        <v>2133</v>
      </c>
      <c r="F127" s="1129" t="s">
        <v>2135</v>
      </c>
      <c r="G127" s="6" t="s">
        <v>3857</v>
      </c>
      <c r="H127" s="12">
        <v>45040</v>
      </c>
    </row>
    <row r="128" spans="2:8" ht="25.5">
      <c r="B128" s="9">
        <v>126</v>
      </c>
      <c r="C128" s="1132"/>
      <c r="D128" s="1133" t="s">
        <v>3884</v>
      </c>
      <c r="E128" s="1129" t="s">
        <v>2133</v>
      </c>
      <c r="F128" s="1129" t="s">
        <v>2135</v>
      </c>
      <c r="G128" s="6" t="s">
        <v>3857</v>
      </c>
      <c r="H128" s="12">
        <v>45040</v>
      </c>
    </row>
    <row r="129" spans="2:8" ht="25.5">
      <c r="B129" s="9">
        <v>127</v>
      </c>
      <c r="C129" s="9"/>
      <c r="D129" s="10" t="s">
        <v>3888</v>
      </c>
      <c r="E129" s="1129" t="s">
        <v>2133</v>
      </c>
      <c r="F129" s="1129" t="s">
        <v>2135</v>
      </c>
      <c r="G129" s="6" t="s">
        <v>3857</v>
      </c>
      <c r="H129" s="12">
        <v>45067</v>
      </c>
    </row>
    <row r="130" spans="2:8" ht="25.5">
      <c r="B130" s="9">
        <v>128</v>
      </c>
      <c r="C130" s="9"/>
      <c r="D130" s="10" t="s">
        <v>3889</v>
      </c>
      <c r="E130" s="1129" t="s">
        <v>2133</v>
      </c>
      <c r="F130" s="1129" t="s">
        <v>2135</v>
      </c>
      <c r="G130" s="6" t="s">
        <v>3857</v>
      </c>
      <c r="H130" s="12">
        <v>45067</v>
      </c>
    </row>
    <row r="131" spans="2:8">
      <c r="B131" s="9">
        <v>129</v>
      </c>
      <c r="C131" s="1132" t="s">
        <v>58</v>
      </c>
      <c r="D131" s="1133" t="s">
        <v>3925</v>
      </c>
      <c r="E131" s="1135" t="s">
        <v>3926</v>
      </c>
      <c r="F131" s="1135" t="s">
        <v>2135</v>
      </c>
      <c r="G131" s="6" t="s">
        <v>3930</v>
      </c>
      <c r="H131" s="1134">
        <v>45174</v>
      </c>
    </row>
    <row r="132" spans="2:8">
      <c r="B132" s="9">
        <v>130</v>
      </c>
      <c r="C132" s="1132" t="s">
        <v>58</v>
      </c>
      <c r="D132" s="1133" t="s">
        <v>3929</v>
      </c>
      <c r="E132" s="1129" t="s">
        <v>2133</v>
      </c>
      <c r="F132" s="1135" t="s">
        <v>2135</v>
      </c>
      <c r="G132" s="6" t="s">
        <v>3930</v>
      </c>
      <c r="H132" s="1134">
        <v>45192</v>
      </c>
    </row>
    <row r="133" spans="2:8">
      <c r="B133" s="9">
        <v>131</v>
      </c>
      <c r="C133" s="1132" t="s">
        <v>3985</v>
      </c>
      <c r="D133" s="1159" t="s">
        <v>3986</v>
      </c>
      <c r="E133" s="1135" t="s">
        <v>3987</v>
      </c>
      <c r="F133" s="1135" t="s">
        <v>2135</v>
      </c>
      <c r="G133" s="6" t="s">
        <v>3930</v>
      </c>
      <c r="H133" s="1134">
        <v>45197</v>
      </c>
    </row>
    <row r="134" spans="2:8">
      <c r="B134" s="1132"/>
      <c r="C134" s="1132"/>
      <c r="D134" s="1133"/>
      <c r="E134" s="1129"/>
      <c r="F134" s="1135"/>
      <c r="G134" s="6"/>
      <c r="H134" s="1134"/>
    </row>
  </sheetData>
  <phoneticPr fontId="39" type="noConversion"/>
  <dataValidations count="1">
    <dataValidation type="list" allowBlank="1" showInputMessage="1" showErrorMessage="1" sqref="F3:F134" xr:uid="{BF03D0AD-C43A-482C-BCAC-0B702474CB27}">
      <formula1>"abgeschlossen,offen"</formula1>
    </dataValidation>
  </dataValidations>
  <pageMargins left="0.7" right="0.7" top="0.78740157499999996" bottom="0.78740157499999996"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BOM">
    <outlinePr summaryRight="0"/>
    <pageSetUpPr fitToPage="1"/>
  </sheetPr>
  <dimension ref="A1:EF22"/>
  <sheetViews>
    <sheetView showGridLines="0" zoomScaleNormal="100" workbookViewId="0">
      <pane ySplit="3" topLeftCell="A4" activePane="bottomLeft" state="frozen"/>
      <selection activeCell="D355" sqref="D355"/>
      <selection pane="bottomLeft" activeCell="E10" sqref="E10"/>
    </sheetView>
  </sheetViews>
  <sheetFormatPr baseColWidth="10" defaultColWidth="8.7109375" defaultRowHeight="12.75" outlineLevelCol="1"/>
  <cols>
    <col min="1" max="1" width="30.7109375" style="34" hidden="1" customWidth="1"/>
    <col min="2" max="2" width="14.140625" style="5" bestFit="1" customWidth="1"/>
    <col min="3" max="3" width="2.7109375" style="4" customWidth="1"/>
    <col min="4" max="4" width="30.7109375" style="5" customWidth="1"/>
    <col min="5" max="5" width="29.7109375" style="4" bestFit="1" customWidth="1"/>
    <col min="6" max="6" width="6.7109375" style="4" customWidth="1"/>
    <col min="7" max="7" width="6.7109375" style="41" customWidth="1"/>
    <col min="8" max="10" width="6.7109375" style="4" customWidth="1"/>
    <col min="11" max="11" width="6.7109375" style="42" customWidth="1"/>
    <col min="12" max="12" width="30.7109375" style="4" hidden="1" customWidth="1"/>
    <col min="13" max="13" width="6.7109375" style="4" customWidth="1"/>
    <col min="14" max="14" width="6.7109375" style="43" customWidth="1"/>
    <col min="15" max="16" width="6.7109375" style="4" customWidth="1"/>
    <col min="17" max="17" width="30.7109375" style="5" customWidth="1" collapsed="1"/>
    <col min="18" max="18" width="20.7109375" style="2" hidden="1" customWidth="1" outlineLevel="1"/>
    <col min="19" max="19" width="2.7109375" style="5" customWidth="1"/>
    <col min="20" max="16384" width="8.7109375" style="5"/>
  </cols>
  <sheetData>
    <row r="1" spans="1:136" s="13" customFormat="1" ht="12.75" customHeight="1">
      <c r="A1" s="15"/>
      <c r="B1" s="921"/>
      <c r="C1" s="918"/>
      <c r="D1" s="921"/>
      <c r="E1" s="921"/>
      <c r="F1" s="921"/>
      <c r="G1" s="16" t="s">
        <v>902</v>
      </c>
      <c r="H1" s="1368" t="s">
        <v>901</v>
      </c>
      <c r="I1" s="1368"/>
      <c r="J1" s="1368"/>
      <c r="K1" s="1368"/>
      <c r="L1" s="925"/>
      <c r="M1" s="923"/>
      <c r="N1" s="1368" t="s">
        <v>2082</v>
      </c>
      <c r="O1" s="1368"/>
      <c r="P1" s="927"/>
      <c r="Q1" s="921"/>
      <c r="R1" s="921"/>
    </row>
    <row r="2" spans="1:136" s="19" customFormat="1" ht="12.75" customHeight="1">
      <c r="A2" s="17"/>
      <c r="B2" s="922" t="s">
        <v>76</v>
      </c>
      <c r="C2" s="962" t="s">
        <v>131</v>
      </c>
      <c r="D2" s="922" t="s">
        <v>69</v>
      </c>
      <c r="E2" s="922" t="s">
        <v>34</v>
      </c>
      <c r="F2" s="922" t="s">
        <v>78</v>
      </c>
      <c r="G2" s="929" t="s">
        <v>899</v>
      </c>
      <c r="H2" s="427" t="s">
        <v>38</v>
      </c>
      <c r="I2" s="427" t="s">
        <v>121</v>
      </c>
      <c r="J2" s="427" t="s">
        <v>122</v>
      </c>
      <c r="K2" s="930" t="s">
        <v>183</v>
      </c>
      <c r="L2" s="926" t="s">
        <v>141</v>
      </c>
      <c r="M2" s="924" t="s">
        <v>138</v>
      </c>
      <c r="N2" s="18" t="s">
        <v>78</v>
      </c>
      <c r="O2" s="427" t="s">
        <v>902</v>
      </c>
      <c r="P2" s="928" t="s">
        <v>133</v>
      </c>
      <c r="Q2" s="922" t="s">
        <v>171</v>
      </c>
      <c r="R2" s="922" t="s">
        <v>669</v>
      </c>
    </row>
    <row r="3" spans="1:136" s="31" customFormat="1" ht="13.5">
      <c r="A3" s="20" t="str">
        <f>CONCATENATE(B3&amp;" "&amp;D3)</f>
        <v>01 HiSense High</v>
      </c>
      <c r="B3" s="1321" t="s">
        <v>4129</v>
      </c>
      <c r="C3" s="21">
        <v>1</v>
      </c>
      <c r="D3" s="22" t="s">
        <v>4010</v>
      </c>
      <c r="E3" s="23"/>
      <c r="F3" s="24">
        <v>1</v>
      </c>
      <c r="G3" s="25"/>
      <c r="H3" s="24"/>
      <c r="I3" s="24"/>
      <c r="J3" s="24"/>
      <c r="K3" s="24"/>
      <c r="L3" s="24"/>
      <c r="M3" s="430">
        <v>1</v>
      </c>
      <c r="N3" s="26">
        <f>F3</f>
        <v>1</v>
      </c>
      <c r="O3" s="431">
        <f>SUMIF($C:$C,2,$O:$O)</f>
        <v>0.18006700000000003</v>
      </c>
      <c r="P3" s="27">
        <f>SUMIF($C:$C,2,$F:$F)</f>
        <v>1</v>
      </c>
      <c r="Q3" s="28"/>
      <c r="R3" s="29"/>
      <c r="S3" s="30"/>
      <c r="BW3" s="32"/>
      <c r="BX3" s="32"/>
      <c r="BY3" s="32"/>
      <c r="CR3" s="432"/>
      <c r="CS3" s="432"/>
      <c r="EC3" s="805"/>
      <c r="ED3" s="433"/>
      <c r="EE3" s="433"/>
      <c r="EF3" s="433"/>
    </row>
    <row r="4" spans="1:136" s="34" customFormat="1">
      <c r="A4" s="886" t="str">
        <f t="shared" ref="A4:A22" si="0">CONCATENATE(B4&amp;" "&amp;D4)</f>
        <v>01-01 UI PCB HiSense High</v>
      </c>
      <c r="B4" s="887" t="s">
        <v>4130</v>
      </c>
      <c r="C4" s="888">
        <v>2</v>
      </c>
      <c r="D4" s="889" t="s">
        <v>4011</v>
      </c>
      <c r="E4" s="888"/>
      <c r="F4" s="890">
        <v>1</v>
      </c>
      <c r="G4" s="891">
        <v>0.18029999999999999</v>
      </c>
      <c r="H4" s="890"/>
      <c r="I4" s="890"/>
      <c r="J4" s="890"/>
      <c r="K4" s="892"/>
      <c r="L4" s="893"/>
      <c r="M4" s="897">
        <v>1</v>
      </c>
      <c r="N4" s="894" cm="1">
        <f t="array" ref="N4">F4*LOOKUP(100,1/($C$1:INDEX($C:$C,ROW()-1)=$C4-1),$N$1:INDEX($N:$N,ROW()-1))</f>
        <v>1</v>
      </c>
      <c r="O4" s="895" cm="1">
        <f t="array" ref="O4">IFERROR(IF(INDEX($C:$C,ROW()+1)=$C4+1,SUMIF(INDEX($C:$C,ROW()+1):INDEX($C:$C,IFERROR(ROW()+MATCH($C4,INDEX($C:$C,ROW()+1):INDEX($C:$C,MAX(ROW(BOM))),0)-1,MAX(ROW(BOM)))),$C4+1,INDEX($O:$O,ROW()+1):INDEX($O:$O,IFERROR(ROW()+MATCH($C4,INDEX($C:$C,ROW()+1):INDEX($C:$C,MAX(ROW(BOM))),0)-1,MAX(ROW(BOM))))),$N4*$G4),0)</f>
        <v>0.18006700000000003</v>
      </c>
      <c r="P4" s="896" cm="1">
        <f t="array" ref="P4">IFERROR(SUMIF(INDEX($C:$C,ROW()+1):INDEX($C:$C,IFERROR(ROW()+MATCH($C4,INDEX($C:$C,ROW()+1):INDEX($C:$C,MAX(ROW(BOM))),0)-1,MAX(ROW(BOM)))),$C4+1,INDEX($F:$F,ROW()+1):INDEX($F:$F,IFERROR(ROW()+MATCH($C4,INDEX($C:$C,ROW()+1):INDEX($C:$C,MAX(ROW(BOM))),0)-1,MAX(ROW(BOM))))),0)</f>
        <v>3</v>
      </c>
      <c r="Q4" s="889"/>
      <c r="R4" s="815"/>
      <c r="S4" s="33"/>
      <c r="CR4" s="35"/>
      <c r="CS4" s="35"/>
      <c r="EC4" s="805"/>
      <c r="ED4" s="36"/>
      <c r="EE4" s="36"/>
      <c r="EF4" s="36"/>
    </row>
    <row r="5" spans="1:136" s="38" customFormat="1" ht="13.5">
      <c r="A5" s="832" t="str">
        <f t="shared" si="0"/>
        <v>01-01-01 Big PCB</v>
      </c>
      <c r="B5" s="845" t="s">
        <v>4131</v>
      </c>
      <c r="C5" s="834">
        <v>3</v>
      </c>
      <c r="D5" s="835" t="s">
        <v>4012</v>
      </c>
      <c r="E5" s="834" t="s">
        <v>4218</v>
      </c>
      <c r="F5" s="836">
        <v>1</v>
      </c>
      <c r="G5" s="837">
        <v>8.1600000000000006E-2</v>
      </c>
      <c r="H5" s="836">
        <v>237</v>
      </c>
      <c r="I5" s="836">
        <v>74</v>
      </c>
      <c r="J5" s="836"/>
      <c r="K5" s="838">
        <v>1.5</v>
      </c>
      <c r="L5" s="839"/>
      <c r="M5" s="840">
        <v>1</v>
      </c>
      <c r="N5" s="841" cm="1">
        <f t="array" ref="N5">F5*LOOKUP(100,1/($C$1:INDEX($C:$C,ROW()-1)=$C5-1),$N$1:INDEX($N:$N,ROW()-1))</f>
        <v>1</v>
      </c>
      <c r="O5" s="842" cm="1">
        <f t="array" ref="O5">IFERROR(IF(INDEX($C:$C,ROW()+1)=$C5+1,SUMIF(INDEX($C:$C,ROW()+1):INDEX($C:$C,IFERROR(ROW()+MATCH($C5,INDEX($C:$C,ROW()+1):INDEX($C:$C,MAX(ROW(BOM))),0)-1,MAX(ROW(BOM)))),$C5+1,INDEX($O:$O,ROW()+1):INDEX($O:$O,IFERROR(ROW()+MATCH($C5,INDEX($C:$C,ROW()+1):INDEX($C:$C,MAX(ROW(BOM))),0)-1,MAX(ROW(BOM))))),$N5*$G5),0)</f>
        <v>8.1600000000000006E-2</v>
      </c>
      <c r="P5" s="843" cm="1">
        <f t="array" ref="P5">IFERROR(SUMIF(INDEX($C:$C,ROW()+1):INDEX($C:$C,IFERROR(ROW()+MATCH($C5,INDEX($C:$C,ROW()+1):INDEX($C:$C,MAX(ROW(BOM))),0)-1,MAX(ROW(BOM)))),$C5+1,INDEX($F:$F,ROW()+1):INDEX($F:$F,IFERROR(ROW()+MATCH($C5,INDEX($C:$C,ROW()+1):INDEX($C:$C,MAX(ROW(BOM))),0)-1,MAX(ROW(BOM))))),0)</f>
        <v>0</v>
      </c>
      <c r="Q5" s="833"/>
      <c r="R5" s="846"/>
      <c r="S5" s="37"/>
      <c r="CR5" s="39"/>
      <c r="CS5" s="39"/>
      <c r="EC5" s="805"/>
      <c r="ED5" s="40"/>
      <c r="EE5" s="40"/>
      <c r="EF5" s="40"/>
    </row>
    <row r="6" spans="1:136" s="38" customFormat="1" ht="13.5">
      <c r="A6" s="832" t="str">
        <f t="shared" si="0"/>
        <v>01-01-02 Small PCB</v>
      </c>
      <c r="B6" s="845" t="s">
        <v>4132</v>
      </c>
      <c r="C6" s="834">
        <v>3</v>
      </c>
      <c r="D6" s="835" t="s">
        <v>4217</v>
      </c>
      <c r="E6" s="834" t="s">
        <v>4219</v>
      </c>
      <c r="F6" s="836">
        <v>1</v>
      </c>
      <c r="G6" s="837">
        <v>2.7900000000000001E-2</v>
      </c>
      <c r="H6" s="836">
        <v>91</v>
      </c>
      <c r="I6" s="836">
        <v>55</v>
      </c>
      <c r="J6" s="836"/>
      <c r="K6" s="838">
        <v>1.65</v>
      </c>
      <c r="L6" s="839"/>
      <c r="M6" s="840">
        <v>1</v>
      </c>
      <c r="N6" s="841" cm="1">
        <f t="array" ref="N6">F6*LOOKUP(100,1/($C$1:INDEX($C:$C,ROW()-1)=$C6-1),$N$1:INDEX($N:$N,ROW()-1))</f>
        <v>1</v>
      </c>
      <c r="O6" s="842" cm="1">
        <f t="array" ref="O6">IFERROR(IF(INDEX($C:$C,ROW()+1)=$C6+1,SUMIF(INDEX($C:$C,ROW()+1):INDEX($C:$C,IFERROR(ROW()+MATCH($C6,INDEX($C:$C,ROW()+1):INDEX($C:$C,MAX(ROW(BOM))),0)-1,MAX(ROW(BOM)))),$C6+1,INDEX($O:$O,ROW()+1):INDEX($O:$O,IFERROR(ROW()+MATCH($C6,INDEX($C:$C,ROW()+1):INDEX($C:$C,MAX(ROW(BOM))),0)-1,MAX(ROW(BOM))))),$N6*$G6),0)</f>
        <v>2.7900000000000001E-2</v>
      </c>
      <c r="P6" s="843" cm="1">
        <f t="array" ref="P6">IFERROR(SUMIF(INDEX($C:$C,ROW()+1):INDEX($C:$C,IFERROR(ROW()+MATCH($C6,INDEX($C:$C,ROW()+1):INDEX($C:$C,MAX(ROW(BOM))),0)-1,MAX(ROW(BOM)))),$C6+1,INDEX($F:$F,ROW()+1):INDEX($F:$F,IFERROR(ROW()+MATCH($C6,INDEX($C:$C,ROW()+1):INDEX($C:$C,MAX(ROW(BOM))),0)-1,MAX(ROW(BOM))))),0)</f>
        <v>0</v>
      </c>
      <c r="Q6" s="833"/>
      <c r="R6" s="846"/>
      <c r="S6" s="37"/>
      <c r="CR6" s="39"/>
      <c r="CS6" s="39"/>
      <c r="EC6" s="805"/>
      <c r="ED6" s="40"/>
      <c r="EE6" s="40"/>
      <c r="EF6" s="40"/>
    </row>
    <row r="7" spans="1:136" s="38" customFormat="1" ht="13.5">
      <c r="A7" s="832" t="str">
        <f t="shared" si="0"/>
        <v>01-01-03 Display Unit</v>
      </c>
      <c r="B7" s="845" t="s">
        <v>4133</v>
      </c>
      <c r="C7" s="834">
        <v>3</v>
      </c>
      <c r="D7" s="835" t="s">
        <v>4013</v>
      </c>
      <c r="E7" s="834"/>
      <c r="F7" s="836">
        <v>1</v>
      </c>
      <c r="G7" s="837">
        <v>7.8E-2</v>
      </c>
      <c r="H7" s="836">
        <v>174</v>
      </c>
      <c r="I7" s="836">
        <v>77</v>
      </c>
      <c r="J7" s="836">
        <v>12</v>
      </c>
      <c r="K7" s="838"/>
      <c r="L7" s="839"/>
      <c r="M7" s="840">
        <v>1</v>
      </c>
      <c r="N7" s="841" cm="1">
        <f t="array" ref="N7">F7*LOOKUP(100,1/($C$1:INDEX($C:$C,ROW()-1)=$C7-1),$N$1:INDEX($N:$N,ROW()-1))</f>
        <v>1</v>
      </c>
      <c r="O7" s="842" cm="1">
        <f t="array" ref="O7">IFERROR(IF(INDEX($C:$C,ROW()+1)=$C7+1,SUMIF(INDEX($C:$C,ROW()+1):INDEX($C:$C,IFERROR(ROW()+MATCH($C7,INDEX($C:$C,ROW()+1):INDEX($C:$C,MAX(ROW(BOM))),0)-1,MAX(ROW(BOM)))),$C7+1,INDEX($O:$O,ROW()+1):INDEX($O:$O,IFERROR(ROW()+MATCH($C7,INDEX($C:$C,ROW()+1):INDEX($C:$C,MAX(ROW(BOM))),0)-1,MAX(ROW(BOM))))),$N7*$G7),0)</f>
        <v>7.0567000000000005E-2</v>
      </c>
      <c r="P7" s="843" cm="1">
        <f t="array" ref="P7">IFERROR(SUMIF(INDEX($C:$C,ROW()+1):INDEX($C:$C,IFERROR(ROW()+MATCH($C7,INDEX($C:$C,ROW()+1):INDEX($C:$C,MAX(ROW(BOM))),0)-1,MAX(ROW(BOM)))),$C7+1,INDEX($F:$F,ROW()+1):INDEX($F:$F,IFERROR(ROW()+MATCH($C7,INDEX($C:$C,ROW()+1):INDEX($C:$C,MAX(ROW(BOM))),0)-1,MAX(ROW(BOM))))),0)</f>
        <v>16</v>
      </c>
      <c r="Q7" s="833"/>
      <c r="R7" s="846"/>
      <c r="S7" s="37"/>
      <c r="CR7" s="39"/>
      <c r="CS7" s="39"/>
      <c r="EC7" s="805"/>
      <c r="ED7" s="40"/>
      <c r="EE7" s="40"/>
      <c r="EF7" s="40"/>
    </row>
    <row r="8" spans="1:136" s="34" customFormat="1">
      <c r="A8" s="820" t="str">
        <f t="shared" si="0"/>
        <v>01-01-03-01 Front Outer Metal Cover</v>
      </c>
      <c r="B8" s="1322" t="s">
        <v>4134</v>
      </c>
      <c r="C8" s="822">
        <v>4</v>
      </c>
      <c r="D8" s="823" t="s">
        <v>4014</v>
      </c>
      <c r="E8" s="822" t="s">
        <v>4126</v>
      </c>
      <c r="F8" s="824">
        <v>1</v>
      </c>
      <c r="G8" s="825">
        <v>1.24E-2</v>
      </c>
      <c r="H8" s="824">
        <v>174</v>
      </c>
      <c r="I8" s="824">
        <v>42.8</v>
      </c>
      <c r="J8" s="824">
        <v>7</v>
      </c>
      <c r="K8" s="826">
        <v>0.5</v>
      </c>
      <c r="L8" s="827"/>
      <c r="M8" s="828">
        <v>1</v>
      </c>
      <c r="N8" s="829" cm="1">
        <f t="array" ref="N8">F8*LOOKUP(100,1/($C$1:INDEX($C:$C,ROW()-1)=$C8-1),$N$1:INDEX($N:$N,ROW()-1))</f>
        <v>1</v>
      </c>
      <c r="O8" s="830" cm="1">
        <f t="array" ref="O8">IFERROR(IF(INDEX($C:$C,ROW()+1)=$C8+1,SUMIF(INDEX($C:$C,ROW()+1):INDEX($C:$C,IFERROR(ROW()+MATCH($C8,INDEX($C:$C,ROW()+1):INDEX($C:$C,MAX(ROW(BOM))),0)-1,MAX(ROW(BOM)))),$C8+1,INDEX($O:$O,ROW()+1):INDEX($O:$O,IFERROR(ROW()+MATCH($C8,INDEX($C:$C,ROW()+1):INDEX($C:$C,MAX(ROW(BOM))),0)-1,MAX(ROW(BOM))))),$N8*$G8),0)</f>
        <v>1.24E-2</v>
      </c>
      <c r="P8" s="831" cm="1">
        <f t="array" ref="P8">IFERROR(SUMIF(INDEX($C:$C,ROW()+1):INDEX($C:$C,IFERROR(ROW()+MATCH($C8,INDEX($C:$C,ROW()+1):INDEX($C:$C,MAX(ROW(BOM))),0)-1,MAX(ROW(BOM)))),$C8+1,INDEX($F:$F,ROW()+1):INDEX($F:$F,IFERROR(ROW()+MATCH($C8,INDEX($C:$C,ROW()+1):INDEX($C:$C,MAX(ROW(BOM))),0)-1,MAX(ROW(BOM))))),0)</f>
        <v>0</v>
      </c>
      <c r="Q8" s="821"/>
      <c r="R8" s="847"/>
      <c r="S8" s="33"/>
      <c r="CR8" s="35"/>
      <c r="CS8" s="35"/>
      <c r="EC8" s="805"/>
      <c r="ED8" s="36"/>
      <c r="EE8" s="36"/>
      <c r="EF8" s="36"/>
    </row>
    <row r="9" spans="1:136" s="34" customFormat="1">
      <c r="A9" s="820" t="str">
        <f t="shared" si="0"/>
        <v>01-01-03-02 Front Plastic Cover</v>
      </c>
      <c r="B9" s="1322" t="s">
        <v>4135</v>
      </c>
      <c r="C9" s="822">
        <v>4</v>
      </c>
      <c r="D9" s="823" t="s">
        <v>4015</v>
      </c>
      <c r="E9" s="822" t="s">
        <v>4230</v>
      </c>
      <c r="F9" s="824">
        <v>1</v>
      </c>
      <c r="G9" s="825">
        <v>6.7000000000000002E-3</v>
      </c>
      <c r="H9" s="824">
        <v>172.8</v>
      </c>
      <c r="I9" s="824">
        <v>41.3</v>
      </c>
      <c r="J9" s="824">
        <v>11.4</v>
      </c>
      <c r="K9" s="826">
        <v>0.6</v>
      </c>
      <c r="L9" s="827"/>
      <c r="M9" s="828">
        <v>1</v>
      </c>
      <c r="N9" s="829" cm="1">
        <f t="array" ref="N9">F9*LOOKUP(100,1/($C$1:INDEX($C:$C,ROW()-1)=$C9-1),$N$1:INDEX($N:$N,ROW()-1))</f>
        <v>1</v>
      </c>
      <c r="O9" s="830" cm="1">
        <f t="array" ref="O9">IFERROR(IF(INDEX($C:$C,ROW()+1)=$C9+1,SUMIF(INDEX($C:$C,ROW()+1):INDEX($C:$C,IFERROR(ROW()+MATCH($C9,INDEX($C:$C,ROW()+1):INDEX($C:$C,MAX(ROW(BOM))),0)-1,MAX(ROW(BOM)))),$C9+1,INDEX($O:$O,ROW()+1):INDEX($O:$O,IFERROR(ROW()+MATCH($C9,INDEX($C:$C,ROW()+1):INDEX($C:$C,MAX(ROW(BOM))),0)-1,MAX(ROW(BOM))))),$N9*$G9),0)</f>
        <v>6.7000000000000002E-3</v>
      </c>
      <c r="P9" s="831" cm="1">
        <f t="array" ref="P9">IFERROR(SUMIF(INDEX($C:$C,ROW()+1):INDEX($C:$C,IFERROR(ROW()+MATCH($C9,INDEX($C:$C,ROW()+1):INDEX($C:$C,MAX(ROW(BOM))),0)-1,MAX(ROW(BOM)))),$C9+1,INDEX($F:$F,ROW()+1):INDEX($F:$F,IFERROR(ROW()+MATCH($C9,INDEX($C:$C,ROW()+1):INDEX($C:$C,MAX(ROW(BOM))),0)-1,MAX(ROW(BOM))))),0)</f>
        <v>0</v>
      </c>
      <c r="Q9" s="821"/>
      <c r="R9" s="847"/>
      <c r="S9" s="33"/>
      <c r="CR9" s="35"/>
      <c r="CS9" s="35"/>
      <c r="EC9" s="805"/>
      <c r="ED9" s="36"/>
      <c r="EE9" s="36"/>
      <c r="EF9" s="36"/>
    </row>
    <row r="10" spans="1:136" s="34" customFormat="1">
      <c r="A10" s="820" t="str">
        <f t="shared" si="0"/>
        <v>01-01-03-03 Display</v>
      </c>
      <c r="B10" s="1322" t="s">
        <v>4136</v>
      </c>
      <c r="C10" s="822">
        <v>4</v>
      </c>
      <c r="D10" s="823" t="s">
        <v>4016</v>
      </c>
      <c r="E10" s="822"/>
      <c r="F10" s="824">
        <v>1</v>
      </c>
      <c r="G10" s="825">
        <v>1.5599999999999999E-2</v>
      </c>
      <c r="H10" s="824">
        <v>160</v>
      </c>
      <c r="I10" s="824">
        <v>36.299999999999997</v>
      </c>
      <c r="J10" s="824"/>
      <c r="K10" s="826">
        <v>1.3</v>
      </c>
      <c r="L10" s="827"/>
      <c r="M10" s="828">
        <v>1</v>
      </c>
      <c r="N10" s="829" cm="1">
        <f t="array" ref="N10">F10*LOOKUP(100,1/($C$1:INDEX($C:$C,ROW()-1)=$C10-1),$N$1:INDEX($N:$N,ROW()-1))</f>
        <v>1</v>
      </c>
      <c r="O10" s="830" cm="1">
        <f t="array" ref="O10">IFERROR(IF(INDEX($C:$C,ROW()+1)=$C10+1,SUMIF(INDEX($C:$C,ROW()+1):INDEX($C:$C,IFERROR(ROW()+MATCH($C10,INDEX($C:$C,ROW()+1):INDEX($C:$C,MAX(ROW(BOM))),0)-1,MAX(ROW(BOM)))),$C10+1,INDEX($O:$O,ROW()+1):INDEX($O:$O,IFERROR(ROW()+MATCH($C10,INDEX($C:$C,ROW()+1):INDEX($C:$C,MAX(ROW(BOM))),0)-1,MAX(ROW(BOM))))),$N10*$G10),0)</f>
        <v>1.5599999999999999E-2</v>
      </c>
      <c r="P10" s="831" cm="1">
        <f t="array" ref="P10">IFERROR(SUMIF(INDEX($C:$C,ROW()+1):INDEX($C:$C,IFERROR(ROW()+MATCH($C10,INDEX($C:$C,ROW()+1):INDEX($C:$C,MAX(ROW(BOM))),0)-1,MAX(ROW(BOM)))),$C10+1,INDEX($F:$F,ROW()+1):INDEX($F:$F,IFERROR(ROW()+MATCH($C10,INDEX($C:$C,ROW()+1):INDEX($C:$C,MAX(ROW(BOM))),0)-1,MAX(ROW(BOM))))),0)</f>
        <v>0</v>
      </c>
      <c r="Q10" s="821"/>
      <c r="R10" s="847"/>
      <c r="S10" s="33"/>
      <c r="CR10" s="35"/>
      <c r="CS10" s="35"/>
      <c r="EC10" s="805"/>
      <c r="ED10" s="36"/>
      <c r="EE10" s="36"/>
      <c r="EF10" s="36"/>
    </row>
    <row r="11" spans="1:136" s="34" customFormat="1">
      <c r="A11" s="820" t="str">
        <f t="shared" si="0"/>
        <v>01-01-03-04 Flex PCB</v>
      </c>
      <c r="B11" s="1322" t="s">
        <v>4137</v>
      </c>
      <c r="C11" s="822">
        <v>4</v>
      </c>
      <c r="D11" s="823" t="s">
        <v>4017</v>
      </c>
      <c r="E11" s="822" t="s">
        <v>4220</v>
      </c>
      <c r="F11" s="824">
        <v>1</v>
      </c>
      <c r="G11" s="825">
        <v>1.1999999999999999E-3</v>
      </c>
      <c r="H11" s="824">
        <v>85</v>
      </c>
      <c r="I11" s="824">
        <v>76.599999999999994</v>
      </c>
      <c r="J11" s="824"/>
      <c r="K11" s="826">
        <v>0.1</v>
      </c>
      <c r="L11" s="827"/>
      <c r="M11" s="828">
        <v>1</v>
      </c>
      <c r="N11" s="829" cm="1">
        <f t="array" ref="N11">F11*LOOKUP(100,1/($C$1:INDEX($C:$C,ROW()-1)=$C11-1),$N$1:INDEX($N:$N,ROW()-1))</f>
        <v>1</v>
      </c>
      <c r="O11" s="830" cm="1">
        <f t="array" ref="O11">IFERROR(IF(INDEX($C:$C,ROW()+1)=$C11+1,SUMIF(INDEX($C:$C,ROW()+1):INDEX($C:$C,IFERROR(ROW()+MATCH($C11,INDEX($C:$C,ROW()+1):INDEX($C:$C,MAX(ROW(BOM))),0)-1,MAX(ROW(BOM)))),$C11+1,INDEX($O:$O,ROW()+1):INDEX($O:$O,IFERROR(ROW()+MATCH($C11,INDEX($C:$C,ROW()+1):INDEX($C:$C,MAX(ROW(BOM))),0)-1,MAX(ROW(BOM))))),$N11*$G11),0)</f>
        <v>1.1999999999999999E-3</v>
      </c>
      <c r="P11" s="831" cm="1">
        <f t="array" ref="P11">IFERROR(SUMIF(INDEX($C:$C,ROW()+1):INDEX($C:$C,IFERROR(ROW()+MATCH($C11,INDEX($C:$C,ROW()+1):INDEX($C:$C,MAX(ROW(BOM))),0)-1,MAX(ROW(BOM)))),$C11+1,INDEX($F:$F,ROW()+1):INDEX($F:$F,IFERROR(ROW()+MATCH($C11,INDEX($C:$C,ROW()+1):INDEX($C:$C,MAX(ROW(BOM))),0)-1,MAX(ROW(BOM))))),0)</f>
        <v>0</v>
      </c>
      <c r="Q11" s="821"/>
      <c r="R11" s="847"/>
      <c r="S11" s="33"/>
      <c r="CR11" s="35"/>
      <c r="CS11" s="35"/>
      <c r="EC11" s="805"/>
      <c r="ED11" s="36"/>
      <c r="EE11" s="36"/>
      <c r="EF11" s="36"/>
    </row>
    <row r="12" spans="1:136" s="34" customFormat="1">
      <c r="A12" s="820" t="str">
        <f t="shared" si="0"/>
        <v>01-01-03-05 Aluminum Base Film</v>
      </c>
      <c r="B12" s="1322" t="s">
        <v>4138</v>
      </c>
      <c r="C12" s="822">
        <v>4</v>
      </c>
      <c r="D12" s="823" t="s">
        <v>4121</v>
      </c>
      <c r="E12" s="822" t="s">
        <v>4126</v>
      </c>
      <c r="F12" s="824">
        <v>1</v>
      </c>
      <c r="G12" s="825">
        <f>2.506/1000</f>
        <v>2.506E-3</v>
      </c>
      <c r="H12" s="824">
        <v>84.65</v>
      </c>
      <c r="I12" s="824">
        <v>18.399999999999999</v>
      </c>
      <c r="J12" s="824"/>
      <c r="K12" s="826">
        <v>0.3</v>
      </c>
      <c r="L12" s="827"/>
      <c r="M12" s="828">
        <v>1</v>
      </c>
      <c r="N12" s="829" cm="1">
        <f t="array" ref="N12">F12*LOOKUP(100,1/($C$1:INDEX($C:$C,ROW()-1)=$C12-1),$N$1:INDEX($N:$N,ROW()-1))</f>
        <v>1</v>
      </c>
      <c r="O12" s="830" cm="1">
        <f t="array" ref="O12">IFERROR(IF(INDEX($C:$C,ROW()+1)=$C12+1,SUMIF(INDEX($C:$C,ROW()+1):INDEX($C:$C,IFERROR(ROW()+MATCH($C12,INDEX($C:$C,ROW()+1):INDEX($C:$C,MAX(ROW(BOM))),0)-1,MAX(ROW(BOM)))),$C12+1,INDEX($O:$O,ROW()+1):INDEX($O:$O,IFERROR(ROW()+MATCH($C12,INDEX($C:$C,ROW()+1):INDEX($C:$C,MAX(ROW(BOM))),0)-1,MAX(ROW(BOM))))),$N12*$G12),0)</f>
        <v>2.506E-3</v>
      </c>
      <c r="P12" s="831" cm="1">
        <f t="array" ref="P12">IFERROR(SUMIF(INDEX($C:$C,ROW()+1):INDEX($C:$C,IFERROR(ROW()+MATCH($C12,INDEX($C:$C,ROW()+1):INDEX($C:$C,MAX(ROW(BOM))),0)-1,MAX(ROW(BOM)))),$C12+1,INDEX($F:$F,ROW()+1):INDEX($F:$F,IFERROR(ROW()+MATCH($C12,INDEX($C:$C,ROW()+1):INDEX($C:$C,MAX(ROW(BOM))),0)-1,MAX(ROW(BOM))))),0)</f>
        <v>0</v>
      </c>
      <c r="Q12" s="821"/>
      <c r="R12" s="847"/>
      <c r="S12" s="33"/>
      <c r="CR12" s="35"/>
      <c r="CS12" s="35"/>
      <c r="EC12" s="805"/>
      <c r="ED12" s="36"/>
      <c r="EE12" s="36"/>
      <c r="EF12" s="36"/>
    </row>
    <row r="13" spans="1:136" s="34" customFormat="1">
      <c r="A13" s="820" t="str">
        <f t="shared" si="0"/>
        <v>01-01-03-06 PCB Protection Film</v>
      </c>
      <c r="B13" s="1322" t="s">
        <v>4139</v>
      </c>
      <c r="C13" s="822">
        <v>4</v>
      </c>
      <c r="D13" s="823" t="s">
        <v>4018</v>
      </c>
      <c r="E13" s="822" t="s">
        <v>4227</v>
      </c>
      <c r="F13" s="824">
        <v>1</v>
      </c>
      <c r="G13" s="825">
        <v>1.2E-4</v>
      </c>
      <c r="H13" s="824">
        <v>82.7</v>
      </c>
      <c r="I13" s="824">
        <v>15</v>
      </c>
      <c r="J13" s="824"/>
      <c r="K13" s="826">
        <v>0.01</v>
      </c>
      <c r="L13" s="827" t="s">
        <v>904</v>
      </c>
      <c r="M13" s="828">
        <v>1</v>
      </c>
      <c r="N13" s="829" cm="1">
        <f t="array" ref="N13">F13*LOOKUP(100,1/($C$1:INDEX($C:$C,ROW()-1)=$C13-1),$N$1:INDEX($N:$N,ROW()-1))</f>
        <v>1</v>
      </c>
      <c r="O13" s="830" cm="1">
        <f t="array" ref="O13">IFERROR(IF(INDEX($C:$C,ROW()+1)=$C13+1,SUMIF(INDEX($C:$C,ROW()+1):INDEX($C:$C,IFERROR(ROW()+MATCH($C13,INDEX($C:$C,ROW()+1):INDEX($C:$C,MAX(ROW(BOM))),0)-1,MAX(ROW(BOM)))),$C13+1,INDEX($O:$O,ROW()+1):INDEX($O:$O,IFERROR(ROW()+MATCH($C13,INDEX($C:$C,ROW()+1):INDEX($C:$C,MAX(ROW(BOM))),0)-1,MAX(ROW(BOM))))),$N13*$G13),0)</f>
        <v>1.2E-4</v>
      </c>
      <c r="P13" s="831" cm="1">
        <f t="array" ref="P13">IFERROR(SUMIF(INDEX($C:$C,ROW()+1):INDEX($C:$C,IFERROR(ROW()+MATCH($C13,INDEX($C:$C,ROW()+1):INDEX($C:$C,MAX(ROW(BOM))),0)-1,MAX(ROW(BOM)))),$C13+1,INDEX($F:$F,ROW()+1):INDEX($F:$F,IFERROR(ROW()+MATCH($C13,INDEX($C:$C,ROW()+1):INDEX($C:$C,MAX(ROW(BOM))),0)-1,MAX(ROW(BOM))))),0)</f>
        <v>0</v>
      </c>
      <c r="Q13" s="821"/>
      <c r="R13" s="847"/>
      <c r="S13" s="33"/>
      <c r="CR13" s="35"/>
      <c r="CS13" s="35"/>
      <c r="EC13" s="805"/>
      <c r="ED13" s="36"/>
      <c r="EE13" s="36"/>
      <c r="EF13" s="36"/>
    </row>
    <row r="14" spans="1:136" s="34" customFormat="1">
      <c r="A14" s="820" t="str">
        <f t="shared" si="0"/>
        <v>01-01-03-07 Back Outer Metal Cover</v>
      </c>
      <c r="B14" s="1322" t="s">
        <v>4140</v>
      </c>
      <c r="C14" s="822">
        <v>4</v>
      </c>
      <c r="D14" s="823" t="s">
        <v>4122</v>
      </c>
      <c r="E14" s="822" t="s">
        <v>4126</v>
      </c>
      <c r="F14" s="824">
        <v>1</v>
      </c>
      <c r="G14" s="825">
        <v>1.24E-2</v>
      </c>
      <c r="H14" s="824">
        <v>174</v>
      </c>
      <c r="I14" s="824">
        <v>38.6</v>
      </c>
      <c r="J14" s="824">
        <v>5.5</v>
      </c>
      <c r="K14" s="826">
        <v>0.6</v>
      </c>
      <c r="L14" s="827"/>
      <c r="M14" s="828">
        <v>1</v>
      </c>
      <c r="N14" s="829" cm="1">
        <f t="array" ref="N14">F14*LOOKUP(100,1/($C$1:INDEX($C:$C,ROW()-1)=$C14-1),$N$1:INDEX($N:$N,ROW()-1))</f>
        <v>1</v>
      </c>
      <c r="O14" s="830" cm="1">
        <f t="array" ref="O14">IFERROR(IF(INDEX($C:$C,ROW()+1)=$C14+1,SUMIF(INDEX($C:$C,ROW()+1):INDEX($C:$C,IFERROR(ROW()+MATCH($C14,INDEX($C:$C,ROW()+1):INDEX($C:$C,MAX(ROW(BOM))),0)-1,MAX(ROW(BOM)))),$C14+1,INDEX($O:$O,ROW()+1):INDEX($O:$O,IFERROR(ROW()+MATCH($C14,INDEX($C:$C,ROW()+1):INDEX($C:$C,MAX(ROW(BOM))),0)-1,MAX(ROW(BOM))))),$N14*$G14),0)</f>
        <v>1.24E-2</v>
      </c>
      <c r="P14" s="831" cm="1">
        <f t="array" ref="P14">IFERROR(SUMIF(INDEX($C:$C,ROW()+1):INDEX($C:$C,IFERROR(ROW()+MATCH($C14,INDEX($C:$C,ROW()+1):INDEX($C:$C,MAX(ROW(BOM))),0)-1,MAX(ROW(BOM)))),$C14+1,INDEX($F:$F,ROW()+1):INDEX($F:$F,IFERROR(ROW()+MATCH($C14,INDEX($C:$C,ROW()+1):INDEX($C:$C,MAX(ROW(BOM))),0)-1,MAX(ROW(BOM))))),0)</f>
        <v>0</v>
      </c>
      <c r="Q14" s="821"/>
      <c r="R14" s="847"/>
      <c r="S14" s="33"/>
      <c r="CR14" s="35"/>
      <c r="CS14" s="35"/>
      <c r="EC14" s="805"/>
      <c r="ED14" s="36"/>
      <c r="EE14" s="36"/>
      <c r="EF14" s="36"/>
    </row>
    <row r="15" spans="1:136" s="34" customFormat="1" ht="13.15" customHeight="1">
      <c r="A15" s="820" t="str">
        <f t="shared" si="0"/>
        <v>01-01-03-08 Black Film</v>
      </c>
      <c r="B15" s="1322" t="s">
        <v>4141</v>
      </c>
      <c r="C15" s="822">
        <v>4</v>
      </c>
      <c r="D15" s="823" t="s">
        <v>4019</v>
      </c>
      <c r="E15" s="822" t="s">
        <v>4227</v>
      </c>
      <c r="F15" s="824">
        <v>1</v>
      </c>
      <c r="G15" s="825">
        <v>1.7100000000000001E-4</v>
      </c>
      <c r="H15" s="824">
        <v>94</v>
      </c>
      <c r="I15" s="824">
        <v>20</v>
      </c>
      <c r="J15" s="824"/>
      <c r="K15" s="826">
        <v>0.1</v>
      </c>
      <c r="L15" s="827" t="s">
        <v>904</v>
      </c>
      <c r="M15" s="828">
        <v>1</v>
      </c>
      <c r="N15" s="829" cm="1">
        <f t="array" ref="N15">F15*LOOKUP(100,1/($C$1:INDEX($C:$C,ROW()-1)=$C15-1),$N$1:INDEX($N:$N,ROW()-1))</f>
        <v>1</v>
      </c>
      <c r="O15" s="830" cm="1">
        <f t="array" ref="O15">IFERROR(IF(INDEX($C:$C,ROW()+1)=$C15+1,SUMIF(INDEX($C:$C,ROW()+1):INDEX($C:$C,IFERROR(ROW()+MATCH($C15,INDEX($C:$C,ROW()+1):INDEX($C:$C,MAX(ROW(BOM))),0)-1,MAX(ROW(BOM)))),$C15+1,INDEX($O:$O,ROW()+1):INDEX($O:$O,IFERROR(ROW()+MATCH($C15,INDEX($C:$C,ROW()+1):INDEX($C:$C,MAX(ROW(BOM))),0)-1,MAX(ROW(BOM))))),$N15*$G15),0)</f>
        <v>1.7100000000000001E-4</v>
      </c>
      <c r="P15" s="831" cm="1">
        <f t="array" ref="P15">IFERROR(SUMIF(INDEX($C:$C,ROW()+1):INDEX($C:$C,IFERROR(ROW()+MATCH($C15,INDEX($C:$C,ROW()+1):INDEX($C:$C,MAX(ROW(BOM))),0)-1,MAX(ROW(BOM)))),$C15+1,INDEX($F:$F,ROW()+1):INDEX($F:$F,IFERROR(ROW()+MATCH($C15,INDEX($C:$C,ROW()+1):INDEX($C:$C,MAX(ROW(BOM))),0)-1,MAX(ROW(BOM))))),0)</f>
        <v>0</v>
      </c>
      <c r="Q15" s="821"/>
      <c r="R15" s="847"/>
      <c r="S15" s="33"/>
      <c r="CR15" s="35"/>
      <c r="CS15" s="35"/>
      <c r="EC15" s="805"/>
      <c r="ED15" s="36"/>
      <c r="EE15" s="36"/>
      <c r="EF15" s="36"/>
    </row>
    <row r="16" spans="1:136" s="34" customFormat="1">
      <c r="A16" s="820" t="str">
        <f t="shared" si="0"/>
        <v>01-01-03-09 Rubber</v>
      </c>
      <c r="B16" s="1322" t="s">
        <v>4142</v>
      </c>
      <c r="C16" s="822">
        <v>4</v>
      </c>
      <c r="D16" s="823" t="s">
        <v>4020</v>
      </c>
      <c r="E16" s="822" t="s">
        <v>4262</v>
      </c>
      <c r="F16" s="824">
        <v>2</v>
      </c>
      <c r="G16" s="825">
        <v>1.35E-4</v>
      </c>
      <c r="H16" s="824">
        <v>30</v>
      </c>
      <c r="I16" s="824">
        <v>5</v>
      </c>
      <c r="J16" s="824">
        <v>4</v>
      </c>
      <c r="K16" s="826">
        <v>4</v>
      </c>
      <c r="L16" s="827" t="s">
        <v>904</v>
      </c>
      <c r="M16" s="828">
        <v>1</v>
      </c>
      <c r="N16" s="829" cm="1">
        <f t="array" ref="N16">F16*LOOKUP(100,1/($C$1:INDEX($C:$C,ROW()-1)=$C16-1),$N$1:INDEX($N:$N,ROW()-1))</f>
        <v>2</v>
      </c>
      <c r="O16" s="830" cm="1">
        <f t="array" ref="O16">IFERROR(IF(INDEX($C:$C,ROW()+1)=$C16+1,SUMIF(INDEX($C:$C,ROW()+1):INDEX($C:$C,IFERROR(ROW()+MATCH($C16,INDEX($C:$C,ROW()+1):INDEX($C:$C,MAX(ROW(BOM))),0)-1,MAX(ROW(BOM)))),$C16+1,INDEX($O:$O,ROW()+1):INDEX($O:$O,IFERROR(ROW()+MATCH($C16,INDEX($C:$C,ROW()+1):INDEX($C:$C,MAX(ROW(BOM))),0)-1,MAX(ROW(BOM))))),$N16*$G16),0)</f>
        <v>2.7E-4</v>
      </c>
      <c r="P16" s="831" cm="1">
        <f t="array" ref="P16">IFERROR(SUMIF(INDEX($C:$C,ROW()+1):INDEX($C:$C,IFERROR(ROW()+MATCH($C16,INDEX($C:$C,ROW()+1):INDEX($C:$C,MAX(ROW(BOM))),0)-1,MAX(ROW(BOM)))),$C16+1,INDEX($F:$F,ROW()+1):INDEX($F:$F,IFERROR(ROW()+MATCH($C16,INDEX($C:$C,ROW()+1):INDEX($C:$C,MAX(ROW(BOM))),0)-1,MAX(ROW(BOM))))),0)</f>
        <v>0</v>
      </c>
      <c r="Q16" s="821"/>
      <c r="R16" s="847"/>
      <c r="S16" s="33"/>
      <c r="CR16" s="35"/>
      <c r="CS16" s="35"/>
      <c r="EC16" s="805"/>
      <c r="ED16" s="36"/>
      <c r="EE16" s="36"/>
      <c r="EF16" s="36"/>
    </row>
    <row r="17" spans="1:136" s="34" customFormat="1">
      <c r="A17" s="820" t="str">
        <f t="shared" si="0"/>
        <v>01-01-03-10 Screw</v>
      </c>
      <c r="B17" s="1322" t="s">
        <v>4143</v>
      </c>
      <c r="C17" s="822">
        <v>4</v>
      </c>
      <c r="D17" s="823" t="s">
        <v>4021</v>
      </c>
      <c r="E17" s="822" t="s">
        <v>4124</v>
      </c>
      <c r="F17" s="824">
        <v>1</v>
      </c>
      <c r="G17" s="825">
        <v>2.0000000000000001E-4</v>
      </c>
      <c r="H17" s="824">
        <v>6</v>
      </c>
      <c r="I17" s="824">
        <v>3</v>
      </c>
      <c r="J17" s="824"/>
      <c r="K17" s="826"/>
      <c r="L17" s="827" t="s">
        <v>904</v>
      </c>
      <c r="M17" s="828">
        <v>1</v>
      </c>
      <c r="N17" s="829" cm="1">
        <f t="array" ref="N17">F17*LOOKUP(100,1/($C$1:INDEX($C:$C,ROW()-1)=$C17-1),$N$1:INDEX($N:$N,ROW()-1))</f>
        <v>1</v>
      </c>
      <c r="O17" s="830" cm="1">
        <f t="array" ref="O17">IFERROR(IF(INDEX($C:$C,ROW()+1)=$C17+1,SUMIF(INDEX($C:$C,ROW()+1):INDEX($C:$C,IFERROR(ROW()+MATCH($C17,INDEX($C:$C,ROW()+1):INDEX($C:$C,MAX(ROW(BOM))),0)-1,MAX(ROW(BOM)))),$C17+1,INDEX($O:$O,ROW()+1):INDEX($O:$O,IFERROR(ROW()+MATCH($C17,INDEX($C:$C,ROW()+1):INDEX($C:$C,MAX(ROW(BOM))),0)-1,MAX(ROW(BOM))))),$N17*$G17),0)</f>
        <v>2.0000000000000001E-4</v>
      </c>
      <c r="P17" s="831" cm="1">
        <f t="array" ref="P17">IFERROR(SUMIF(INDEX($C:$C,ROW()+1):INDEX($C:$C,IFERROR(ROW()+MATCH($C17,INDEX($C:$C,ROW()+1):INDEX($C:$C,MAX(ROW(BOM))),0)-1,MAX(ROW(BOM)))),$C17+1,INDEX($F:$F,ROW()+1):INDEX($F:$F,IFERROR(ROW()+MATCH($C17,INDEX($C:$C,ROW()+1):INDEX($C:$C,MAX(ROW(BOM))),0)-1,MAX(ROW(BOM))))),0)</f>
        <v>0</v>
      </c>
      <c r="Q17" s="821"/>
      <c r="R17" s="847"/>
      <c r="S17" s="33"/>
      <c r="CR17" s="35"/>
      <c r="CS17" s="35"/>
      <c r="EC17" s="805"/>
      <c r="ED17" s="36"/>
      <c r="EE17" s="36"/>
      <c r="EF17" s="36"/>
    </row>
    <row r="18" spans="1:136" s="34" customFormat="1">
      <c r="A18" s="820" t="str">
        <f t="shared" si="0"/>
        <v>01-01-03-11 Reflective foil Stamped</v>
      </c>
      <c r="B18" s="1322" t="s">
        <v>4144</v>
      </c>
      <c r="C18" s="822">
        <v>4</v>
      </c>
      <c r="D18" s="823" t="s">
        <v>4222</v>
      </c>
      <c r="E18" s="822" t="s">
        <v>4227</v>
      </c>
      <c r="F18" s="824">
        <v>1</v>
      </c>
      <c r="G18" s="825">
        <v>2.9999999999999997E-4</v>
      </c>
      <c r="H18" s="824">
        <v>165</v>
      </c>
      <c r="I18" s="824">
        <v>36</v>
      </c>
      <c r="J18" s="824"/>
      <c r="K18" s="826">
        <v>0.2</v>
      </c>
      <c r="L18" s="827"/>
      <c r="M18" s="828">
        <v>1</v>
      </c>
      <c r="N18" s="829" cm="1">
        <f t="array" ref="N18">F18*LOOKUP(100,1/($C$1:INDEX($C:$C,ROW()-1)=$C18-1),$N$1:INDEX($N:$N,ROW()-1))</f>
        <v>1</v>
      </c>
      <c r="O18" s="830" cm="1">
        <f t="array" ref="O18">IFERROR(IF(INDEX($C:$C,ROW()+1)=$C18+1,SUMIF(INDEX($C:$C,ROW()+1):INDEX($C:$C,IFERROR(ROW()+MATCH($C18,INDEX($C:$C,ROW()+1):INDEX($C:$C,MAX(ROW(BOM))),0)-1,MAX(ROW(BOM)))),$C18+1,INDEX($O:$O,ROW()+1):INDEX($O:$O,IFERROR(ROW()+MATCH($C18,INDEX($C:$C,ROW()+1):INDEX($C:$C,MAX(ROW(BOM))),0)-1,MAX(ROW(BOM))))),$N18*$G18),0)</f>
        <v>2.9999999999999997E-4</v>
      </c>
      <c r="P18" s="831" cm="1">
        <f t="array" ref="P18">IFERROR(SUMIF(INDEX($C:$C,ROW()+1):INDEX($C:$C,IFERROR(ROW()+MATCH($C18,INDEX($C:$C,ROW()+1):INDEX($C:$C,MAX(ROW(BOM))),0)-1,MAX(ROW(BOM)))),$C18+1,INDEX($F:$F,ROW()+1):INDEX($F:$F,IFERROR(ROW()+MATCH($C18,INDEX($C:$C,ROW()+1):INDEX($C:$C,MAX(ROW(BOM))),0)-1,MAX(ROW(BOM))))),0)</f>
        <v>0</v>
      </c>
      <c r="Q18" s="821"/>
      <c r="R18" s="847"/>
      <c r="S18" s="33"/>
      <c r="CR18" s="35"/>
      <c r="CS18" s="35"/>
      <c r="EC18" s="805"/>
      <c r="ED18" s="36"/>
      <c r="EE18" s="36"/>
      <c r="EF18" s="36"/>
    </row>
    <row r="19" spans="1:136" s="34" customFormat="1">
      <c r="A19" s="820" t="str">
        <f t="shared" si="0"/>
        <v>01-01-03-12 Reflective foil Unstamped</v>
      </c>
      <c r="B19" s="1322" t="s">
        <v>4145</v>
      </c>
      <c r="C19" s="822">
        <v>4</v>
      </c>
      <c r="D19" s="823" t="s">
        <v>4223</v>
      </c>
      <c r="E19" s="822" t="s">
        <v>4227</v>
      </c>
      <c r="F19" s="824">
        <v>1</v>
      </c>
      <c r="G19" s="825">
        <v>8.9999999999999998E-4</v>
      </c>
      <c r="H19" s="824">
        <v>165</v>
      </c>
      <c r="I19" s="824">
        <v>36</v>
      </c>
      <c r="J19" s="824"/>
      <c r="K19" s="826">
        <v>0.2</v>
      </c>
      <c r="L19" s="827"/>
      <c r="M19" s="828">
        <v>1</v>
      </c>
      <c r="N19" s="829" cm="1">
        <f t="array" ref="N19">F19*LOOKUP(100,1/($C$1:INDEX($C:$C,ROW()-1)=$C19-1),$N$1:INDEX($N:$N,ROW()-1))</f>
        <v>1</v>
      </c>
      <c r="O19" s="830" cm="1">
        <f t="array" ref="O19">IFERROR(IF(INDEX($C:$C,ROW()+1)=$C19+1,SUMIF(INDEX($C:$C,ROW()+1):INDEX($C:$C,IFERROR(ROW()+MATCH($C19,INDEX($C:$C,ROW()+1):INDEX($C:$C,MAX(ROW(BOM))),0)-1,MAX(ROW(BOM)))),$C19+1,INDEX($O:$O,ROW()+1):INDEX($O:$O,IFERROR(ROW()+MATCH($C19,INDEX($C:$C,ROW()+1):INDEX($C:$C,MAX(ROW(BOM))),0)-1,MAX(ROW(BOM))))),$N19*$G19),0)</f>
        <v>8.9999999999999998E-4</v>
      </c>
      <c r="P19" s="831" cm="1">
        <f t="array" ref="P19">IFERROR(SUMIF(INDEX($C:$C,ROW()+1):INDEX($C:$C,IFERROR(ROW()+MATCH($C19,INDEX($C:$C,ROW()+1):INDEX($C:$C,MAX(ROW(BOM))),0)-1,MAX(ROW(BOM)))),$C19+1,INDEX($F:$F,ROW()+1):INDEX($F:$F,IFERROR(ROW()+MATCH($C19,INDEX($C:$C,ROW()+1):INDEX($C:$C,MAX(ROW(BOM))),0)-1,MAX(ROW(BOM))))),0)</f>
        <v>0</v>
      </c>
      <c r="Q19" s="821"/>
      <c r="R19" s="847"/>
      <c r="S19" s="33"/>
      <c r="CR19" s="35"/>
      <c r="CS19" s="35"/>
      <c r="EC19" s="805"/>
      <c r="ED19" s="36"/>
      <c r="EE19" s="36"/>
      <c r="EF19" s="36"/>
    </row>
    <row r="20" spans="1:136" s="34" customFormat="1">
      <c r="A20" s="820" t="str">
        <f t="shared" si="0"/>
        <v xml:space="preserve">01-01-03-13 Light Guide </v>
      </c>
      <c r="B20" s="1322" t="s">
        <v>4146</v>
      </c>
      <c r="C20" s="822">
        <v>4</v>
      </c>
      <c r="D20" s="823" t="s">
        <v>4224</v>
      </c>
      <c r="E20" s="822" t="s">
        <v>4233</v>
      </c>
      <c r="F20" s="824">
        <v>1</v>
      </c>
      <c r="G20" s="825">
        <v>1.52E-2</v>
      </c>
      <c r="H20" s="824">
        <v>165</v>
      </c>
      <c r="I20" s="824">
        <v>36</v>
      </c>
      <c r="J20" s="824"/>
      <c r="K20" s="826">
        <v>2.2000000000000002</v>
      </c>
      <c r="L20" s="827"/>
      <c r="M20" s="828">
        <v>1</v>
      </c>
      <c r="N20" s="829" cm="1">
        <f t="array" ref="N20">F20*LOOKUP(100,1/($C$1:INDEX($C:$C,ROW()-1)=$C20-1),$N$1:INDEX($N:$N,ROW()-1))</f>
        <v>1</v>
      </c>
      <c r="O20" s="830" cm="1">
        <f t="array" ref="O20">IFERROR(IF(INDEX($C:$C,ROW()+1)=$C20+1,SUMIF(INDEX($C:$C,ROW()+1):INDEX($C:$C,IFERROR(ROW()+MATCH($C20,INDEX($C:$C,ROW()+1):INDEX($C:$C,MAX(ROW(BOM))),0)-1,MAX(ROW(BOM)))),$C20+1,INDEX($O:$O,ROW()+1):INDEX($O:$O,IFERROR(ROW()+MATCH($C20,INDEX($C:$C,ROW()+1):INDEX($C:$C,MAX(ROW(BOM))),0)-1,MAX(ROW(BOM))))),$N20*$G20),0)</f>
        <v>1.52E-2</v>
      </c>
      <c r="P20" s="831" cm="1">
        <f t="array" ref="P20">IFERROR(SUMIF(INDEX($C:$C,ROW()+1):INDEX($C:$C,IFERROR(ROW()+MATCH($C20,INDEX($C:$C,ROW()+1):INDEX($C:$C,MAX(ROW(BOM))),0)-1,MAX(ROW(BOM)))),$C20+1,INDEX($F:$F,ROW()+1):INDEX($F:$F,IFERROR(ROW()+MATCH($C20,INDEX($C:$C,ROW()+1):INDEX($C:$C,MAX(ROW(BOM))),0)-1,MAX(ROW(BOM))))),0)</f>
        <v>0</v>
      </c>
      <c r="Q20" s="821"/>
      <c r="R20" s="847"/>
      <c r="S20" s="33"/>
      <c r="CR20" s="35"/>
      <c r="CS20" s="35"/>
      <c r="EC20" s="805"/>
      <c r="ED20" s="36"/>
      <c r="EE20" s="36"/>
      <c r="EF20" s="36"/>
    </row>
    <row r="21" spans="1:136" s="34" customFormat="1">
      <c r="A21" s="820" t="str">
        <f t="shared" si="0"/>
        <v>01-01-03-14 Diffusion Foil</v>
      </c>
      <c r="B21" s="1322" t="s">
        <v>4147</v>
      </c>
      <c r="C21" s="822">
        <v>4</v>
      </c>
      <c r="D21" s="823" t="s">
        <v>4225</v>
      </c>
      <c r="E21" s="822" t="s">
        <v>4227</v>
      </c>
      <c r="F21" s="824">
        <v>1</v>
      </c>
      <c r="G21" s="825">
        <v>1.6000000000000001E-3</v>
      </c>
      <c r="H21" s="824">
        <v>165</v>
      </c>
      <c r="I21" s="824">
        <v>36</v>
      </c>
      <c r="J21" s="824"/>
      <c r="K21" s="826">
        <v>0.25</v>
      </c>
      <c r="L21" s="827"/>
      <c r="M21" s="828">
        <v>1</v>
      </c>
      <c r="N21" s="829" cm="1">
        <f t="array" ref="N21">F21*LOOKUP(100,1/($C$1:INDEX($C:$C,ROW()-1)=$C21-1),$N$1:INDEX($N:$N,ROW()-1))</f>
        <v>1</v>
      </c>
      <c r="O21" s="830" cm="1">
        <f t="array" ref="O21">IFERROR(IF(INDEX($C:$C,ROW()+1)=$C21+1,SUMIF(INDEX($C:$C,ROW()+1):INDEX($C:$C,IFERROR(ROW()+MATCH($C21,INDEX($C:$C,ROW()+1):INDEX($C:$C,MAX(ROW(BOM))),0)-1,MAX(ROW(BOM)))),$C21+1,INDEX($O:$O,ROW()+1):INDEX($O:$O,IFERROR(ROW()+MATCH($C21,INDEX($C:$C,ROW()+1):INDEX($C:$C,MAX(ROW(BOM))),0)-1,MAX(ROW(BOM))))),$N21*$G21),0)</f>
        <v>1.6000000000000001E-3</v>
      </c>
      <c r="P21" s="831" cm="1">
        <f t="array" ref="P21">IFERROR(SUMIF(INDEX($C:$C,ROW()+1):INDEX($C:$C,IFERROR(ROW()+MATCH($C21,INDEX($C:$C,ROW()+1):INDEX($C:$C,MAX(ROW(BOM))),0)-1,MAX(ROW(BOM)))),$C21+1,INDEX($F:$F,ROW()+1):INDEX($F:$F,IFERROR(ROW()+MATCH($C21,INDEX($C:$C,ROW()+1):INDEX($C:$C,MAX(ROW(BOM))),0)-1,MAX(ROW(BOM))))),0)</f>
        <v>0</v>
      </c>
      <c r="Q21" s="821"/>
      <c r="R21" s="847"/>
      <c r="S21" s="33"/>
      <c r="CR21" s="35"/>
      <c r="CS21" s="35"/>
      <c r="EC21" s="805"/>
      <c r="ED21" s="36"/>
      <c r="EE21" s="36"/>
      <c r="EF21" s="36"/>
    </row>
    <row r="22" spans="1:136" s="34" customFormat="1">
      <c r="A22" s="820" t="str">
        <f t="shared" si="0"/>
        <v xml:space="preserve">01-01-03-15 Light Enhancement Foil </v>
      </c>
      <c r="B22" s="1322" t="s">
        <v>4148</v>
      </c>
      <c r="C22" s="822">
        <v>4</v>
      </c>
      <c r="D22" s="823" t="s">
        <v>4226</v>
      </c>
      <c r="E22" s="822" t="s">
        <v>4227</v>
      </c>
      <c r="F22" s="824">
        <v>1</v>
      </c>
      <c r="G22" s="825">
        <v>1E-3</v>
      </c>
      <c r="H22" s="824">
        <v>165</v>
      </c>
      <c r="I22" s="824">
        <v>36</v>
      </c>
      <c r="J22" s="824"/>
      <c r="K22" s="826">
        <v>0.1</v>
      </c>
      <c r="L22" s="827"/>
      <c r="M22" s="828">
        <v>1</v>
      </c>
      <c r="N22" s="829" cm="1">
        <f t="array" ref="N22">F22*LOOKUP(100,1/($C$1:INDEX($C:$C,ROW()-1)=$C22-1),$N$1:INDEX($N:$N,ROW()-1))</f>
        <v>1</v>
      </c>
      <c r="O22" s="830" cm="1">
        <f t="array" ref="O22">IFERROR(IF(INDEX($C:$C,ROW()+1)=$C22+1,SUMIF(INDEX($C:$C,ROW()+1):INDEX($C:$C,IFERROR(ROW()+MATCH($C22,INDEX($C:$C,ROW()+1):INDEX($C:$C,MAX(ROW(BOM))),0)-1,MAX(ROW(BOM)))),$C22+1,INDEX($O:$O,ROW()+1):INDEX($O:$O,IFERROR(ROW()+MATCH($C22,INDEX($C:$C,ROW()+1):INDEX($C:$C,MAX(ROW(BOM))),0)-1,MAX(ROW(BOM))))),$N22*$G22),0)</f>
        <v>1E-3</v>
      </c>
      <c r="P22" s="831" cm="1">
        <f t="array" ref="P22">IFERROR(SUMIF(INDEX($C:$C,ROW()+1):INDEX($C:$C,IFERROR(ROW()+MATCH($C22,INDEX($C:$C,ROW()+1):INDEX($C:$C,MAX(ROW(BOM))),0)-1,MAX(ROW(BOM)))),$C22+1,INDEX($F:$F,ROW()+1):INDEX($F:$F,IFERROR(ROW()+MATCH($C22,INDEX($C:$C,ROW()+1):INDEX($C:$C,MAX(ROW(BOM))),0)-1,MAX(ROW(BOM))))),0)</f>
        <v>0</v>
      </c>
      <c r="Q22" s="821"/>
      <c r="R22" s="847"/>
      <c r="S22" s="33"/>
      <c r="CR22" s="35"/>
      <c r="CS22" s="35"/>
      <c r="EC22" s="805"/>
      <c r="ED22" s="36"/>
      <c r="EE22" s="36"/>
      <c r="EF22" s="36"/>
    </row>
  </sheetData>
  <protectedRanges>
    <protectedRange sqref="A3:R22" name="BOM"/>
  </protectedRanges>
  <mergeCells count="2">
    <mergeCell ref="N1:O1"/>
    <mergeCell ref="H1:K1"/>
  </mergeCells>
  <phoneticPr fontId="40" type="noConversion"/>
  <dataValidations count="4">
    <dataValidation type="whole" operator="equal" allowBlank="1" showInputMessage="1" showErrorMessage="1" sqref="C3" xr:uid="{0FC6541D-D153-4FEC-9037-613355B1E279}">
      <formula1>1</formula1>
    </dataValidation>
    <dataValidation type="list" allowBlank="1" sqref="E3" xr:uid="{D081622F-C783-4C10-929A-CA1DDC24E69B}">
      <formula1>MAT_Dropdown</formula1>
    </dataValidation>
    <dataValidation type="list" allowBlank="1" showInputMessage="1" sqref="E4:E22" xr:uid="{CC990555-62FC-4D49-8997-688196C286D6}">
      <formula1>MAT_Dropdown</formula1>
    </dataValidation>
    <dataValidation type="whole" operator="greaterThan" allowBlank="1" showInputMessage="1" showErrorMessage="1" sqref="C4:C22" xr:uid="{27A07FA1-B71D-4E34-9B16-2CB3FDB979F1}">
      <formula1>1</formula1>
    </dataValidation>
  </dataValidations>
  <printOptions horizontalCentered="1"/>
  <pageMargins left="0.70866141732283472" right="0.70866141732283472" top="0.78740157480314965" bottom="0.78740157480314965" header="0.31496062992125984" footer="0.31496062992125984"/>
  <pageSetup paperSize="9" scale="65" orientation="landscape" r:id="rId1"/>
  <headerFooter>
    <oddHeader>&amp;C&amp;"Arial,Fett" Vertraulich</oddHeader>
    <oddFooter>&amp;L&amp;D&amp;CAWS Systemtechnik GmbH&amp;RSeite &amp;P &amp; von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Calculation">
    <tabColor theme="8"/>
    <outlinePr summaryBelow="0"/>
    <pageSetUpPr fitToPage="1"/>
  </sheetPr>
  <dimension ref="A1:FM192"/>
  <sheetViews>
    <sheetView showGridLines="0" showZeros="0" tabSelected="1" zoomScaleNormal="100" workbookViewId="0">
      <pane xSplit="4" ySplit="11" topLeftCell="S84" activePane="bottomRight" state="frozen"/>
      <selection activeCell="D355" sqref="D355"/>
      <selection pane="topRight" activeCell="D355" sqref="D355"/>
      <selection pane="bottomLeft" activeCell="D355" sqref="D355"/>
      <selection pane="bottomRight" activeCell="AQ93" sqref="AQ93"/>
    </sheetView>
  </sheetViews>
  <sheetFormatPr baseColWidth="10" defaultColWidth="10.85546875" defaultRowHeight="12.75"/>
  <cols>
    <col min="1" max="1" width="1.7109375" style="44" customWidth="1"/>
    <col min="2" max="2" width="49.7109375" style="64" bestFit="1" customWidth="1"/>
    <col min="3" max="3" width="15.7109375" style="64" bestFit="1" customWidth="1"/>
    <col min="4" max="4" width="6.7109375" style="76" customWidth="1"/>
    <col min="5" max="5" width="58.28515625" style="64" bestFit="1" customWidth="1"/>
    <col min="6" max="13" width="6.7109375" style="73" customWidth="1"/>
    <col min="14" max="17" width="6.7109375" style="73" hidden="1" customWidth="1"/>
    <col min="18" max="20" width="6.7109375" style="73" customWidth="1"/>
    <col min="21" max="21" width="6.7109375" style="73" hidden="1" customWidth="1"/>
    <col min="22" max="22" width="6.7109375" style="64" customWidth="1"/>
    <col min="23" max="23" width="18.7109375" style="64" hidden="1" customWidth="1"/>
    <col min="24" max="24" width="6.7109375" style="64" hidden="1" customWidth="1"/>
    <col min="25" max="26" width="9.7109375" style="64" hidden="1" customWidth="1"/>
    <col min="27" max="27" width="6.7109375" style="64" hidden="1" customWidth="1"/>
    <col min="28" max="28" width="18.7109375" style="64" hidden="1" customWidth="1"/>
    <col min="29" max="39" width="6.7109375" style="64" hidden="1" customWidth="1"/>
    <col min="40" max="40" width="6.7109375" style="73" hidden="1" customWidth="1"/>
    <col min="41" max="42" width="6.7109375" style="64" hidden="1" customWidth="1"/>
    <col min="43" max="43" width="32.7109375" style="64" customWidth="1"/>
    <col min="44" max="44" width="13.7109375" style="64" customWidth="1"/>
    <col min="45" max="46" width="6.7109375" style="64" customWidth="1"/>
    <col min="47" max="47" width="12.7109375" style="64" customWidth="1"/>
    <col min="48" max="49" width="6.7109375" style="64" hidden="1" customWidth="1"/>
    <col min="50" max="50" width="7.42578125" style="64" hidden="1" customWidth="1"/>
    <col min="51" max="51" width="7.42578125" style="73" hidden="1" customWidth="1"/>
    <col min="52" max="52" width="7.42578125" style="64" hidden="1" customWidth="1"/>
    <col min="53" max="59" width="6.7109375" style="64" hidden="1" customWidth="1"/>
    <col min="60" max="60" width="7.42578125" style="64" hidden="1" customWidth="1"/>
    <col min="61" max="66" width="6.7109375" style="64" hidden="1" customWidth="1"/>
    <col min="67" max="67" width="7.42578125" style="64" hidden="1" customWidth="1"/>
    <col min="68" max="70" width="6.7109375" style="77" hidden="1" customWidth="1"/>
    <col min="71" max="71" width="11.5703125" style="78" customWidth="1"/>
    <col min="72" max="72" width="10.7109375" style="77" customWidth="1"/>
    <col min="73" max="73" width="6.7109375" style="79" customWidth="1"/>
    <col min="74" max="76" width="9.7109375" style="80" customWidth="1"/>
    <col min="77" max="77" width="1.7109375" style="81" customWidth="1"/>
    <col min="78" max="78" width="5.28515625" style="96" customWidth="1"/>
    <col min="79" max="79" width="2.7109375" style="83" hidden="1" customWidth="1"/>
    <col min="80" max="80" width="2.7109375" style="84" hidden="1" customWidth="1"/>
    <col min="81" max="90" width="2.7109375" style="85" hidden="1" customWidth="1"/>
    <col min="91" max="91" width="4.7109375" style="85" hidden="1" customWidth="1"/>
    <col min="92" max="92" width="4.7109375" style="138" hidden="1" customWidth="1"/>
    <col min="93" max="93" width="4.7109375" style="139" hidden="1" customWidth="1"/>
    <col min="94" max="94" width="5.28515625" style="138" hidden="1" customWidth="1"/>
    <col min="95" max="96" width="4.7109375" style="140" hidden="1" customWidth="1"/>
    <col min="97" max="97" width="4.7109375" style="141" hidden="1" customWidth="1"/>
    <col min="98" max="98" width="12.7109375" style="947" hidden="1" customWidth="1"/>
    <col min="99" max="99" width="1.85546875" style="64" hidden="1" customWidth="1"/>
    <col min="100" max="106" width="6.7109375" style="73" hidden="1" customWidth="1"/>
    <col min="107" max="107" width="6.7109375" style="72" hidden="1" customWidth="1"/>
    <col min="108" max="110" width="6.7109375" style="73" hidden="1" customWidth="1"/>
    <col min="111" max="114" width="6.7109375" style="72" hidden="1" customWidth="1"/>
    <col min="115" max="124" width="6.7109375" style="73" hidden="1" customWidth="1"/>
    <col min="125" max="126" width="6.7109375" style="73" hidden="1" customWidth="1" collapsed="1"/>
    <col min="127" max="130" width="6.7109375" style="73" hidden="1" customWidth="1"/>
    <col min="131" max="132" width="6.7109375" style="73" hidden="1" customWidth="1" collapsed="1"/>
    <col min="133" max="133" width="1.85546875" style="64" hidden="1" customWidth="1"/>
    <col min="134" max="153" width="8.7109375" style="92" hidden="1" customWidth="1"/>
    <col min="154" max="154" width="8.7109375" style="93" hidden="1" customWidth="1"/>
    <col min="155" max="164" width="0.140625" style="64" customWidth="1"/>
    <col min="165" max="165" width="1.85546875" style="64" hidden="1" customWidth="1"/>
    <col min="166" max="166" width="12.7109375" style="73" hidden="1" customWidth="1"/>
    <col min="167" max="168" width="2.7109375" style="73" hidden="1" customWidth="1"/>
    <col min="169" max="169" width="9.28515625" style="947" hidden="1" customWidth="1"/>
    <col min="170" max="170" width="2.7109375" style="64" customWidth="1"/>
    <col min="171" max="16384" width="10.85546875" style="64"/>
  </cols>
  <sheetData>
    <row r="1" spans="1:169" ht="4.5" customHeight="1">
      <c r="B1" s="45"/>
      <c r="C1" s="45"/>
      <c r="D1" s="46"/>
      <c r="E1" s="45"/>
      <c r="F1" s="47"/>
      <c r="G1" s="47"/>
      <c r="H1" s="47"/>
      <c r="I1" s="47"/>
      <c r="J1" s="47"/>
      <c r="K1" s="47"/>
      <c r="L1" s="47"/>
      <c r="M1" s="47"/>
      <c r="N1" s="47"/>
      <c r="O1" s="47"/>
      <c r="P1" s="47"/>
      <c r="Q1" s="47"/>
      <c r="R1" s="47"/>
      <c r="S1" s="47"/>
      <c r="T1" s="47"/>
      <c r="U1" s="47"/>
      <c r="V1" s="45"/>
      <c r="W1" s="45"/>
      <c r="X1" s="45"/>
      <c r="Y1" s="45"/>
      <c r="Z1" s="45"/>
      <c r="AA1" s="45"/>
      <c r="AB1" s="45"/>
      <c r="AC1" s="45"/>
      <c r="AD1" s="45"/>
      <c r="AE1" s="45"/>
      <c r="AF1" s="45"/>
      <c r="AG1" s="45"/>
      <c r="AH1" s="45"/>
      <c r="AI1" s="45"/>
      <c r="AJ1" s="45"/>
      <c r="AK1" s="45"/>
      <c r="AL1" s="45"/>
      <c r="AM1" s="45"/>
      <c r="AN1" s="47"/>
      <c r="AO1" s="45"/>
      <c r="AP1" s="45"/>
      <c r="AQ1" s="45"/>
      <c r="AR1" s="45"/>
      <c r="AS1" s="45"/>
      <c r="AT1" s="45"/>
      <c r="AU1" s="45"/>
      <c r="AV1" s="45"/>
      <c r="AW1" s="45"/>
      <c r="AX1" s="45"/>
      <c r="AY1" s="47"/>
      <c r="AZ1" s="45"/>
      <c r="BA1" s="45"/>
      <c r="BB1" s="45"/>
      <c r="BC1" s="45"/>
      <c r="BD1" s="45"/>
      <c r="BE1" s="45"/>
      <c r="BF1" s="45"/>
      <c r="BG1" s="45"/>
      <c r="BH1" s="45"/>
      <c r="BI1" s="45"/>
      <c r="BJ1" s="45"/>
      <c r="BK1" s="45"/>
      <c r="BL1" s="45"/>
      <c r="BM1" s="45"/>
      <c r="BN1" s="45"/>
      <c r="BO1" s="45"/>
      <c r="BP1" s="48"/>
      <c r="BQ1" s="48"/>
      <c r="BR1" s="48"/>
      <c r="BS1" s="49"/>
      <c r="BT1" s="48"/>
      <c r="BU1" s="50"/>
      <c r="BV1" s="51"/>
      <c r="BW1" s="51"/>
      <c r="BX1" s="51"/>
      <c r="BY1" s="52"/>
      <c r="BZ1" s="53"/>
      <c r="CA1" s="54"/>
      <c r="CB1" s="55"/>
      <c r="CC1" s="56"/>
      <c r="CD1" s="56"/>
      <c r="CE1" s="56"/>
      <c r="CF1" s="56"/>
      <c r="CG1" s="56"/>
      <c r="CH1" s="56"/>
      <c r="CI1" s="56"/>
      <c r="CJ1" s="56"/>
      <c r="CK1" s="56"/>
      <c r="CL1" s="56"/>
      <c r="CM1" s="56"/>
      <c r="CN1" s="57"/>
      <c r="CO1" s="58"/>
      <c r="CP1" s="57"/>
      <c r="CQ1" s="59"/>
      <c r="CR1" s="59"/>
      <c r="CS1" s="60"/>
      <c r="CT1" s="944"/>
      <c r="CU1" s="45"/>
      <c r="CV1" s="47"/>
      <c r="CW1" s="47"/>
      <c r="CX1" s="47"/>
      <c r="CY1" s="47"/>
      <c r="CZ1" s="47"/>
      <c r="DA1" s="47"/>
      <c r="DB1" s="47"/>
      <c r="DC1" s="61"/>
      <c r="DD1" s="47"/>
      <c r="DE1" s="47"/>
      <c r="DF1" s="47"/>
      <c r="DG1" s="61"/>
      <c r="DH1" s="61"/>
      <c r="DI1" s="61"/>
      <c r="DJ1" s="61"/>
      <c r="DK1" s="47"/>
      <c r="DL1" s="47"/>
      <c r="DM1" s="47"/>
      <c r="DN1" s="47"/>
      <c r="DO1" s="47"/>
      <c r="DP1" s="47"/>
      <c r="DQ1" s="47"/>
      <c r="DR1" s="47"/>
      <c r="DS1" s="47"/>
      <c r="DT1" s="47"/>
      <c r="DU1" s="47"/>
      <c r="DV1" s="47"/>
      <c r="DW1" s="47"/>
      <c r="DX1" s="47"/>
      <c r="DY1" s="47"/>
      <c r="DZ1" s="47"/>
      <c r="EA1" s="47"/>
      <c r="EB1" s="47"/>
      <c r="EC1" s="45"/>
      <c r="ED1" s="62"/>
      <c r="EE1" s="62"/>
      <c r="EF1" s="62"/>
      <c r="EG1" s="62"/>
      <c r="EH1" s="62"/>
      <c r="EI1" s="62"/>
      <c r="EJ1" s="62"/>
      <c r="EK1" s="62"/>
      <c r="EL1" s="62"/>
      <c r="EM1" s="62"/>
      <c r="EN1" s="62"/>
      <c r="EO1" s="62"/>
      <c r="EP1" s="62"/>
      <c r="EQ1" s="62"/>
      <c r="ER1" s="62"/>
      <c r="ES1" s="62"/>
      <c r="ET1" s="62"/>
      <c r="EU1" s="62"/>
      <c r="EV1" s="62"/>
      <c r="EW1" s="62"/>
      <c r="EX1" s="63"/>
      <c r="EY1" s="45"/>
      <c r="EZ1" s="45"/>
      <c r="FA1" s="45"/>
      <c r="FB1" s="45"/>
      <c r="FC1" s="45"/>
      <c r="FD1" s="45"/>
      <c r="FE1" s="45"/>
      <c r="FF1" s="45"/>
      <c r="FG1" s="45"/>
      <c r="FH1" s="45"/>
      <c r="FI1" s="45"/>
      <c r="FJ1" s="47"/>
      <c r="FK1" s="47"/>
      <c r="FL1" s="47"/>
      <c r="FM1" s="944"/>
    </row>
    <row r="2" spans="1:169" s="65" customFormat="1" ht="4.5" customHeight="1">
      <c r="D2" s="66"/>
      <c r="E2" s="65" t="s">
        <v>3266</v>
      </c>
      <c r="F2" s="65" t="s">
        <v>529</v>
      </c>
      <c r="G2" s="65" t="s">
        <v>529</v>
      </c>
      <c r="H2" s="65" t="s">
        <v>529</v>
      </c>
      <c r="I2" s="65" t="s">
        <v>529</v>
      </c>
      <c r="J2" s="65" t="s">
        <v>530</v>
      </c>
      <c r="K2" s="65" t="s">
        <v>529</v>
      </c>
      <c r="L2" s="65" t="s">
        <v>529</v>
      </c>
      <c r="M2" s="65" t="s">
        <v>529</v>
      </c>
      <c r="N2" s="65">
        <v>1</v>
      </c>
      <c r="O2" s="65">
        <v>1</v>
      </c>
      <c r="P2" s="65" t="s">
        <v>256</v>
      </c>
      <c r="Q2" s="65" t="s">
        <v>256</v>
      </c>
      <c r="R2" s="65" t="s">
        <v>530</v>
      </c>
      <c r="S2" s="65" t="s">
        <v>529</v>
      </c>
      <c r="T2" s="65" t="s">
        <v>529</v>
      </c>
      <c r="U2" s="65" t="s">
        <v>256</v>
      </c>
      <c r="V2" s="65" t="s">
        <v>530</v>
      </c>
      <c r="W2" s="65">
        <v>2</v>
      </c>
      <c r="X2" s="65">
        <v>2</v>
      </c>
      <c r="Y2" s="65">
        <v>2</v>
      </c>
      <c r="Z2" s="65">
        <v>2</v>
      </c>
      <c r="AA2" s="65">
        <v>2</v>
      </c>
      <c r="AB2" s="65">
        <v>3</v>
      </c>
      <c r="AC2" s="65">
        <v>3</v>
      </c>
      <c r="AD2" s="65">
        <v>3</v>
      </c>
      <c r="AE2" s="65">
        <v>3</v>
      </c>
      <c r="AF2" s="65">
        <v>3</v>
      </c>
      <c r="AG2" s="65" t="s">
        <v>256</v>
      </c>
      <c r="AH2" s="65">
        <v>4</v>
      </c>
      <c r="AI2" s="65">
        <v>4</v>
      </c>
      <c r="AJ2" s="65">
        <v>4</v>
      </c>
      <c r="AK2" s="65">
        <v>4</v>
      </c>
      <c r="AL2" s="65" t="s">
        <v>256</v>
      </c>
      <c r="AM2" s="65" t="s">
        <v>256</v>
      </c>
      <c r="AN2" s="65" t="s">
        <v>256</v>
      </c>
      <c r="AO2" s="65" t="s">
        <v>256</v>
      </c>
      <c r="AP2" s="65" t="s">
        <v>256</v>
      </c>
      <c r="AQ2" s="65" t="s">
        <v>529</v>
      </c>
      <c r="AR2" s="65" t="s">
        <v>529</v>
      </c>
      <c r="AS2" s="65" t="s">
        <v>529</v>
      </c>
      <c r="AT2" s="65" t="s">
        <v>529</v>
      </c>
      <c r="AU2" s="65" t="s">
        <v>530</v>
      </c>
      <c r="AV2" s="65" t="s">
        <v>256</v>
      </c>
      <c r="AW2" s="65">
        <v>5</v>
      </c>
      <c r="AX2" s="65" t="s">
        <v>256</v>
      </c>
      <c r="AY2" s="65" t="s">
        <v>256</v>
      </c>
      <c r="AZ2" s="65" t="s">
        <v>256</v>
      </c>
      <c r="BA2" s="65" t="s">
        <v>256</v>
      </c>
      <c r="BB2" s="65" t="s">
        <v>256</v>
      </c>
      <c r="BC2" s="65">
        <v>-1</v>
      </c>
      <c r="BD2" s="65">
        <v>-1</v>
      </c>
      <c r="BE2" s="65">
        <v>-1</v>
      </c>
      <c r="BF2" s="65">
        <v>-1</v>
      </c>
      <c r="BG2" s="65" t="s">
        <v>3854</v>
      </c>
      <c r="BH2" s="65" t="s">
        <v>3854</v>
      </c>
      <c r="BI2" s="65" t="s">
        <v>256</v>
      </c>
      <c r="BJ2" s="65">
        <v>-1</v>
      </c>
      <c r="BK2" s="65">
        <v>-1</v>
      </c>
      <c r="BL2" s="65">
        <v>-1</v>
      </c>
      <c r="BM2" s="65">
        <v>-1</v>
      </c>
      <c r="BN2" s="65" t="s">
        <v>3854</v>
      </c>
      <c r="BO2" s="65" t="s">
        <v>3854</v>
      </c>
      <c r="BP2" s="65">
        <v>6</v>
      </c>
      <c r="BQ2" s="65">
        <v>6</v>
      </c>
      <c r="BR2" s="65">
        <v>6</v>
      </c>
      <c r="BS2" s="65" t="s">
        <v>529</v>
      </c>
      <c r="BT2" s="65" t="s">
        <v>529</v>
      </c>
      <c r="BU2" s="65" t="s">
        <v>529</v>
      </c>
      <c r="BV2" s="65" t="s">
        <v>529</v>
      </c>
      <c r="BW2" s="65" t="s">
        <v>529</v>
      </c>
      <c r="BX2" s="65">
        <v>7</v>
      </c>
      <c r="CA2" s="67" t="s">
        <v>142</v>
      </c>
      <c r="CB2" s="68" t="s">
        <v>142</v>
      </c>
      <c r="CC2" s="65" t="s">
        <v>142</v>
      </c>
      <c r="CD2" s="65" t="s">
        <v>142</v>
      </c>
      <c r="CE2" s="65" t="s">
        <v>142</v>
      </c>
      <c r="CF2" s="65" t="s">
        <v>142</v>
      </c>
      <c r="CG2" s="65" t="s">
        <v>142</v>
      </c>
      <c r="CH2" s="65" t="s">
        <v>142</v>
      </c>
      <c r="CI2" s="65" t="s">
        <v>142</v>
      </c>
      <c r="CJ2" s="65" t="s">
        <v>142</v>
      </c>
      <c r="CK2" s="65" t="s">
        <v>142</v>
      </c>
      <c r="CL2" s="65" t="s">
        <v>142</v>
      </c>
      <c r="CM2" s="65" t="s">
        <v>142</v>
      </c>
      <c r="CN2" s="1160" t="s">
        <v>142</v>
      </c>
      <c r="CO2" s="65" t="s">
        <v>142</v>
      </c>
      <c r="CP2" s="1160" t="s">
        <v>142</v>
      </c>
      <c r="CQ2" s="1161" t="s">
        <v>142</v>
      </c>
      <c r="CR2" s="1161" t="s">
        <v>142</v>
      </c>
      <c r="CS2" s="66" t="s">
        <v>142</v>
      </c>
      <c r="CT2" s="65" t="s">
        <v>142</v>
      </c>
      <c r="CU2" s="65">
        <v>8</v>
      </c>
      <c r="CV2" s="65">
        <v>8</v>
      </c>
      <c r="CW2" s="65">
        <v>8</v>
      </c>
      <c r="CX2" s="65">
        <v>8</v>
      </c>
      <c r="CY2" s="65">
        <v>8</v>
      </c>
      <c r="CZ2" s="65">
        <v>8</v>
      </c>
      <c r="DA2" s="65">
        <v>8</v>
      </c>
      <c r="DB2" s="65">
        <v>8</v>
      </c>
      <c r="DC2" s="65">
        <v>8</v>
      </c>
      <c r="DD2" s="65">
        <v>8</v>
      </c>
      <c r="DE2" s="65">
        <v>8</v>
      </c>
      <c r="DF2" s="65">
        <v>8</v>
      </c>
      <c r="DG2" s="65">
        <v>8</v>
      </c>
      <c r="DH2" s="65">
        <v>8</v>
      </c>
      <c r="DI2" s="65">
        <v>-1</v>
      </c>
      <c r="DJ2" s="65">
        <v>-1</v>
      </c>
      <c r="DK2" s="65">
        <v>8</v>
      </c>
      <c r="DL2" s="65">
        <v>-1</v>
      </c>
      <c r="DM2" s="65">
        <v>-1</v>
      </c>
      <c r="DN2" s="65">
        <v>8</v>
      </c>
      <c r="DO2" s="65">
        <v>8</v>
      </c>
      <c r="DP2" s="65">
        <v>8</v>
      </c>
      <c r="DQ2" s="65">
        <v>8</v>
      </c>
      <c r="DR2" s="65">
        <v>8</v>
      </c>
      <c r="DS2" s="65">
        <v>8</v>
      </c>
      <c r="DT2" s="65">
        <v>8</v>
      </c>
      <c r="DU2" s="65">
        <v>8</v>
      </c>
      <c r="DV2" s="65">
        <v>8</v>
      </c>
      <c r="DW2" s="65">
        <v>8</v>
      </c>
      <c r="DX2" s="65">
        <v>8</v>
      </c>
      <c r="DY2" s="65">
        <v>8</v>
      </c>
      <c r="DZ2" s="65">
        <v>8</v>
      </c>
      <c r="EA2" s="65">
        <v>8</v>
      </c>
      <c r="EB2" s="65">
        <v>8</v>
      </c>
      <c r="EC2" s="65">
        <v>9</v>
      </c>
      <c r="ED2" s="65">
        <v>9</v>
      </c>
      <c r="EE2" s="65">
        <v>9</v>
      </c>
      <c r="EF2" s="65">
        <v>9</v>
      </c>
      <c r="EG2" s="65">
        <v>9</v>
      </c>
      <c r="EH2" s="65">
        <v>9</v>
      </c>
      <c r="EI2" s="65">
        <v>9</v>
      </c>
      <c r="EJ2" s="65">
        <v>9</v>
      </c>
      <c r="EK2" s="65">
        <v>9</v>
      </c>
      <c r="EL2" s="65">
        <v>9</v>
      </c>
      <c r="EM2" s="65">
        <v>9</v>
      </c>
      <c r="EN2" s="65">
        <v>9</v>
      </c>
      <c r="EO2" s="65">
        <v>9</v>
      </c>
      <c r="EP2" s="65">
        <v>9</v>
      </c>
      <c r="EQ2" s="65">
        <v>9</v>
      </c>
      <c r="ER2" s="65">
        <v>9</v>
      </c>
      <c r="ES2" s="65">
        <v>9</v>
      </c>
      <c r="ET2" s="65">
        <v>9</v>
      </c>
      <c r="EU2" s="65">
        <v>9</v>
      </c>
      <c r="EV2" s="65">
        <v>9</v>
      </c>
      <c r="EW2" s="65">
        <v>9</v>
      </c>
      <c r="EX2" s="65">
        <v>9</v>
      </c>
      <c r="FI2" s="65">
        <v>10</v>
      </c>
      <c r="FJ2" s="65">
        <v>10</v>
      </c>
      <c r="FK2" s="65">
        <v>10</v>
      </c>
      <c r="FL2" s="65">
        <v>10</v>
      </c>
      <c r="FM2" s="65" t="s">
        <v>142</v>
      </c>
    </row>
    <row r="3" spans="1:169" s="813" customFormat="1" ht="12" customHeight="1">
      <c r="A3" s="753"/>
      <c r="B3" s="804"/>
      <c r="C3" s="805"/>
      <c r="D3" s="806"/>
      <c r="E3" s="1373" t="s">
        <v>2394</v>
      </c>
      <c r="F3" s="1374"/>
      <c r="G3" s="1374"/>
      <c r="H3" s="1374"/>
      <c r="I3" s="1374"/>
      <c r="J3" s="1375"/>
      <c r="K3" s="1373" t="s">
        <v>2396</v>
      </c>
      <c r="L3" s="1374"/>
      <c r="M3" s="1374"/>
      <c r="N3" s="1374"/>
      <c r="O3" s="1374"/>
      <c r="P3" s="1374"/>
      <c r="Q3" s="1374"/>
      <c r="R3" s="1375"/>
      <c r="S3" s="1373" t="s">
        <v>2398</v>
      </c>
      <c r="T3" s="1374"/>
      <c r="U3" s="1374"/>
      <c r="V3" s="1375"/>
      <c r="W3" s="1381" t="s">
        <v>2400</v>
      </c>
      <c r="X3" s="1382"/>
      <c r="Y3" s="1382"/>
      <c r="Z3" s="1382"/>
      <c r="AA3" s="1383"/>
      <c r="AB3" s="1369" t="s">
        <v>2402</v>
      </c>
      <c r="AC3" s="1370"/>
      <c r="AD3" s="1370"/>
      <c r="AE3" s="1370"/>
      <c r="AF3" s="1371"/>
      <c r="AG3" s="1369" t="s">
        <v>2425</v>
      </c>
      <c r="AH3" s="1370"/>
      <c r="AI3" s="1370"/>
      <c r="AJ3" s="1370"/>
      <c r="AK3" s="1370"/>
      <c r="AL3" s="1371"/>
      <c r="AM3" s="1373" t="s">
        <v>2426</v>
      </c>
      <c r="AN3" s="1374"/>
      <c r="AO3" s="1375"/>
      <c r="AP3" s="807" t="s">
        <v>2405</v>
      </c>
      <c r="AQ3" s="1373" t="s">
        <v>2427</v>
      </c>
      <c r="AR3" s="1374"/>
      <c r="AS3" s="1374"/>
      <c r="AT3" s="1374"/>
      <c r="AU3" s="1375"/>
      <c r="AV3" s="1373" t="s">
        <v>2408</v>
      </c>
      <c r="AW3" s="1374"/>
      <c r="AX3" s="1375"/>
      <c r="AY3" s="1373" t="s">
        <v>2410</v>
      </c>
      <c r="AZ3" s="1375"/>
      <c r="BA3" s="776" t="s">
        <v>2412</v>
      </c>
      <c r="BB3" s="776" t="s">
        <v>2414</v>
      </c>
      <c r="BC3" s="1373" t="s">
        <v>2416</v>
      </c>
      <c r="BD3" s="1374"/>
      <c r="BE3" s="1374"/>
      <c r="BF3" s="1374"/>
      <c r="BG3" s="1374"/>
      <c r="BH3" s="1375"/>
      <c r="BI3" s="776" t="s">
        <v>2418</v>
      </c>
      <c r="BJ3" s="1373" t="s">
        <v>2420</v>
      </c>
      <c r="BK3" s="1374"/>
      <c r="BL3" s="1374"/>
      <c r="BM3" s="1374"/>
      <c r="BN3" s="1374"/>
      <c r="BO3" s="1375"/>
      <c r="BP3" s="1373" t="s">
        <v>2422</v>
      </c>
      <c r="BQ3" s="1374"/>
      <c r="BR3" s="1375"/>
      <c r="BS3" s="1388" t="s">
        <v>130</v>
      </c>
      <c r="BT3" s="1389"/>
      <c r="BU3" s="808"/>
      <c r="BV3" s="1373" t="s">
        <v>2393</v>
      </c>
      <c r="BW3" s="1374"/>
      <c r="BX3" s="1375"/>
      <c r="BY3" s="809"/>
      <c r="BZ3" s="965"/>
      <c r="CA3" s="810"/>
      <c r="CB3" s="811"/>
      <c r="CC3" s="797"/>
      <c r="CD3" s="797"/>
      <c r="CE3" s="797"/>
      <c r="CF3" s="797"/>
      <c r="CG3" s="797"/>
      <c r="CH3" s="797"/>
      <c r="CI3" s="797"/>
      <c r="CJ3" s="797"/>
      <c r="CK3" s="797"/>
      <c r="CL3" s="797"/>
      <c r="CM3" s="812"/>
      <c r="CN3" s="812"/>
      <c r="CO3" s="812"/>
      <c r="CP3" s="812"/>
      <c r="CT3" s="797"/>
      <c r="CU3" s="814"/>
      <c r="CV3" s="1373" t="s">
        <v>284</v>
      </c>
      <c r="CW3" s="1374"/>
      <c r="CX3" s="1374"/>
      <c r="CY3" s="1374"/>
      <c r="CZ3" s="1374"/>
      <c r="DA3" s="1374"/>
      <c r="DB3" s="1374"/>
      <c r="DC3" s="1374"/>
      <c r="DD3" s="1374"/>
      <c r="DE3" s="1374"/>
      <c r="DF3" s="1374"/>
      <c r="DG3" s="1374"/>
      <c r="DH3" s="1374"/>
      <c r="DI3" s="1374"/>
      <c r="DJ3" s="1374"/>
      <c r="DK3" s="1374"/>
      <c r="DL3" s="1374"/>
      <c r="DM3" s="1374"/>
      <c r="DN3" s="1374"/>
      <c r="DO3" s="1374"/>
      <c r="DP3" s="1374"/>
      <c r="DQ3" s="1374"/>
      <c r="DR3" s="1374"/>
      <c r="DS3" s="1374"/>
      <c r="DT3" s="1374"/>
      <c r="DU3" s="1374"/>
      <c r="DV3" s="1374"/>
      <c r="DW3" s="1374"/>
      <c r="DX3" s="1374"/>
      <c r="DY3" s="1374"/>
      <c r="DZ3" s="1374"/>
      <c r="EA3" s="1374"/>
      <c r="EB3" s="1374"/>
      <c r="ED3" s="1400" t="s">
        <v>3361</v>
      </c>
      <c r="EE3" s="1401"/>
      <c r="EF3" s="1400" t="s">
        <v>3370</v>
      </c>
      <c r="EG3" s="1403"/>
      <c r="EH3" s="1403"/>
      <c r="EI3" s="1403"/>
      <c r="EJ3" s="1403"/>
      <c r="EK3" s="1403"/>
      <c r="EL3" s="1401"/>
      <c r="EM3" s="1400" t="s">
        <v>3354</v>
      </c>
      <c r="EN3" s="1403"/>
      <c r="EO3" s="1403"/>
      <c r="EP3" s="1403"/>
      <c r="EQ3" s="1401"/>
      <c r="ER3" s="1400" t="s">
        <v>3749</v>
      </c>
      <c r="ES3" s="1404"/>
      <c r="ET3" s="1404"/>
      <c r="EU3" s="1404"/>
      <c r="EV3" s="1404"/>
      <c r="EW3" s="1405"/>
      <c r="EX3" s="778" t="s">
        <v>1419</v>
      </c>
      <c r="FJ3" s="1384" t="s">
        <v>204</v>
      </c>
      <c r="FK3" s="1384"/>
      <c r="FL3" s="1384"/>
      <c r="FM3" s="797"/>
    </row>
    <row r="4" spans="1:169" s="775" customFormat="1" ht="12.75" customHeight="1">
      <c r="A4" s="753"/>
      <c r="B4" s="754"/>
      <c r="C4" s="755"/>
      <c r="D4" s="756"/>
      <c r="F4" s="1372" t="s">
        <v>151</v>
      </c>
      <c r="G4" s="1372" t="s">
        <v>55</v>
      </c>
      <c r="H4" s="1372" t="s">
        <v>81</v>
      </c>
      <c r="I4" s="757" t="s">
        <v>58</v>
      </c>
      <c r="J4" s="758" t="s">
        <v>70</v>
      </c>
      <c r="K4" s="759" t="s">
        <v>73</v>
      </c>
      <c r="L4" s="760" t="s">
        <v>74</v>
      </c>
      <c r="M4" s="872" t="s">
        <v>75</v>
      </c>
      <c r="N4" s="763" t="s">
        <v>74</v>
      </c>
      <c r="O4" s="757" t="s">
        <v>75</v>
      </c>
      <c r="P4" s="760" t="s">
        <v>73</v>
      </c>
      <c r="Q4" s="757" t="s">
        <v>455</v>
      </c>
      <c r="R4" s="758" t="s">
        <v>70</v>
      </c>
      <c r="S4" s="759" t="s">
        <v>75</v>
      </c>
      <c r="T4" s="757" t="s">
        <v>124</v>
      </c>
      <c r="U4" s="757" t="s">
        <v>455</v>
      </c>
      <c r="V4" s="758" t="s">
        <v>70</v>
      </c>
      <c r="W4" s="1377" t="s">
        <v>69</v>
      </c>
      <c r="X4" s="1379" t="s">
        <v>78</v>
      </c>
      <c r="Y4" s="1372" t="s">
        <v>2378</v>
      </c>
      <c r="Z4" s="760" t="s">
        <v>157</v>
      </c>
      <c r="AA4" s="761"/>
      <c r="AB4" s="1377" t="s">
        <v>69</v>
      </c>
      <c r="AC4" s="1379" t="s">
        <v>78</v>
      </c>
      <c r="AD4" s="1372" t="s">
        <v>2378</v>
      </c>
      <c r="AE4" s="760" t="s">
        <v>157</v>
      </c>
      <c r="AF4" s="761"/>
      <c r="AG4" s="762"/>
      <c r="AH4" s="1372" t="s">
        <v>72</v>
      </c>
      <c r="AI4" s="1372"/>
      <c r="AJ4" s="874" t="s">
        <v>158</v>
      </c>
      <c r="AK4" s="757" t="s">
        <v>159</v>
      </c>
      <c r="AL4" s="758"/>
      <c r="AM4" s="763" t="s">
        <v>1224</v>
      </c>
      <c r="AN4" s="757"/>
      <c r="AO4" s="758"/>
      <c r="AP4" s="764"/>
      <c r="AQ4" s="765"/>
      <c r="AR4" s="766"/>
      <c r="AS4" s="766"/>
      <c r="AT4" s="760" t="s">
        <v>157</v>
      </c>
      <c r="AU4" s="758" t="s">
        <v>70</v>
      </c>
      <c r="AV4" s="762"/>
      <c r="AW4" s="874" t="s">
        <v>158</v>
      </c>
      <c r="AX4" s="767"/>
      <c r="AY4" s="763"/>
      <c r="AZ4" s="768"/>
      <c r="BA4" s="769"/>
      <c r="BB4" s="769"/>
      <c r="BC4" s="1387" t="s">
        <v>163</v>
      </c>
      <c r="BD4" s="1386"/>
      <c r="BE4" s="1385" t="s">
        <v>34</v>
      </c>
      <c r="BF4" s="1386"/>
      <c r="BG4" s="1390"/>
      <c r="BH4" s="1391"/>
      <c r="BI4" s="770"/>
      <c r="BJ4" s="1387" t="s">
        <v>163</v>
      </c>
      <c r="BK4" s="1386"/>
      <c r="BL4" s="1385" t="s">
        <v>34</v>
      </c>
      <c r="BM4" s="1386"/>
      <c r="BN4" s="1385"/>
      <c r="BO4" s="1391"/>
      <c r="BP4" s="771"/>
      <c r="BQ4" s="760"/>
      <c r="BR4" s="758" t="s">
        <v>70</v>
      </c>
      <c r="BS4" s="772" t="s">
        <v>160</v>
      </c>
      <c r="BT4" s="772" t="s">
        <v>70</v>
      </c>
      <c r="BU4" s="773"/>
      <c r="BV4" s="772" t="s">
        <v>160</v>
      </c>
      <c r="BW4" s="772" t="s">
        <v>70</v>
      </c>
      <c r="BX4" s="772" t="s">
        <v>203</v>
      </c>
      <c r="BY4" s="774"/>
      <c r="BZ4" s="964"/>
      <c r="CA4" s="1392" t="s">
        <v>1368</v>
      </c>
      <c r="CB4" s="1393"/>
      <c r="CC4" s="1394"/>
      <c r="CD4" s="1395" t="s">
        <v>557</v>
      </c>
      <c r="CE4" s="1397"/>
      <c r="CF4" s="1396"/>
      <c r="CG4" s="1395" t="s">
        <v>1367</v>
      </c>
      <c r="CH4" s="1397"/>
      <c r="CI4" s="1397"/>
      <c r="CJ4" s="1396"/>
      <c r="CK4" s="1395" t="s">
        <v>856</v>
      </c>
      <c r="CL4" s="1396"/>
      <c r="CM4" s="1395" t="s">
        <v>1366</v>
      </c>
      <c r="CN4" s="1397"/>
      <c r="CO4" s="1397"/>
      <c r="CP4" s="1396"/>
      <c r="CQ4" s="1395" t="s">
        <v>2136</v>
      </c>
      <c r="CR4" s="1397"/>
      <c r="CS4" s="1397"/>
      <c r="CT4" s="974"/>
      <c r="CU4" s="948"/>
      <c r="CV4" s="1373" t="s">
        <v>2595</v>
      </c>
      <c r="CW4" s="1374"/>
      <c r="CX4" s="1374"/>
      <c r="CY4" s="1374"/>
      <c r="CZ4" s="1374"/>
      <c r="DA4" s="1374"/>
      <c r="DB4" s="1374"/>
      <c r="DC4" s="1374"/>
      <c r="DD4" s="1374"/>
      <c r="DE4" s="1374"/>
      <c r="DF4" s="1374"/>
      <c r="DG4" s="1374"/>
      <c r="DH4" s="1374"/>
      <c r="DI4" s="1374"/>
      <c r="DJ4" s="1374"/>
      <c r="DK4" s="1374"/>
      <c r="DL4" s="1374"/>
      <c r="DM4" s="1374"/>
      <c r="DN4" s="1374"/>
      <c r="DO4" s="1374"/>
      <c r="DP4" s="1375"/>
      <c r="DQ4" s="1373" t="s">
        <v>2596</v>
      </c>
      <c r="DR4" s="1374"/>
      <c r="DS4" s="1374"/>
      <c r="DT4" s="1374"/>
      <c r="DU4" s="1374"/>
      <c r="DV4" s="1375"/>
      <c r="DW4" s="1373" t="s">
        <v>2597</v>
      </c>
      <c r="DX4" s="1374"/>
      <c r="DY4" s="1374"/>
      <c r="DZ4" s="1374"/>
      <c r="EA4" s="1374"/>
      <c r="EB4" s="1375"/>
      <c r="ED4" s="777" t="s">
        <v>543</v>
      </c>
      <c r="EE4" s="777" t="s">
        <v>580</v>
      </c>
      <c r="EF4" s="777" t="s">
        <v>1387</v>
      </c>
      <c r="EG4" s="777" t="s">
        <v>3362</v>
      </c>
      <c r="EH4" s="777" t="s">
        <v>3363</v>
      </c>
      <c r="EI4" s="777" t="s">
        <v>3349</v>
      </c>
      <c r="EJ4" s="777" t="s">
        <v>3364</v>
      </c>
      <c r="EK4" s="1100" t="s">
        <v>3351</v>
      </c>
      <c r="EL4" s="1101" t="s">
        <v>3375</v>
      </c>
      <c r="EM4" s="777" t="s">
        <v>3365</v>
      </c>
      <c r="EN4" s="777" t="s">
        <v>3366</v>
      </c>
      <c r="EO4" s="777" t="s">
        <v>3367</v>
      </c>
      <c r="EP4" s="777" t="s">
        <v>3740</v>
      </c>
      <c r="EQ4" s="1101" t="s">
        <v>3374</v>
      </c>
      <c r="ER4" s="1406" t="s">
        <v>3746</v>
      </c>
      <c r="ES4" s="1101" t="s">
        <v>3750</v>
      </c>
      <c r="ET4" s="1101" t="s">
        <v>3747</v>
      </c>
      <c r="EU4" s="1101" t="s">
        <v>3769</v>
      </c>
      <c r="EV4" s="1101" t="s">
        <v>3748</v>
      </c>
      <c r="EW4" s="778" t="s">
        <v>70</v>
      </c>
      <c r="EX4" s="778" t="s">
        <v>70</v>
      </c>
      <c r="FJ4" s="772"/>
      <c r="FK4" s="772"/>
      <c r="FL4" s="772"/>
      <c r="FM4" s="974"/>
    </row>
    <row r="5" spans="1:169" s="775" customFormat="1" ht="12.75" customHeight="1">
      <c r="A5" s="753"/>
      <c r="B5" s="779"/>
      <c r="C5" s="780"/>
      <c r="D5" s="781"/>
      <c r="E5" s="788" t="s">
        <v>69</v>
      </c>
      <c r="F5" s="1380"/>
      <c r="G5" s="1380"/>
      <c r="H5" s="1380"/>
      <c r="I5" s="782" t="str">
        <f>Currency &amp;"/h"</f>
        <v>EUR/h</v>
      </c>
      <c r="J5" s="783" t="str">
        <f>Currency &amp;"/Prt"</f>
        <v>EUR/Prt</v>
      </c>
      <c r="K5" s="784" t="s">
        <v>156</v>
      </c>
      <c r="L5" s="785" t="s">
        <v>126</v>
      </c>
      <c r="M5" s="783" t="s">
        <v>78</v>
      </c>
      <c r="N5" s="784" t="s">
        <v>126</v>
      </c>
      <c r="O5" s="785" t="s">
        <v>78</v>
      </c>
      <c r="P5" s="785" t="s">
        <v>172</v>
      </c>
      <c r="Q5" s="782" t="str">
        <f>Currency &amp;"/h"</f>
        <v>EUR/h</v>
      </c>
      <c r="R5" s="783" t="str">
        <f>Currency &amp;"/Prt"</f>
        <v>EUR/Prt</v>
      </c>
      <c r="S5" s="784" t="s">
        <v>78</v>
      </c>
      <c r="T5" s="785" t="s">
        <v>139</v>
      </c>
      <c r="U5" s="785" t="str">
        <f>Currency &amp;"/h"</f>
        <v>EUR/h</v>
      </c>
      <c r="V5" s="783" t="str">
        <f>Currency &amp;"/Prt"</f>
        <v>EUR/Prt</v>
      </c>
      <c r="W5" s="1378"/>
      <c r="X5" s="1376"/>
      <c r="Y5" s="1376"/>
      <c r="Z5" s="782" t="str">
        <f>Currency</f>
        <v>EUR</v>
      </c>
      <c r="AA5" s="786" t="str">
        <f>Currency &amp;"/Prt"</f>
        <v>EUR/Prt</v>
      </c>
      <c r="AB5" s="1378"/>
      <c r="AC5" s="1376"/>
      <c r="AD5" s="1376"/>
      <c r="AE5" s="782" t="str">
        <f>Currency</f>
        <v>EUR</v>
      </c>
      <c r="AF5" s="786" t="str">
        <f>Currency &amp;"/Prt"</f>
        <v>EUR/Prt</v>
      </c>
      <c r="AG5" s="784" t="s">
        <v>3</v>
      </c>
      <c r="AH5" s="782" t="s">
        <v>3</v>
      </c>
      <c r="AI5" s="782" t="str">
        <f>Currency &amp;"/Prt"</f>
        <v>EUR/Prt</v>
      </c>
      <c r="AJ5" s="782" t="str">
        <f>Currency &amp;"/Prt"</f>
        <v>EUR/Prt</v>
      </c>
      <c r="AK5" s="782" t="str">
        <f>Currency &amp;"/Prt"</f>
        <v>EUR/Prt</v>
      </c>
      <c r="AL5" s="783" t="str">
        <f>Currency &amp;"/Prt"</f>
        <v>EUR/Prt</v>
      </c>
      <c r="AM5" s="784" t="str">
        <f>Currency &amp;"/h"</f>
        <v>EUR/h</v>
      </c>
      <c r="AN5" s="782" t="s">
        <v>3</v>
      </c>
      <c r="AO5" s="783" t="str">
        <f>Currency &amp;"/Prt"</f>
        <v>EUR/Prt</v>
      </c>
      <c r="AP5" s="787" t="str">
        <f>Currency &amp;"/Prt"</f>
        <v>EUR/Prt</v>
      </c>
      <c r="AQ5" s="788" t="s">
        <v>69</v>
      </c>
      <c r="AR5" s="789" t="s">
        <v>78</v>
      </c>
      <c r="AS5" s="789" t="s">
        <v>71</v>
      </c>
      <c r="AT5" s="785" t="str">
        <f>Currency</f>
        <v>EUR</v>
      </c>
      <c r="AU5" s="790" t="str">
        <f>Currency</f>
        <v>EUR</v>
      </c>
      <c r="AV5" s="784" t="s">
        <v>3</v>
      </c>
      <c r="AW5" s="785" t="str">
        <f>Currency &amp;"/Prt"</f>
        <v>EUR/Prt</v>
      </c>
      <c r="AX5" s="783" t="str">
        <f>Currency &amp;"/Prt"</f>
        <v>EUR/Prt</v>
      </c>
      <c r="AY5" s="784" t="s">
        <v>3</v>
      </c>
      <c r="AZ5" s="783" t="str">
        <f>Currency &amp;"/Prt"</f>
        <v>EUR/Prt</v>
      </c>
      <c r="BA5" s="791" t="str">
        <f>Currency &amp;"/Prt"</f>
        <v>EUR/Prt</v>
      </c>
      <c r="BB5" s="791" t="str">
        <f>Currency &amp;"/Prt"</f>
        <v>EUR/Prt</v>
      </c>
      <c r="BC5" s="784" t="s">
        <v>3</v>
      </c>
      <c r="BD5" s="785" t="str">
        <f>Currency &amp;"/Prt"</f>
        <v>EUR/Prt</v>
      </c>
      <c r="BE5" s="785" t="s">
        <v>3</v>
      </c>
      <c r="BF5" s="785" t="str">
        <f>Currency &amp;"/Prt"</f>
        <v>EUR/Prt</v>
      </c>
      <c r="BG5" s="785" t="s">
        <v>3</v>
      </c>
      <c r="BH5" s="783" t="str">
        <f>Currency &amp;"/Prt"</f>
        <v>EUR/Prt</v>
      </c>
      <c r="BI5" s="792" t="str">
        <f>Currency &amp;"/Prt"</f>
        <v>EUR/Prt</v>
      </c>
      <c r="BJ5" s="784" t="s">
        <v>3</v>
      </c>
      <c r="BK5" s="785" t="str">
        <f>Currency &amp;"/Prt"</f>
        <v>EUR/Prt</v>
      </c>
      <c r="BL5" s="785" t="s">
        <v>3</v>
      </c>
      <c r="BM5" s="785" t="str">
        <f>Currency &amp;"/Prt"</f>
        <v>EUR/Prt</v>
      </c>
      <c r="BN5" s="785" t="s">
        <v>3</v>
      </c>
      <c r="BO5" s="783" t="str">
        <f>Currency &amp;"/Prt"</f>
        <v>EUR/Prt</v>
      </c>
      <c r="BP5" s="793" t="s">
        <v>3</v>
      </c>
      <c r="BQ5" s="785" t="str">
        <f>Currency &amp;"/Prt"</f>
        <v>EUR/Prt</v>
      </c>
      <c r="BR5" s="783" t="str">
        <f>Currency &amp;"/Prt"</f>
        <v>EUR/Prt</v>
      </c>
      <c r="BS5" s="794" t="str">
        <f>Currency</f>
        <v>EUR</v>
      </c>
      <c r="BT5" s="794" t="str">
        <f>Currency</f>
        <v>EUR</v>
      </c>
      <c r="BU5" s="795" t="s">
        <v>136</v>
      </c>
      <c r="BV5" s="794" t="str">
        <f>Currency</f>
        <v>EUR</v>
      </c>
      <c r="BW5" s="794" t="str">
        <f>Currency</f>
        <v>EUR</v>
      </c>
      <c r="BX5" s="794" t="str">
        <f>Currency</f>
        <v>EUR</v>
      </c>
      <c r="BY5" s="796"/>
      <c r="BZ5" s="963" t="s">
        <v>138</v>
      </c>
      <c r="CA5" s="797" t="s">
        <v>255</v>
      </c>
      <c r="CB5" s="797" t="s">
        <v>255</v>
      </c>
      <c r="CC5" s="797" t="s">
        <v>255</v>
      </c>
      <c r="CD5" s="798" t="s">
        <v>257</v>
      </c>
      <c r="CE5" s="797" t="s">
        <v>258</v>
      </c>
      <c r="CF5" s="799" t="s">
        <v>84</v>
      </c>
      <c r="CG5" s="798" t="s">
        <v>256</v>
      </c>
      <c r="CH5" s="797" t="s">
        <v>240</v>
      </c>
      <c r="CI5" s="797" t="s">
        <v>281</v>
      </c>
      <c r="CJ5" s="799" t="s">
        <v>280</v>
      </c>
      <c r="CK5" s="797" t="s">
        <v>38</v>
      </c>
      <c r="CL5" s="797" t="s">
        <v>260</v>
      </c>
      <c r="CM5" s="798" t="s">
        <v>130</v>
      </c>
      <c r="CN5" s="800" t="s">
        <v>1092</v>
      </c>
      <c r="CO5" s="798" t="s">
        <v>130</v>
      </c>
      <c r="CP5" s="800" t="s">
        <v>1093</v>
      </c>
      <c r="CQ5" s="801" t="s">
        <v>1238</v>
      </c>
      <c r="CR5" s="798" t="s">
        <v>1092</v>
      </c>
      <c r="CS5" s="798" t="s">
        <v>1093</v>
      </c>
      <c r="CT5" s="972" t="s">
        <v>706</v>
      </c>
      <c r="CU5" s="948"/>
      <c r="CV5" s="942" t="s">
        <v>1387</v>
      </c>
      <c r="CW5" s="942" t="s">
        <v>165</v>
      </c>
      <c r="CX5" s="942" t="s">
        <v>534</v>
      </c>
      <c r="CY5" s="942" t="s">
        <v>2314</v>
      </c>
      <c r="CZ5" s="942" t="s">
        <v>1395</v>
      </c>
      <c r="DA5" s="942" t="s">
        <v>2619</v>
      </c>
      <c r="DB5" s="942" t="s">
        <v>1379</v>
      </c>
      <c r="DC5" s="943" t="s">
        <v>155</v>
      </c>
      <c r="DD5" s="942" t="s">
        <v>282</v>
      </c>
      <c r="DE5" s="942" t="s">
        <v>2620</v>
      </c>
      <c r="DF5" s="942" t="s">
        <v>283</v>
      </c>
      <c r="DG5" s="943" t="s">
        <v>2071</v>
      </c>
      <c r="DH5" s="943" t="s">
        <v>169</v>
      </c>
      <c r="DI5" s="942" t="s">
        <v>174</v>
      </c>
      <c r="DJ5" s="942" t="s">
        <v>2615</v>
      </c>
      <c r="DK5" s="942" t="s">
        <v>210</v>
      </c>
      <c r="DL5" s="942" t="s">
        <v>1372</v>
      </c>
      <c r="DM5" s="942" t="s">
        <v>1373</v>
      </c>
      <c r="DN5" s="942" t="s">
        <v>209</v>
      </c>
      <c r="DO5" s="942" t="s">
        <v>667</v>
      </c>
      <c r="DP5" s="943" t="s">
        <v>157</v>
      </c>
      <c r="DQ5" s="942" t="s">
        <v>2616</v>
      </c>
      <c r="DR5" s="942" t="s">
        <v>283</v>
      </c>
      <c r="DS5" s="942" t="s">
        <v>210</v>
      </c>
      <c r="DT5" s="942" t="s">
        <v>209</v>
      </c>
      <c r="DU5" s="942" t="s">
        <v>667</v>
      </c>
      <c r="DV5" s="943" t="s">
        <v>157</v>
      </c>
      <c r="DW5" s="942" t="s">
        <v>2616</v>
      </c>
      <c r="DX5" s="942" t="s">
        <v>283</v>
      </c>
      <c r="DY5" s="942" t="s">
        <v>210</v>
      </c>
      <c r="DZ5" s="942" t="s">
        <v>209</v>
      </c>
      <c r="EA5" s="942" t="s">
        <v>667</v>
      </c>
      <c r="EB5" s="943" t="s">
        <v>157</v>
      </c>
      <c r="ED5" s="802" t="s">
        <v>1023</v>
      </c>
      <c r="EE5" s="802" t="s">
        <v>1023</v>
      </c>
      <c r="EF5" s="802" t="s">
        <v>3382</v>
      </c>
      <c r="EG5" s="802" t="s">
        <v>3382</v>
      </c>
      <c r="EH5" s="802" t="s">
        <v>3382</v>
      </c>
      <c r="EI5" s="802" t="s">
        <v>3382</v>
      </c>
      <c r="EJ5" s="802" t="s">
        <v>3382</v>
      </c>
      <c r="EK5" s="802" t="s">
        <v>3382</v>
      </c>
      <c r="EL5" s="802" t="s">
        <v>3382</v>
      </c>
      <c r="EM5" s="802" t="s">
        <v>3920</v>
      </c>
      <c r="EN5" s="802" t="s">
        <v>3382</v>
      </c>
      <c r="EO5" s="802" t="s">
        <v>3382</v>
      </c>
      <c r="EP5" s="802" t="s">
        <v>3382</v>
      </c>
      <c r="EQ5" s="802" t="s">
        <v>3382</v>
      </c>
      <c r="ER5" s="1407"/>
      <c r="ES5" s="802" t="s">
        <v>3382</v>
      </c>
      <c r="ET5" s="802" t="s">
        <v>3382</v>
      </c>
      <c r="EU5" s="802" t="s">
        <v>3382</v>
      </c>
      <c r="EV5" s="802" t="s">
        <v>3382</v>
      </c>
      <c r="EW5" s="802" t="s">
        <v>3382</v>
      </c>
      <c r="EX5" s="802" t="s">
        <v>3382</v>
      </c>
      <c r="FJ5" s="803">
        <v>1</v>
      </c>
      <c r="FK5" s="803">
        <v>2</v>
      </c>
      <c r="FL5" s="803">
        <v>3</v>
      </c>
      <c r="FM5" s="972" t="s">
        <v>3890</v>
      </c>
    </row>
    <row r="6" spans="1:169" ht="4.5" customHeight="1">
      <c r="BZ6" s="82"/>
      <c r="CD6" s="86"/>
      <c r="CF6" s="87"/>
      <c r="CG6" s="86"/>
      <c r="CJ6" s="87"/>
      <c r="CM6" s="86"/>
      <c r="CN6" s="88"/>
      <c r="CO6" s="89"/>
      <c r="CP6" s="88"/>
      <c r="CQ6" s="90"/>
      <c r="CR6" s="90"/>
      <c r="CS6" s="91"/>
      <c r="CT6" s="87"/>
      <c r="FJ6" s="94"/>
      <c r="FK6" s="94"/>
      <c r="FL6" s="94"/>
      <c r="FM6" s="87"/>
    </row>
    <row r="7" spans="1:169" s="108" customFormat="1" ht="12.75" customHeight="1">
      <c r="A7" s="729" t="s">
        <v>84</v>
      </c>
      <c r="B7" s="728" t="str">
        <f>INDEX(Premises!$A$11:$F$11,1,MATCH(VALUE(RIGHT($BZ7,IF(ISERROR(FIND("-",$BZ7)),LEN($BZ7),LEN($BZ7)-IF(LEN($BZ7)-LEN(SUBSTITUTE($BZ7,"-",""))=1,FIND("-",$BZ7),FIND("-",$BZ7,FIND("-",$BZ7)+1))))),Premises!$A$10:$F$10,0))</f>
        <v>Supplier 1</v>
      </c>
      <c r="C7" s="955">
        <f>$BW$190+SUM(Premises!$C$64:$F$64)</f>
        <v>26.481379688697388</v>
      </c>
      <c r="D7" s="95"/>
      <c r="E7" s="71"/>
      <c r="G7" s="988"/>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97"/>
      <c r="AT7" s="97"/>
      <c r="AU7" s="97"/>
      <c r="AV7" s="71"/>
      <c r="AW7" s="71"/>
      <c r="AX7" s="96"/>
      <c r="AY7" s="96"/>
      <c r="AZ7" s="71"/>
      <c r="BA7" s="71"/>
      <c r="BB7" s="71"/>
      <c r="BC7" s="71"/>
      <c r="BD7" s="71"/>
      <c r="BE7" s="71"/>
      <c r="BF7" s="71"/>
      <c r="BG7" s="71"/>
      <c r="BH7" s="71"/>
      <c r="BI7" s="71"/>
      <c r="BJ7" s="71"/>
      <c r="BK7" s="71"/>
      <c r="BL7" s="71"/>
      <c r="BM7" s="71"/>
      <c r="BN7" s="71"/>
      <c r="BO7" s="71"/>
      <c r="BP7" s="97"/>
      <c r="BQ7" s="97"/>
      <c r="BR7" s="97"/>
      <c r="BS7" s="97"/>
      <c r="BT7" s="97"/>
      <c r="BU7" s="98"/>
      <c r="BV7" s="99"/>
      <c r="BW7" s="99"/>
      <c r="BX7" s="100"/>
      <c r="BY7" s="101"/>
      <c r="BZ7" s="730">
        <f>IF(LEN(BOM!$M$3=1),BOM!$M$3,1)</f>
        <v>1</v>
      </c>
      <c r="CA7" s="102"/>
      <c r="CB7" s="103"/>
      <c r="CC7" s="70"/>
      <c r="CD7" s="74"/>
      <c r="CE7" s="70"/>
      <c r="CF7" s="75"/>
      <c r="CG7" s="74"/>
      <c r="CH7" s="70"/>
      <c r="CI7" s="70"/>
      <c r="CJ7" s="75"/>
      <c r="CK7" s="70"/>
      <c r="CL7" s="70"/>
      <c r="CM7" s="74"/>
      <c r="CN7" s="104"/>
      <c r="CO7" s="105"/>
      <c r="CP7" s="104"/>
      <c r="CQ7" s="106"/>
      <c r="CR7" s="106"/>
      <c r="CS7" s="107"/>
      <c r="CT7" s="75"/>
      <c r="CV7" s="1398"/>
      <c r="CW7" s="1398"/>
      <c r="CX7" s="1398"/>
      <c r="CY7" s="1398"/>
      <c r="CZ7" s="1398"/>
      <c r="DA7" s="1398"/>
      <c r="DB7" s="1398"/>
      <c r="DC7" s="1398"/>
      <c r="DD7" s="1398"/>
      <c r="DE7" s="1398"/>
      <c r="DF7" s="1398"/>
      <c r="DG7" s="1398"/>
      <c r="DH7" s="1399"/>
      <c r="DI7" s="1399"/>
      <c r="DJ7" s="1399"/>
      <c r="DK7" s="1399"/>
      <c r="DL7" s="1399"/>
      <c r="DM7" s="1399"/>
      <c r="DN7" s="1399"/>
      <c r="DO7" s="1399"/>
      <c r="DP7" s="941">
        <f>DP$190</f>
        <v>26.481379688697388</v>
      </c>
      <c r="DQ7" s="1399"/>
      <c r="DR7" s="1399"/>
      <c r="DS7" s="1399"/>
      <c r="DT7" s="1399"/>
      <c r="DU7" s="1399"/>
      <c r="DV7" s="941">
        <f>DV$190</f>
        <v>0</v>
      </c>
      <c r="DW7" s="1399"/>
      <c r="DX7" s="1399"/>
      <c r="DY7" s="1399"/>
      <c r="DZ7" s="1399"/>
      <c r="EA7" s="1399"/>
      <c r="EB7" s="941">
        <f>EB$190</f>
        <v>26.481379688697388</v>
      </c>
      <c r="ED7" s="1402"/>
      <c r="EE7" s="1402"/>
      <c r="EF7" s="1402"/>
      <c r="EG7" s="1402"/>
      <c r="EH7" s="1402"/>
      <c r="EI7" s="1402"/>
      <c r="EJ7" s="1402"/>
      <c r="EK7" s="1402"/>
      <c r="EL7" s="1402"/>
      <c r="EM7" s="1402"/>
      <c r="EN7" s="1402"/>
      <c r="EO7" s="1402"/>
      <c r="EP7" s="1402"/>
      <c r="EQ7" s="1402"/>
      <c r="ER7" s="1402"/>
      <c r="ES7" s="1402"/>
      <c r="ET7" s="1402"/>
      <c r="EU7" s="1402"/>
      <c r="EV7" s="1402"/>
      <c r="EW7" s="1402"/>
      <c r="EX7" s="973">
        <f>EX$190</f>
        <v>0</v>
      </c>
      <c r="EY7" s="109"/>
      <c r="EZ7" s="109"/>
      <c r="FA7" s="109"/>
      <c r="FB7" s="109"/>
      <c r="FC7" s="109"/>
      <c r="FD7" s="109"/>
      <c r="FE7" s="109"/>
      <c r="FF7" s="109"/>
      <c r="FG7" s="109"/>
      <c r="FH7" s="109"/>
      <c r="FI7" s="109"/>
      <c r="FJ7" s="109"/>
      <c r="FK7" s="109"/>
      <c r="FL7" s="109"/>
      <c r="FM7" s="75"/>
    </row>
    <row r="8" spans="1:169" s="108" customFormat="1" ht="12.75" hidden="1" customHeight="1">
      <c r="A8" s="44"/>
      <c r="B8" s="110" t="str">
        <f>Premises!$B$79&amp;" [s]"</f>
        <v>Customer cycle [s]</v>
      </c>
      <c r="C8" s="111">
        <f>INDEX(Premises!$A$79:$F$79,1,MATCH($BZ7,Premises!$A$10:$F$10,0))</f>
        <v>518.4</v>
      </c>
      <c r="D8" s="95"/>
      <c r="E8" s="71"/>
      <c r="F8" s="71"/>
      <c r="G8" s="96"/>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97"/>
      <c r="AT8" s="97"/>
      <c r="AU8" s="97"/>
      <c r="AV8" s="71"/>
      <c r="AW8" s="71"/>
      <c r="AX8" s="96"/>
      <c r="AY8" s="96"/>
      <c r="AZ8" s="71"/>
      <c r="BA8" s="71"/>
      <c r="BB8" s="71"/>
      <c r="BC8" s="71"/>
      <c r="BD8" s="71"/>
      <c r="BE8" s="71"/>
      <c r="BF8" s="71"/>
      <c r="BG8" s="71"/>
      <c r="BH8" s="71"/>
      <c r="BI8" s="71"/>
      <c r="BJ8" s="71"/>
      <c r="BK8" s="71"/>
      <c r="BL8" s="71"/>
      <c r="BM8" s="71"/>
      <c r="BN8" s="71"/>
      <c r="BO8" s="71"/>
      <c r="BP8" s="97"/>
      <c r="BQ8" s="97"/>
      <c r="BR8" s="97"/>
      <c r="BS8" s="97"/>
      <c r="BT8" s="97"/>
      <c r="BU8" s="112"/>
      <c r="BV8" s="99"/>
      <c r="BW8" s="99"/>
      <c r="BX8" s="100"/>
      <c r="BY8" s="101"/>
      <c r="BZ8" s="113"/>
      <c r="CA8" s="102"/>
      <c r="CB8" s="103"/>
      <c r="CC8" s="70"/>
      <c r="CD8" s="74"/>
      <c r="CE8" s="70"/>
      <c r="CF8" s="75"/>
      <c r="CG8" s="74"/>
      <c r="CH8" s="70"/>
      <c r="CI8" s="70"/>
      <c r="CJ8" s="75"/>
      <c r="CK8" s="70"/>
      <c r="CL8" s="70"/>
      <c r="CM8" s="74"/>
      <c r="CN8" s="104"/>
      <c r="CO8" s="105"/>
      <c r="CP8" s="104"/>
      <c r="CQ8" s="106"/>
      <c r="CR8" s="106"/>
      <c r="CS8" s="107"/>
      <c r="CT8" s="75"/>
      <c r="CV8" s="71"/>
      <c r="CW8" s="71"/>
      <c r="CX8" s="71"/>
      <c r="CY8" s="71"/>
      <c r="CZ8" s="71"/>
      <c r="DA8" s="71"/>
      <c r="DB8" s="71"/>
      <c r="DC8" s="114"/>
      <c r="DD8" s="71"/>
      <c r="DE8" s="71"/>
      <c r="DF8" s="71"/>
      <c r="DG8" s="114"/>
      <c r="DH8" s="114"/>
      <c r="DI8" s="114"/>
      <c r="DJ8" s="114"/>
      <c r="DK8" s="71"/>
      <c r="DL8" s="71"/>
      <c r="DM8" s="71"/>
      <c r="DN8" s="71"/>
      <c r="DO8" s="71"/>
      <c r="DP8" s="71"/>
      <c r="DQ8" s="71"/>
      <c r="DR8" s="71"/>
      <c r="DS8" s="71"/>
      <c r="DT8" s="71"/>
      <c r="DU8" s="71"/>
      <c r="DV8" s="71"/>
      <c r="DW8" s="71"/>
      <c r="DX8" s="71"/>
      <c r="DY8" s="71"/>
      <c r="DZ8" s="71"/>
      <c r="EA8" s="71"/>
      <c r="EB8" s="71"/>
      <c r="ED8" s="115"/>
      <c r="EE8" s="115"/>
      <c r="EF8" s="115"/>
      <c r="EG8" s="115"/>
      <c r="EH8" s="115"/>
      <c r="EI8" s="115"/>
      <c r="EJ8" s="115"/>
      <c r="EK8" s="115"/>
      <c r="EL8" s="115"/>
      <c r="EM8" s="115"/>
      <c r="EN8" s="115"/>
      <c r="EO8" s="115"/>
      <c r="EP8" s="115"/>
      <c r="EQ8" s="115"/>
      <c r="ER8" s="115"/>
      <c r="ES8" s="115"/>
      <c r="ET8" s="115"/>
      <c r="EU8" s="115"/>
      <c r="EV8" s="115"/>
      <c r="EW8" s="115"/>
      <c r="EX8" s="116"/>
      <c r="FJ8" s="114"/>
      <c r="FK8" s="114"/>
      <c r="FL8" s="114"/>
      <c r="FM8" s="75"/>
    </row>
    <row r="9" spans="1:169" s="108" customFormat="1" ht="4.5" hidden="1" customHeight="1">
      <c r="A9" s="44"/>
      <c r="B9" s="117"/>
      <c r="C9" s="118"/>
      <c r="D9" s="95"/>
      <c r="E9" s="71"/>
      <c r="F9" s="71"/>
      <c r="G9" s="96"/>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97"/>
      <c r="AT9" s="97"/>
      <c r="AU9" s="97"/>
      <c r="AV9" s="71"/>
      <c r="AW9" s="71"/>
      <c r="AX9" s="96"/>
      <c r="AY9" s="96"/>
      <c r="AZ9" s="71"/>
      <c r="BA9" s="71"/>
      <c r="BB9" s="71"/>
      <c r="BC9" s="71"/>
      <c r="BD9" s="71"/>
      <c r="BE9" s="71"/>
      <c r="BF9" s="71"/>
      <c r="BG9" s="71"/>
      <c r="BH9" s="71"/>
      <c r="BI9" s="71"/>
      <c r="BJ9" s="71"/>
      <c r="BK9" s="71"/>
      <c r="BL9" s="71"/>
      <c r="BM9" s="71"/>
      <c r="BN9" s="71"/>
      <c r="BO9" s="71"/>
      <c r="BP9" s="97"/>
      <c r="BQ9" s="97"/>
      <c r="BR9" s="97"/>
      <c r="BS9" s="97"/>
      <c r="BT9" s="97"/>
      <c r="BU9" s="112"/>
      <c r="BV9" s="99"/>
      <c r="BW9" s="99"/>
      <c r="BX9" s="100"/>
      <c r="BY9" s="101"/>
      <c r="BZ9" s="113"/>
      <c r="CA9" s="102"/>
      <c r="CB9" s="103"/>
      <c r="CC9" s="70"/>
      <c r="CD9" s="74"/>
      <c r="CE9" s="70"/>
      <c r="CF9" s="75"/>
      <c r="CG9" s="74"/>
      <c r="CH9" s="70"/>
      <c r="CI9" s="70"/>
      <c r="CJ9" s="75"/>
      <c r="CK9" s="70"/>
      <c r="CL9" s="70"/>
      <c r="CM9" s="74"/>
      <c r="CN9" s="104"/>
      <c r="CO9" s="105"/>
      <c r="CP9" s="104"/>
      <c r="CQ9" s="106"/>
      <c r="CR9" s="106"/>
      <c r="CS9" s="107"/>
      <c r="CT9" s="75"/>
      <c r="CV9" s="71"/>
      <c r="CW9" s="71"/>
      <c r="CX9" s="71"/>
      <c r="CY9" s="71"/>
      <c r="CZ9" s="71"/>
      <c r="DA9" s="71"/>
      <c r="DB9" s="71"/>
      <c r="DC9" s="114"/>
      <c r="DD9" s="71"/>
      <c r="DE9" s="71"/>
      <c r="DF9" s="71"/>
      <c r="DG9" s="114"/>
      <c r="DH9" s="114"/>
      <c r="DI9" s="114"/>
      <c r="DJ9" s="114"/>
      <c r="DK9" s="71"/>
      <c r="DL9" s="71"/>
      <c r="DM9" s="71"/>
      <c r="DN9" s="71"/>
      <c r="DO9" s="71"/>
      <c r="DP9" s="71"/>
      <c r="DQ9" s="71"/>
      <c r="DR9" s="71"/>
      <c r="DS9" s="71"/>
      <c r="DT9" s="71"/>
      <c r="DU9" s="71"/>
      <c r="DV9" s="71"/>
      <c r="DW9" s="71"/>
      <c r="DX9" s="71"/>
      <c r="DY9" s="71"/>
      <c r="DZ9" s="71"/>
      <c r="EA9" s="71"/>
      <c r="EB9" s="71"/>
      <c r="ED9" s="115"/>
      <c r="EE9" s="115"/>
      <c r="EF9" s="115"/>
      <c r="EG9" s="115"/>
      <c r="EH9" s="115"/>
      <c r="EI9" s="115"/>
      <c r="EJ9" s="115"/>
      <c r="EK9" s="115"/>
      <c r="EL9" s="115"/>
      <c r="EM9" s="115"/>
      <c r="EN9" s="115"/>
      <c r="EO9" s="115"/>
      <c r="EP9" s="115"/>
      <c r="EQ9" s="115"/>
      <c r="ER9" s="115"/>
      <c r="ES9" s="115"/>
      <c r="ET9" s="115"/>
      <c r="EU9" s="115"/>
      <c r="EV9" s="115"/>
      <c r="EW9" s="115"/>
      <c r="EX9" s="116"/>
      <c r="FJ9" s="114"/>
      <c r="FK9" s="114"/>
      <c r="FL9" s="114"/>
      <c r="FM9" s="75"/>
    </row>
    <row r="10" spans="1:169" s="108" customFormat="1" ht="4.5" customHeight="1">
      <c r="A10" s="44"/>
      <c r="B10" s="117"/>
      <c r="C10" s="118"/>
      <c r="D10" s="95"/>
      <c r="E10" s="71"/>
      <c r="F10" s="71"/>
      <c r="G10" s="96"/>
      <c r="H10" s="71"/>
      <c r="I10" s="71"/>
      <c r="J10" s="71"/>
      <c r="K10" s="71"/>
      <c r="L10" s="71"/>
      <c r="M10" s="71"/>
      <c r="N10" s="71"/>
      <c r="O10" s="71"/>
      <c r="P10" s="71"/>
      <c r="Q10" s="71"/>
      <c r="R10" s="71"/>
      <c r="S10" s="71"/>
      <c r="T10" s="71"/>
      <c r="U10" s="71"/>
      <c r="V10" s="71"/>
      <c r="W10" s="71"/>
      <c r="X10" s="71"/>
      <c r="Y10" s="71"/>
      <c r="Z10" s="71"/>
      <c r="AA10" s="71"/>
      <c r="AB10" s="71"/>
      <c r="AC10" s="71"/>
      <c r="AD10" s="71"/>
      <c r="AE10" s="71"/>
      <c r="AF10" s="71"/>
      <c r="AG10" s="71"/>
      <c r="AH10" s="71"/>
      <c r="AI10" s="71"/>
      <c r="AJ10" s="71"/>
      <c r="AK10" s="71"/>
      <c r="AL10" s="71"/>
      <c r="AM10" s="71"/>
      <c r="AN10" s="71"/>
      <c r="AO10" s="71"/>
      <c r="AP10" s="71"/>
      <c r="AQ10" s="71"/>
      <c r="AR10" s="71"/>
      <c r="AS10" s="97"/>
      <c r="AT10" s="97"/>
      <c r="AU10" s="97"/>
      <c r="AV10" s="71"/>
      <c r="AW10" s="71"/>
      <c r="AX10" s="96"/>
      <c r="AY10" s="96"/>
      <c r="AZ10" s="71"/>
      <c r="BA10" s="71"/>
      <c r="BB10" s="71"/>
      <c r="BC10" s="71"/>
      <c r="BD10" s="71"/>
      <c r="BE10" s="71"/>
      <c r="BF10" s="71"/>
      <c r="BG10" s="71"/>
      <c r="BH10" s="71"/>
      <c r="BI10" s="71"/>
      <c r="BJ10" s="71"/>
      <c r="BK10" s="71"/>
      <c r="BL10" s="71"/>
      <c r="BM10" s="71"/>
      <c r="BN10" s="71"/>
      <c r="BO10" s="71"/>
      <c r="BP10" s="97"/>
      <c r="BQ10" s="97"/>
      <c r="BR10" s="97"/>
      <c r="BS10" s="97"/>
      <c r="BT10" s="97"/>
      <c r="BU10" s="112"/>
      <c r="BV10" s="99"/>
      <c r="BW10" s="99"/>
      <c r="BX10" s="100"/>
      <c r="BY10" s="101"/>
      <c r="BZ10" s="113"/>
      <c r="CA10" s="102"/>
      <c r="CB10" s="103"/>
      <c r="CC10" s="70"/>
      <c r="CD10" s="74"/>
      <c r="CE10" s="70"/>
      <c r="CF10" s="75"/>
      <c r="CG10" s="74"/>
      <c r="CH10" s="70"/>
      <c r="CI10" s="70"/>
      <c r="CJ10" s="75"/>
      <c r="CK10" s="70"/>
      <c r="CL10" s="70"/>
      <c r="CM10" s="74"/>
      <c r="CN10" s="104"/>
      <c r="CO10" s="105"/>
      <c r="CP10" s="104"/>
      <c r="CQ10" s="106"/>
      <c r="CR10" s="106"/>
      <c r="CS10" s="107"/>
      <c r="CT10" s="75"/>
      <c r="CV10" s="71"/>
      <c r="CW10" s="71"/>
      <c r="CX10" s="71"/>
      <c r="CY10" s="71"/>
      <c r="CZ10" s="71"/>
      <c r="DA10" s="71"/>
      <c r="DB10" s="71"/>
      <c r="DC10" s="114"/>
      <c r="DD10" s="71"/>
      <c r="DE10" s="71"/>
      <c r="DF10" s="71"/>
      <c r="DG10" s="114"/>
      <c r="DH10" s="114"/>
      <c r="DI10" s="114"/>
      <c r="DJ10" s="114"/>
      <c r="DK10" s="71"/>
      <c r="DL10" s="71"/>
      <c r="DM10" s="71"/>
      <c r="DN10" s="71"/>
      <c r="DO10" s="71"/>
      <c r="DP10" s="71"/>
      <c r="DQ10" s="71"/>
      <c r="DR10" s="71"/>
      <c r="DS10" s="71"/>
      <c r="DT10" s="71"/>
      <c r="DU10" s="71"/>
      <c r="DV10" s="71"/>
      <c r="DW10" s="71"/>
      <c r="DX10" s="71"/>
      <c r="DY10" s="71"/>
      <c r="DZ10" s="71"/>
      <c r="EA10" s="71"/>
      <c r="EB10" s="71"/>
      <c r="ED10" s="115"/>
      <c r="EE10" s="115"/>
      <c r="EF10" s="115"/>
      <c r="EG10" s="115"/>
      <c r="EH10" s="115"/>
      <c r="EI10" s="115"/>
      <c r="EJ10" s="115"/>
      <c r="EK10" s="115"/>
      <c r="EL10" s="115"/>
      <c r="EM10" s="115"/>
      <c r="EN10" s="115"/>
      <c r="EO10" s="115"/>
      <c r="EP10" s="115"/>
      <c r="EQ10" s="115"/>
      <c r="ER10" s="115"/>
      <c r="ES10" s="115"/>
      <c r="ET10" s="115"/>
      <c r="EU10" s="115"/>
      <c r="EV10" s="115"/>
      <c r="EW10" s="115"/>
      <c r="EX10" s="116"/>
      <c r="FJ10" s="114"/>
      <c r="FK10" s="114"/>
      <c r="FL10" s="114"/>
      <c r="FM10" s="75"/>
    </row>
    <row r="11" spans="1:169" s="985" customFormat="1" ht="4.5" customHeight="1">
      <c r="A11" s="976"/>
      <c r="B11" s="65" t="s">
        <v>940</v>
      </c>
      <c r="C11" s="65"/>
      <c r="D11" s="66" t="s">
        <v>35</v>
      </c>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t="s">
        <v>70</v>
      </c>
      <c r="BX11" s="976"/>
      <c r="BY11" s="65"/>
      <c r="BZ11" s="977" t="s">
        <v>408</v>
      </c>
      <c r="CA11" s="67"/>
      <c r="CB11" s="68"/>
      <c r="CC11" s="65"/>
      <c r="CD11" s="978"/>
      <c r="CE11" s="65"/>
      <c r="CF11" s="979"/>
      <c r="CG11" s="978"/>
      <c r="CH11" s="65"/>
      <c r="CI11" s="65"/>
      <c r="CJ11" s="979"/>
      <c r="CK11" s="65"/>
      <c r="CL11" s="65"/>
      <c r="CM11" s="978"/>
      <c r="CN11" s="980"/>
      <c r="CO11" s="981"/>
      <c r="CP11" s="980"/>
      <c r="CQ11" s="982"/>
      <c r="CR11" s="982"/>
      <c r="CS11" s="983"/>
      <c r="CT11" s="979"/>
      <c r="CU11" s="65"/>
      <c r="CV11" s="65"/>
      <c r="CW11" s="65"/>
      <c r="CX11" s="65"/>
      <c r="CY11" s="65"/>
      <c r="CZ11" s="65"/>
      <c r="DA11" s="65"/>
      <c r="DB11" s="65"/>
      <c r="DC11" s="976"/>
      <c r="DD11" s="65"/>
      <c r="DE11" s="65"/>
      <c r="DF11" s="65"/>
      <c r="DG11" s="976"/>
      <c r="DH11" s="976"/>
      <c r="DI11" s="976"/>
      <c r="DJ11" s="976"/>
      <c r="DK11" s="65"/>
      <c r="DL11" s="65"/>
      <c r="DM11" s="65"/>
      <c r="DN11" s="65"/>
      <c r="DO11" s="65"/>
      <c r="DP11" s="65"/>
      <c r="DQ11" s="65"/>
      <c r="DR11" s="65"/>
      <c r="DS11" s="65"/>
      <c r="DT11" s="65"/>
      <c r="DU11" s="65"/>
      <c r="DV11" s="65"/>
      <c r="DW11" s="65"/>
      <c r="DX11" s="65"/>
      <c r="DY11" s="65"/>
      <c r="DZ11" s="65"/>
      <c r="EA11" s="65"/>
      <c r="EB11" s="65"/>
      <c r="EC11" s="65"/>
      <c r="ED11" s="69"/>
      <c r="EE11" s="69"/>
      <c r="EF11" s="69"/>
      <c r="EG11" s="69"/>
      <c r="EH11" s="69"/>
      <c r="EI11" s="69"/>
      <c r="EJ11" s="69"/>
      <c r="EK11" s="69"/>
      <c r="EL11" s="69"/>
      <c r="EM11" s="69"/>
      <c r="EN11" s="69"/>
      <c r="EO11" s="69"/>
      <c r="EP11" s="69"/>
      <c r="EQ11" s="69"/>
      <c r="ER11" s="69"/>
      <c r="ES11" s="69"/>
      <c r="ET11" s="69"/>
      <c r="EU11" s="69"/>
      <c r="EV11" s="69"/>
      <c r="EW11" s="69"/>
      <c r="EX11" s="984"/>
      <c r="EY11" s="65"/>
      <c r="EZ11" s="65"/>
      <c r="FA11" s="65"/>
      <c r="FB11" s="65"/>
      <c r="FC11" s="65"/>
      <c r="FD11" s="65"/>
      <c r="FE11" s="65"/>
      <c r="FF11" s="65"/>
      <c r="FG11" s="65"/>
      <c r="FH11" s="65"/>
      <c r="FI11" s="65"/>
      <c r="FJ11" s="65" t="s">
        <v>2651</v>
      </c>
      <c r="FK11" s="65" t="s">
        <v>2652</v>
      </c>
      <c r="FL11" s="65" t="s">
        <v>233</v>
      </c>
      <c r="FM11" s="979"/>
    </row>
    <row r="12" spans="1:169" s="13" customFormat="1" ht="12.75" customHeight="1">
      <c r="A12" s="1341">
        <f>AR113-BOM!G12</f>
        <v>2.8850000000000013E-4</v>
      </c>
      <c r="B12" s="387" t="str">
        <f>BOM!$A$3</f>
        <v>01 HiSense High</v>
      </c>
      <c r="C12" s="388"/>
      <c r="D12" s="389" cm="1">
        <f t="array" ref="D12">IF($CG12=0,0,INDEX(BOM!$N:$N,$CG12))</f>
        <v>1</v>
      </c>
      <c r="E12" s="644" t="s">
        <v>664</v>
      </c>
      <c r="F12" s="644" t="s">
        <v>664</v>
      </c>
      <c r="G12" s="644" t="s">
        <v>664</v>
      </c>
      <c r="H12" s="644" t="s">
        <v>664</v>
      </c>
      <c r="I12" s="644" t="s">
        <v>664</v>
      </c>
      <c r="J12" s="644" t="s">
        <v>664</v>
      </c>
      <c r="K12" s="644" t="s">
        <v>664</v>
      </c>
      <c r="L12" s="644" t="s">
        <v>664</v>
      </c>
      <c r="M12" s="644" t="s">
        <v>664</v>
      </c>
      <c r="N12" s="644" t="s">
        <v>664</v>
      </c>
      <c r="O12" s="644" t="s">
        <v>664</v>
      </c>
      <c r="P12" s="644" t="s">
        <v>664</v>
      </c>
      <c r="Q12" s="644" t="s">
        <v>664</v>
      </c>
      <c r="R12" s="644" t="s">
        <v>664</v>
      </c>
      <c r="S12" s="644" t="s">
        <v>664</v>
      </c>
      <c r="T12" s="644" t="s">
        <v>664</v>
      </c>
      <c r="U12" s="644" t="s">
        <v>664</v>
      </c>
      <c r="V12" s="644" t="s">
        <v>664</v>
      </c>
      <c r="W12" s="644" t="s">
        <v>664</v>
      </c>
      <c r="X12" s="644" t="s">
        <v>664</v>
      </c>
      <c r="Y12" s="644" t="s">
        <v>664</v>
      </c>
      <c r="Z12" s="644" t="s">
        <v>664</v>
      </c>
      <c r="AA12" s="644" t="s">
        <v>664</v>
      </c>
      <c r="AB12" s="644" t="s">
        <v>664</v>
      </c>
      <c r="AC12" s="644" t="s">
        <v>664</v>
      </c>
      <c r="AD12" s="644" t="s">
        <v>664</v>
      </c>
      <c r="AE12" s="644" t="s">
        <v>664</v>
      </c>
      <c r="AF12" s="644" t="s">
        <v>664</v>
      </c>
      <c r="AG12" s="644" t="s">
        <v>664</v>
      </c>
      <c r="AH12" s="644" t="s">
        <v>664</v>
      </c>
      <c r="AI12" s="644" t="s">
        <v>664</v>
      </c>
      <c r="AJ12" s="644" t="s">
        <v>664</v>
      </c>
      <c r="AK12" s="644" t="s">
        <v>664</v>
      </c>
      <c r="AL12" s="644" t="s">
        <v>664</v>
      </c>
      <c r="AM12" s="644" t="s">
        <v>664</v>
      </c>
      <c r="AN12" s="644" t="s">
        <v>664</v>
      </c>
      <c r="AO12" s="644" t="s">
        <v>664</v>
      </c>
      <c r="AP12" s="644" t="s">
        <v>664</v>
      </c>
      <c r="AQ12" s="644" t="s">
        <v>664</v>
      </c>
      <c r="AR12" s="644" t="s">
        <v>664</v>
      </c>
      <c r="AS12" s="644" t="s">
        <v>664</v>
      </c>
      <c r="AT12" s="644" t="s">
        <v>664</v>
      </c>
      <c r="AU12" s="644" t="s">
        <v>664</v>
      </c>
      <c r="AV12" s="644" t="s">
        <v>664</v>
      </c>
      <c r="AW12" s="644" t="s">
        <v>664</v>
      </c>
      <c r="AX12" s="644" t="s">
        <v>664</v>
      </c>
      <c r="AY12" s="644" t="s">
        <v>664</v>
      </c>
      <c r="AZ12" s="644" t="s">
        <v>664</v>
      </c>
      <c r="BA12" s="644" t="s">
        <v>664</v>
      </c>
      <c r="BB12" s="644" t="s">
        <v>664</v>
      </c>
      <c r="BC12" s="644" t="s">
        <v>664</v>
      </c>
      <c r="BD12" s="644" t="s">
        <v>664</v>
      </c>
      <c r="BE12" s="644" t="s">
        <v>664</v>
      </c>
      <c r="BF12" s="644" t="s">
        <v>664</v>
      </c>
      <c r="BG12" s="644" t="s">
        <v>664</v>
      </c>
      <c r="BH12" s="644" t="s">
        <v>664</v>
      </c>
      <c r="BI12" s="644" t="s">
        <v>664</v>
      </c>
      <c r="BJ12" s="644" t="s">
        <v>664</v>
      </c>
      <c r="BK12" s="644" t="s">
        <v>664</v>
      </c>
      <c r="BL12" s="644" t="s">
        <v>664</v>
      </c>
      <c r="BM12" s="644" t="s">
        <v>664</v>
      </c>
      <c r="BN12" s="644" t="s">
        <v>664</v>
      </c>
      <c r="BO12" s="644" t="s">
        <v>664</v>
      </c>
      <c r="BP12" s="644" t="s">
        <v>664</v>
      </c>
      <c r="BQ12" s="644" t="s">
        <v>664</v>
      </c>
      <c r="BR12" s="644" t="s">
        <v>664</v>
      </c>
      <c r="BS12" s="920">
        <f>SUM(INDEX($BS:$BS,ROW()+1):INDEX($BS:$BS,$CE12))</f>
        <v>0</v>
      </c>
      <c r="BT12" s="920">
        <f>SUM(INDEX($BT:$BT,ROW()+1):INDEX($BT:$BT,$CE12))</f>
        <v>0</v>
      </c>
      <c r="BU12" s="644" t="s">
        <v>664</v>
      </c>
      <c r="BV12" s="643">
        <f>SUMPRODUCT($BS12:INDEX($BS:$BS,$CE12),$BU12:INDEX($BU:$BU,$CE12))</f>
        <v>0</v>
      </c>
      <c r="BW12" s="390">
        <f>$D12*$BV12</f>
        <v>0</v>
      </c>
      <c r="BX12" s="816" cm="1">
        <f t="array" ref="BX12">IF($CG12=0,0,IF(INDEX(BOM!$P:$P,$CG12)=0,0,
SUMPRODUCT($BW12:INDEX($BW:$BW,IFERROR(ROW()+MATCH($CL12,INDEX($CL:$CL,ROW()+1):INDEX($CL:$CL,MAX($CE:$CE)),0)-1,MAX($CE:$CE))),
($CL12:INDEX($CL:$CL,IFERROR(ROW()+MATCH($CL12,INDEX($CL:$CL,ROW()+1):INDEX($CL:$CL,MAX($CE:$CE)),0)-1,MAX($CE:$CE)))&gt;=$CL12)*1)
))</f>
        <v>26.481379688697388</v>
      </c>
      <c r="BY12" s="391"/>
      <c r="BZ12" s="392" cm="1">
        <f t="array" ref="BZ12">IF($CG12=0,0,INDEX(BOM!$M:$M,$CG12))</f>
        <v>1</v>
      </c>
      <c r="CA12" s="280">
        <f>IF($BZ12&gt;0,VALUE(LEFT($BZ12,IF(ISERROR(FIND("-",$BZ12)),LEN($BZ12),FIND("-",$BZ12)-1))),INDEX($BZ$1:BZ12,MATCH("",$A$1:A12,-1)))</f>
        <v>1</v>
      </c>
      <c r="CB12" s="280">
        <f>IF(LEN($BZ12)-LEN(SUBSTITUTE($BZ12,"-",))&gt;1,
VALUE(MID($BZ12,FIND("-",$BZ12)+1,FIND("-",$BZ12,FIND("-",$BZ12)+1)-FIND("-",$BZ12)-1)),0)</f>
        <v>0</v>
      </c>
      <c r="CC12" s="280">
        <f>IF(NOT(ISERROR(FIND("-",BZ12))),
VALUE(RIGHT($BZ12,LEN($BZ12)-IF(LEN($BZ12)-LEN(SUBSTITUTE($BZ12,"-",""))=1,FIND("-",$BZ12),FIND("-",$BZ12,FIND("-",$BZ12)+1)))),0)</f>
        <v>0</v>
      </c>
      <c r="CD12" s="393"/>
      <c r="CE12" s="280" cm="1">
        <f t="array" ref="CE12">ROW()+MATCH(TRUE,_xlfn.ISFORMULA(INDEX(BW:BW,ROW()+1):INDEX(BW:BW,ROW()+MaxNumberOfRowsPerBlock)),0)-1</f>
        <v>14</v>
      </c>
      <c r="CF12" s="394" cm="1">
        <f t="array" ref="CF12">IF(CL12=0,-1,IF(CL12=1,7,MAX(IF($CL$1:$CL12=CL12-1,ROW($CL$1:$CL12),0))))</f>
        <v>7</v>
      </c>
      <c r="CG12" s="393">
        <f>IFERROR(MATCH($B12,BOM!$A:$A,0),0)</f>
        <v>3</v>
      </c>
      <c r="CH12" s="280">
        <f>MATCH($CA12,Premises!$A$10:$F$10,0)</f>
        <v>4</v>
      </c>
      <c r="CI12" s="280"/>
      <c r="CJ12" s="394"/>
      <c r="CK12" s="280"/>
      <c r="CL12" s="280" cm="1">
        <f t="array" ref="CL12">IF($CG12=0,0,INDEX(BOM!$C:$C,$CG12))</f>
        <v>1</v>
      </c>
      <c r="CM12" s="395" cm="1">
        <f t="array" ref="CM12">IF($CG12=0,0,IF(OR($CF12&lt;0,AND(INDEX($CB:$CB,$CF12)=$CB12,INDEX($CC:$CC,$CF12)=$CC12)),0,IF(INDEX(BOM!$P:$P,$CG12)=0,$BT12,(SUMIF($CA12:INDEX($CA:$CA,IFERROR(ROW()+MATCH($CL12,INDEX($CL:$CL,ROW()+1):INDEX($CL:$CL,MAX($CE:$CE)),0)-1,MAX($CE:$CE))),$CA12,$BT12:INDEX($BT:$BT,IFERROR(ROW()+MATCH($CL12,INDEX($CL:$CL,ROW()+1):INDEX($CL:$CL,MAX($CE:$CE)),0)-1,MAX($CE:$CE))))+SUMIF($CB12:INDEX($CB:$CB,IFERROR(ROW()+MATCH($CL12,INDEX($CL:$CL,ROW()+1):INDEX($CL:$CL,MAX($CE:$CE)),0)-1,MAX($CE:$CE))),$CA12,$BT12:INDEX($BT:$BT,IFERROR(ROW()+MATCH($CL12,INDEX($CL:$CL,ROW()+1):INDEX($CL:$CL,MAX($CE:$CE)),0)-1,MAX($CE:$CE)))))/2)))</f>
        <v>0</v>
      </c>
      <c r="CN12" s="396" cm="1">
        <f t="array" ref="CN12">IFERROR(IF($CB12=0,0,IF($CM12=0,INDEX($CN$1:$CN12,$CF12),INDEX(IF($CM12&lt;0.2,Premises!$A$43:$F$43,IF($CM12&lt;5,Premises!$A$46:$F$46,Premises!$A$49:$F$49)),MATCH($CB12,Premises!$A$10:$F$10,0))/($CM12*INDEX(Premises!$A$13:$F$13,MATCH($CB12,Premises!$A$10:$F$10,0)))+INDEX(IF($CM12&lt;0.2,Premises!$A$44:$F$44,IF($CM12&lt;5,Premises!$A$47:$F$47,Premises!$A$50:$F$50)),MATCH($CB12,Premises!$A$10:$F$10,0))+INDEX(IF($CM12&lt;0.2,Premises!$A$45:$F$45,IF($CM12&lt;5,Premises!$A$48:$F$48,Premises!$A$51:$F$51)),MATCH($CB12,Premises!$A$10:$F$10,0))/$CM12)),0.01)</f>
        <v>0</v>
      </c>
      <c r="CO12" s="395" cm="1">
        <f t="array" ref="CO12">IF($CG12=0,0,IF(INDEX($CC:$CC,$CF12)=$CC12,0,$CM12*(1+IFERROR(INDEX(Premises!$A$52:$F$52,1,MATCH($CB12,Premises!$A$10:$F$10,0)),0)+$CN12)))</f>
        <v>0</v>
      </c>
      <c r="CP12" s="396" cm="1">
        <f t="array" ref="CP12">IFERROR(IF($CC12=0,0,IF($CO12=0,INDEX($CP$1:$CP12,$CF12),INDEX(IF($CO12&lt;0.2,Premises!$A$43:$F$43,IF($CO12&lt;5,Premises!$A$46:$F$46,Premises!$A$49:$F$49)),MATCH($CC12,Premises!$A$10:$F$10,0))/($CO12*INDEX(Premises!$A$13:$F$13,MATCH($CC12,Premises!$A$10:$F$10,0)))+INDEX(IF($CO12&lt;0.2,Premises!$A$44:$F$44,IF($CO12&lt;5,Premises!$A$47:$F$47,Premises!$A$50:$F$50)),MATCH($CC12,Premises!$A$10:$F$10,0))+INDEX(IF($CO12&lt;0.2,Premises!$A$45:$F$45,IF($CO12&lt;5,Premises!$A$48:$F$48,Premises!$A$51:$F$51)),MATCH($CC12,Premises!$A$10:$F$10,0))/$CO12)),0.01)</f>
        <v>0</v>
      </c>
      <c r="CQ12" s="397" cm="1">
        <f t="array" ref="CQ12">IF(AND($CM12=0,$CO12=0),0,INDEX(BOM!$O:$O,$CG12))</f>
        <v>0</v>
      </c>
      <c r="CR12" s="398" cm="1">
        <f t="array" ref="CR12">IF(OR($CM12=0,$CN12=0),0,ACOS(COS(RADIANS(90-INDEX(Premises!$A$66:$F$66,1,$CH12)))*COS(RADIANS(90-INDEX(Premises!$A$66:$F$66,1,MATCH($CB12,Premises!$A$10:$F$10,0))))
+SIN(RADIANS(90-INDEX(Premises!$A$66:$F$66,1,$CH12)))*SIN(RADIANS(90-INDEX(Premises!$A$66:$F$66,1,MATCH($CB12,Premises!$A$10:$F$10,0)))) * COS(RADIANS(INDEX(Premises!$A$67:$F$67,1,$CH12)-INDEX(Premises!$A$67:$F$67,1,MATCH($CB12,Premises!$A$10:$F$10,0)))))*6371)</f>
        <v>0</v>
      </c>
      <c r="CS12" s="398" cm="1">
        <f t="array" ref="CS12">IF(OR($CO12=0,$CP12=0),0,
IF($CR12=0,ACOS(COS(RADIANS(90-INDEX(Premises!$A$66:$F$66,1,$CH12)))*COS(RADIANS(90-INDEX(Premises!$A$66:$F$66,1,MATCH($CC12,Premises!$A$10:$F$10,0))))
+SIN(RADIANS(90-INDEX(Premises!$A$66:$F$66,1,$CH12)))*SIN(RADIANS(90-INDEX(Premises!$A$66:$F$66,1,MATCH($CC12,Premises!$A$10:$F$10,0))))*COS(RADIANS(INDEX(Premises!$A$67:$F$67,1,$CH12)-INDEX(Premises!$A$67:$F$67,1,MATCH($CC12,Premises!$A$10:$F$10,0)))))*6371,
ACOS(COS(RADIANS(90-INDEX(Premises!$A$66:$F$66,1,MATCH($CB12,Premises!$A$10:$F$10,0))))*COS(RADIANS(90-INDEX(Premises!$A$66:$F$66,1,MATCH($CC12,Premises!$A$10:$F$10,0))))
+SIN(RADIANS(90-INDEX(Premises!$A$66:$F$66,1,MATCH($CB12,Premises!$A$10:$F$10,0))))*SIN(RADIANS(90-INDEX(Premises!$A$66:$F$66,1,MATCH($CC12,Premises!$A$10:$F$10,0))))*COS(RADIANS(INDEX(Premises!$A$67:$F$67,1,MATCH($CB12,Premises!$A$10:$F$10,0))-INDEX(Premises!$A$67:$F$67,1,MATCH($CC12,Premises!$A$10:$F$10,0)))))*6371))</f>
        <v>0</v>
      </c>
      <c r="CT12" s="969"/>
      <c r="CU12" s="2"/>
      <c r="CV12" s="399">
        <f>SUM(INDEX(CV:CV,ROW()+1):INDEX(CV:CV,$CE12))</f>
        <v>0</v>
      </c>
      <c r="CW12" s="400">
        <f>SUM(INDEX(CW:CW,ROW()+1):INDEX(CW:CW,$CE12))</f>
        <v>0</v>
      </c>
      <c r="CX12" s="400">
        <f>SUM(INDEX(CX:CX,ROW()+1):INDEX(CX:CX,$CE12))</f>
        <v>0</v>
      </c>
      <c r="CY12" s="400">
        <f>SUM(INDEX(CY:CY,ROW()+1):INDEX(CY:CY,$CE12))</f>
        <v>0</v>
      </c>
      <c r="CZ12" s="400">
        <f>SUM(INDEX(CZ:CZ,ROW()+1):INDEX(CZ:CZ,$CE12))</f>
        <v>0</v>
      </c>
      <c r="DA12" s="400">
        <f>SUM(INDEX(DA:DA,ROW()+1):INDEX(DA:DA,$CE12))</f>
        <v>0</v>
      </c>
      <c r="DB12" s="400">
        <f>SUM(INDEX(DB:DB,ROW()+1):INDEX(DB:DB,$CE12))</f>
        <v>0</v>
      </c>
      <c r="DC12" s="400">
        <f>SUM(INDEX(DC:DC,ROW()+1):INDEX(DC:DC,$CE12))</f>
        <v>0</v>
      </c>
      <c r="DD12" s="400">
        <f>SUM(INDEX(DD:DD,ROW()+1):INDEX(DD:DD,$CE12))</f>
        <v>0</v>
      </c>
      <c r="DE12" s="400">
        <f>SUM(INDEX(DE:DE,ROW()+1):INDEX(DE:DE,$CE12))</f>
        <v>0</v>
      </c>
      <c r="DF12" s="400">
        <f>SUM(INDEX(DF:DF,ROW()+1):INDEX(DF:DF,$CE12))</f>
        <v>0</v>
      </c>
      <c r="DG12" s="400">
        <f>SUM(INDEX(DG:DG,ROW()+1):INDEX(DG:DG,$CE12))</f>
        <v>0</v>
      </c>
      <c r="DH12" s="400">
        <f>SUM(INDEX(DH:DH,ROW()+1):INDEX(DH:DH,$CE12))</f>
        <v>0</v>
      </c>
      <c r="DI12" s="400">
        <f>SUM(INDEX(DI:DI,ROW()+1):INDEX(DI:DI,$CE12))</f>
        <v>0</v>
      </c>
      <c r="DJ12" s="400">
        <f>SUM(INDEX(DJ:DJ,ROW()+1):INDEX(DJ:DJ,$CE12))</f>
        <v>0</v>
      </c>
      <c r="DK12" s="400">
        <f>SUM(INDEX(DK:DK,ROW()+1):INDEX(DK:DK,$CE12))</f>
        <v>0</v>
      </c>
      <c r="DL12" s="400">
        <f>SUM(INDEX(DL:DL,ROW()+1):INDEX(DL:DL,$CE12))</f>
        <v>0</v>
      </c>
      <c r="DM12" s="400">
        <f>SUM(INDEX(DM:DM,ROW()+1):INDEX(DM:DM,$CE12))</f>
        <v>0</v>
      </c>
      <c r="DN12" s="400">
        <f>SUM(INDEX(DN:DN,ROW()+1):INDEX(DN:DN,$CE12))</f>
        <v>0</v>
      </c>
      <c r="DO12" s="400">
        <f>SUM(INDEX(DO:DO,ROW()+1):INDEX(DO:DO,$CE12))</f>
        <v>0</v>
      </c>
      <c r="DP12" s="400">
        <f>SUM(INDEX(DP:DP,ROW()+1):INDEX(DP:DP,$CE12))</f>
        <v>0</v>
      </c>
      <c r="DQ12" s="400">
        <f>SUM(INDEX(DQ:DQ,ROW()+1):INDEX(DQ:DQ,$CE12))</f>
        <v>0</v>
      </c>
      <c r="DR12" s="400">
        <f>SUM(INDEX(DR:DR,ROW()+1):INDEX(DR:DR,$CE12))</f>
        <v>0</v>
      </c>
      <c r="DS12" s="400">
        <f>SUM(INDEX(DS:DS,ROW()+1):INDEX(DS:DS,$CE12))</f>
        <v>0</v>
      </c>
      <c r="DT12" s="400">
        <f>SUM(INDEX(DT:DT,ROW()+1):INDEX(DT:DT,$CE12))</f>
        <v>0</v>
      </c>
      <c r="DU12" s="400">
        <f>SUM(INDEX(DU:DU,ROW()+1):INDEX(DU:DU,$CE12))</f>
        <v>0</v>
      </c>
      <c r="DV12" s="400">
        <f>SUM(INDEX(DV:DV,ROW()+1):INDEX(DV:DV,$CE12))</f>
        <v>0</v>
      </c>
      <c r="DW12" s="400">
        <f>SUM(INDEX(DW:DW,ROW()+1):INDEX(DW:DW,$CE12))</f>
        <v>0</v>
      </c>
      <c r="DX12" s="400">
        <f>SUM(INDEX(DX:DX,ROW()+1):INDEX(DX:DX,$CE12))</f>
        <v>0</v>
      </c>
      <c r="DY12" s="400">
        <f>SUM(INDEX(DY:DY,ROW()+1):INDEX(DY:DY,$CE12))</f>
        <v>0</v>
      </c>
      <c r="DZ12" s="400">
        <f>SUM(INDEX(DZ:DZ,ROW()+1):INDEX(DZ:DZ,$CE12))</f>
        <v>0</v>
      </c>
      <c r="EA12" s="400">
        <f>SUM(INDEX(EA:EA,ROW()+1):INDEX(EA:EA,$CE12))</f>
        <v>0</v>
      </c>
      <c r="EB12" s="401">
        <f>SUM(INDEX(EB:EB,ROW()+1):INDEX(EB:EB,$CE12))</f>
        <v>0</v>
      </c>
      <c r="EC12" s="805"/>
      <c r="ED12" s="399"/>
      <c r="EE12" s="400"/>
      <c r="EF12" s="1112"/>
      <c r="EG12" s="1112"/>
      <c r="EH12" s="1112"/>
      <c r="EI12" s="1112"/>
      <c r="EJ12" s="1112"/>
      <c r="EK12" s="1112"/>
      <c r="EL12" s="1112"/>
      <c r="EM12" s="1112"/>
      <c r="EN12" s="1112"/>
      <c r="EO12" s="1112"/>
      <c r="EP12" s="1112"/>
      <c r="EQ12" s="1112"/>
      <c r="ER12" s="1112"/>
      <c r="ES12" s="1112"/>
      <c r="ET12" s="1112"/>
      <c r="EU12" s="1112"/>
      <c r="EV12" s="1112"/>
      <c r="EW12" s="1112"/>
      <c r="EX12" s="1113"/>
      <c r="EY12" s="2"/>
      <c r="EZ12" s="2"/>
      <c r="FA12" s="2"/>
      <c r="FB12" s="2"/>
      <c r="FC12" s="2"/>
      <c r="FD12" s="2"/>
      <c r="FE12" s="2"/>
      <c r="FF12" s="2"/>
      <c r="FG12" s="2"/>
      <c r="FH12" s="2"/>
      <c r="FI12" s="2"/>
      <c r="FJ12" s="399"/>
      <c r="FK12" s="400"/>
      <c r="FL12" s="401"/>
      <c r="FM12" s="969"/>
    </row>
    <row r="13" spans="1:169" s="13" customFormat="1" ht="12.75" customHeight="1">
      <c r="A13" s="221"/>
      <c r="B13" s="402" t="s">
        <v>905</v>
      </c>
      <c r="C13" s="403"/>
      <c r="D13" s="646"/>
      <c r="E13" s="404"/>
      <c r="F13" s="405"/>
      <c r="G13" s="405"/>
      <c r="H13" s="405"/>
      <c r="I13" s="637" cm="1">
        <f t="array" ref="I13">IF($CI13=0,0,IFERROR(INDEX(MHR[],$CI13,MATCH($CA13,MHR!$B$4:$AY$4,0)),0))</f>
        <v>0</v>
      </c>
      <c r="J13" s="634">
        <f>IF(COUNTBLANK($E13:$H13),0,IFERROR($F13/$H13/IF($G13="s",3600,IF($G13="min",60,IF($G13="h",1,0)))*I13,0))</f>
        <v>0</v>
      </c>
      <c r="K13" s="406"/>
      <c r="L13" s="407"/>
      <c r="M13" s="871"/>
      <c r="N13" s="407"/>
      <c r="O13" s="405"/>
      <c r="P13" s="645" cm="1">
        <f t="array" ref="P13">IF($K13=0,0,IFERROR(ROUNDUP(IF(ISNUMBER($K13),$K13,INDEX($D$1:$D13,$CD13)*INDEX(Premises!$A$13:$F$13,1,$CH13)/IF(OR($K13="T",$K13="D"),250,IF($K13="W",50,IF($K13="M",12,IF(OR($K13="HJ",$K13="HY"),2,IF(OR($K13="J",$K13="Y"),1,0)))))),0),0))</f>
        <v>0</v>
      </c>
      <c r="Q13" s="637" cm="1">
        <f t="array" ref="Q13">IF($K13=0,0,IFERROR(INDEX(Premises!$A$22:$F$22,1,$CH13)*100/INDEX(Premises!$A$16:$F$16,1,$CH13),0))</f>
        <v>0</v>
      </c>
      <c r="R13" s="634">
        <f>IF($P13=0,0,IFERROR(($L13/60*($I13+$Q13*$M13)+($N13/60*($Q13*$O13)))/$P13,0))</f>
        <v>0</v>
      </c>
      <c r="S13" s="408"/>
      <c r="T13" s="409"/>
      <c r="U13" s="637" cm="1">
        <f t="array" ref="U13">IF(COUNTBLANK($S13:$T13),0,
IF(AND(INDEX(MHR[Schichtmodell],$CI13)&lt;&gt;0,INDEX(MHR[Schichtmodell],$CI13)&lt;&gt;INDEX(Premises!$A$20:$F$20,1,$CH13)),ExchangeRate*
IF(OR($T13="M",$T13="U"),IF(INDEX(MHR[Schichtmodell],$CI13)=1,INDEX(LOC[M1S],INDEX(Premises!$A$18:$F$18,1,$CH13+1)),IF(INDEX(MHR[Schichtmodell],$CI13)=2,INDEX(LOC[M2S],INDEX(Premises!$A$18:$F$18,1,$CH13+1),IF(INDEX(MHR[Schichtmodell],$CI13)=3,INDEX(LOC[M3S],INDEX(Premises!$A$18:$F$18,1,$CH13+1)),0)))),
IF(INDEX(MHR[Schichtmodell],$CI13)=1,INDEX(LOC[F1S],INDEX(Premises!$A$18:$F$18,1,$CH13+1)),IF(INDEX(MHR[Schichtmodell],$CI13)=2,INDEX(LOC[F2S],INDEX(Premises!$A$18:$F$18,1,$CH13+1)),IF(INDEX(MHR[Schichtmodell],$CI13)=3,INDEX(LOC[F3S],INDEX(Premises!$A$18:$F$18,1,$CH13+1)),0)))),
IF(OR($T13="M",$T13="U"),INDEX(Premises!$A$21:$F$21,1,$CH13),
IF(OR($T13="F",$T13="S"),INDEX(Premises!$A$22:$F$22,1,$CH13),0)))*100/INDEX(Premises!$A$16:$F$16,1,$CH13))</f>
        <v>0</v>
      </c>
      <c r="V13" s="631">
        <f>IF($U13=0,0,IFERROR($F13/$H13/IF($G13="s",3600,IF($G13="min",60,IF($G13="h",1,0)))*$S13*$U13,0))</f>
        <v>0</v>
      </c>
      <c r="W13" s="410"/>
      <c r="X13" s="403"/>
      <c r="Y13" s="411"/>
      <c r="Z13" s="412"/>
      <c r="AA13" s="628">
        <f>IFERROR($X13*$Z13/$Y13/MAX(1,$H13),0)</f>
        <v>0</v>
      </c>
      <c r="AB13" s="410"/>
      <c r="AC13" s="403"/>
      <c r="AD13" s="411"/>
      <c r="AE13" s="413"/>
      <c r="AF13" s="628">
        <f>IFERROR($AC13*$AE13/$AD13,0)</f>
        <v>0</v>
      </c>
      <c r="AG13" s="629" cm="1">
        <f t="array" ref="AG13">IF(($J13+$V13+$AF13)=0,0,INDEX(Premises!$A$30:$F$30,1,$CH13)/100)</f>
        <v>0</v>
      </c>
      <c r="AH13" s="414"/>
      <c r="AI13" s="415"/>
      <c r="AJ13" s="416"/>
      <c r="AK13" s="630">
        <f>IF(COUNTBLANK($AH13:$AI13),0,$AH13*$AI13*$AG13)</f>
        <v>0</v>
      </c>
      <c r="AL13" s="631">
        <f>($AK13+$AJ13*$AG13*(1-$AH13)+($J13+$V13+$AF13)*$AG13*(1-$AH13))</f>
        <v>0</v>
      </c>
      <c r="AM13" s="632" cm="1">
        <f t="array" ref="AM13">IF($CI13=0,0,IFERROR(INDEX(MHR[],$CI13,MATCH($CA13,MHR!$B$4:$AY$4,0)+11),0))</f>
        <v>0</v>
      </c>
      <c r="AN13" s="633" cm="1">
        <f t="array" ref="AN13">IF(($J13+$V13)=0,0,IFERROR(IF(INDEX(Premises!$A$41:$F$41,1,$CH13)&lt;&gt;0,INDEX(Premises!$A$41:$F$41,1,$CH13)/100,(IFERROR(($J13/$I13)*$AM13,0)/($V13+$J13+$R13+$AL13))),0))</f>
        <v>0</v>
      </c>
      <c r="AO13" s="634">
        <f>IF(($J13+$V13)=0,0,IF(IFERROR(($J13+$R13+$V13+$AL13)*$AN13,0)&lt;&gt;IFERROR(($J13/$I13)*$AM13,0),($J13+$R13+$V13+$AL13)*$AN13,IFERROR(($J13/$I13)*$AM13,0)))</f>
        <v>0</v>
      </c>
      <c r="AP13" s="635">
        <f>$V13+$J13+$R13+$AA13+$AF13+$AL13+$AO13</f>
        <v>0</v>
      </c>
      <c r="AQ13" s="410" t="str">
        <f>BOM!$A$4</f>
        <v>01-01 UI PCB HiSense High</v>
      </c>
      <c r="AR13" s="409">
        <f>VLOOKUP($AQ13,BOM,6,0)</f>
        <v>1</v>
      </c>
      <c r="AS13" s="636" cm="1">
        <f t="array" ref="AS13">IF($CJ13=0,0,IFERROR(INDEX(MAT[Einheit],$CJ13,1),0))</f>
        <v>0</v>
      </c>
      <c r="AT13" s="637" cm="1">
        <f t="array" ref="AT13">IF($CJ13=0,0,IFERROR(INDEX(MAT[Preis],$CJ13,1),0))</f>
        <v>0</v>
      </c>
      <c r="AU13" s="638">
        <f>$AR13*$AT13</f>
        <v>0</v>
      </c>
      <c r="AV13" s="639" cm="1">
        <f t="array" ref="AV13">IF($AU13&lt;=0,0,INDEX(Premises!$A$30:$F$30,1,$CH13)/100)</f>
        <v>0</v>
      </c>
      <c r="AW13" s="409"/>
      <c r="AX13" s="631">
        <f>IF($AV13=0,0,($AU13+$AW13)*$AV13)</f>
        <v>0</v>
      </c>
      <c r="AY13" s="640" cm="1">
        <f t="array" ref="AY13">IF($AT13&lt;=0,0,IFERROR(IF(INDEX(Premises!$A$42:$F$42,1,$CH13)&lt;&gt;0,INDEX(Premises!$A$42:$F$42,1,$CH13)/100,(INDEX(MAT[],$CJ13,MATCH($CA13,MAT!$B$4:$AE$4,0))/($AR13*$CK13*INDEX(Premises!$A$13:$F$13,1,$CH13))+INDEX(MAT[],$CJ13,MATCH($CA13,MAT!$B$4:$AE$4,0)+7))/$AT13),0))</f>
        <v>0</v>
      </c>
      <c r="AZ13" s="631">
        <f>IF($AY13=0,0,($AU13+$AX13)*$AY13)</f>
        <v>0</v>
      </c>
      <c r="BA13" s="635">
        <f>$AU13+$AX13+$AZ13</f>
        <v>0</v>
      </c>
      <c r="BB13" s="635">
        <f>$AP13+$BA13</f>
        <v>0</v>
      </c>
      <c r="BC13" s="639" cm="1">
        <f t="array" ref="BC13">IF($BB13&lt;=0,0,IF(BC$2=-1,0,INDEX(Premises!$A$32:$F$32,1,$CH13)/100))</f>
        <v>0</v>
      </c>
      <c r="BD13" s="631">
        <f>IF($AP13&lt;=0,0,($AP13-$AA13-$AL13)*$BC13)</f>
        <v>0</v>
      </c>
      <c r="BE13" s="639" cm="1">
        <f t="array" ref="BE13">IF($BB13&lt;=0,0,IF(BE$2=-1,0,INDEX(Premises!$A$33:$F$33,1,$CH13)/100))</f>
        <v>0</v>
      </c>
      <c r="BF13" s="631">
        <f>IF($BA13&lt;=0,0,$BA13*$BE13)</f>
        <v>0</v>
      </c>
      <c r="BG13" s="639" cm="1">
        <f t="array" ref="BG13">IF($BB13&lt;=0,0,IF(BG$2=-1,0,INDEX(Premises!$A$31:$F$31,1,$CH13)/100))</f>
        <v>0</v>
      </c>
      <c r="BH13" s="631">
        <f>(($AP13-$AA13-$AL13)+$BA13)*$BG13</f>
        <v>0</v>
      </c>
      <c r="BI13" s="635">
        <f>$BB13+$BD13+$BF13+$BH13</f>
        <v>0</v>
      </c>
      <c r="BJ13" s="639" cm="1">
        <f t="array" ref="BJ13">IF($BB13&lt;=0,0,IF(BJ$2=-1,0,INDEX(Premises!$A$35:$F$35,1,$CH13)/100))</f>
        <v>0</v>
      </c>
      <c r="BK13" s="631">
        <f>IF($AP13&lt;=0,0,($AP13-$AL13-$AA13)*$BJ13)</f>
        <v>0</v>
      </c>
      <c r="BL13" s="639" cm="1">
        <f t="array" ref="BL13">IF($BB13&lt;=0,0,IF(BL$2=-1,0,INDEX(Premises!$A$36:$F$36,1,$CH13)/100))</f>
        <v>0</v>
      </c>
      <c r="BM13" s="631">
        <f>IF($AU13&lt;=0,0,($AR13*$AT13)*$BL13)</f>
        <v>0</v>
      </c>
      <c r="BN13" s="639" cm="1">
        <f t="array" ref="BN13">IF($BB13&lt;=0,0,IF(BN$2=-1,0,INDEX(Premises!$A$34:$F$34,1,$CH13)/100))</f>
        <v>0</v>
      </c>
      <c r="BO13" s="631">
        <f>(($AP13-$AL13-$AA13)+($AR13*$AT13))*$BN13</f>
        <v>0</v>
      </c>
      <c r="BP13" s="639" cm="1">
        <f t="array" ref="BP13">IF($BI13=0,0,INDEX(Premises!$A$37:$F$37,1,$CH13)/100)</f>
        <v>0</v>
      </c>
      <c r="BQ13" s="409"/>
      <c r="BR13" s="631">
        <f>($BI13+$BK13+$BM13+$BO13)*$BP13+$BQ13</f>
        <v>0</v>
      </c>
      <c r="BS13" s="641">
        <f>BI13+BK13+BM13+BO13+BR13</f>
        <v>0</v>
      </c>
      <c r="BT13" s="641">
        <f>IF($BS13=0,0,$CK13*$BS13)</f>
        <v>0</v>
      </c>
      <c r="BU13" s="642">
        <f>IF($BT13=0,0,MAX(1,$EB13/$DP13))</f>
        <v>0</v>
      </c>
      <c r="BV13" s="417"/>
      <c r="BW13" s="418"/>
      <c r="BX13" s="418"/>
      <c r="BY13" s="419"/>
      <c r="BZ13" s="968"/>
      <c r="CA13" s="280" cm="1">
        <f t="array" ref="CA13">IF($BZ13&gt;0,VALUE(LEFT($BZ13,IF(ISERROR(FIND("-",$BZ13)),LEN($BZ13),FIND("-",$BZ13)-1))),INDEX($CA$1:$CA13,MAX(1,$CD13)))</f>
        <v>1</v>
      </c>
      <c r="CB13" s="280" cm="1">
        <f t="array" ref="CB13">IF($BT13=0,0,IF(LEN($BZ13)-LEN(SUBSTITUTE($BZ13,"-",""))&gt;1,
VALUE(MID($BZ13,FIND("-",$BZ13)+1,FIND("-",$BZ13,FIND("-",$BZ13)+1)-FIND("-",$BZ13)-1)),IF($BZ13&gt;0,0,INDEX($CB$1:$CB13,MAX(1,$CD13)))))</f>
        <v>0</v>
      </c>
      <c r="CC13" s="280" cm="1">
        <f t="array" ref="CC13">IF($BT13=0,0,IF(NOT(ISERROR(FIND("-",BZ13))),
VALUE(RIGHT($BZ13,LEN($BZ13)-IF(LEN($BZ13)-LEN(SUBSTITUTE($BZ13,"-",""))=1,FIND("-",$BZ13),FIND("-",$BZ13,FIND("-",$BZ13)+1)))),
IF($BZ13&gt;0,0,INDEX($CC$1:$CC13,MAX(1,$CD13)))))</f>
        <v>0</v>
      </c>
      <c r="CD13" s="393">
        <f>MATCH(0,$CE$1:$CE13,-1)</f>
        <v>12</v>
      </c>
      <c r="CE13" s="280"/>
      <c r="CF13" s="394"/>
      <c r="CG13" s="393" cm="1">
        <f t="array" ref="CG13">INDEX($CG$1:$CG13,$CD13)</f>
        <v>3</v>
      </c>
      <c r="CH13" s="280">
        <f>MATCH($CA13,Premises!$A$10:$F$10,0)</f>
        <v>4</v>
      </c>
      <c r="CI13" s="280">
        <f>IF(ISBLANK($E13),0,IFERROR(MATCH($E13,MHR[Bezeichnung],0),0))</f>
        <v>0</v>
      </c>
      <c r="CJ13" s="394">
        <f>IF(ISBLANK($AQ13),0,IFERROR(MATCH($AQ13,MAT[Bezeichnung],0),0))</f>
        <v>0</v>
      </c>
      <c r="CK13" s="280" cm="1">
        <f t="array" ref="CK13">INDEX($D$1:$D13,$CD13)</f>
        <v>1</v>
      </c>
      <c r="CL13" s="280"/>
      <c r="CM13" s="395"/>
      <c r="CN13" s="396" cm="1">
        <f t="array" ref="CN13">IF($CB13=0,0,IF($CB13=INDEX($CB$1:$CB13,$CD13),INDEX($CN$1:$CN13,$CD13),$CP13))</f>
        <v>0</v>
      </c>
      <c r="CO13" s="395"/>
      <c r="CP13" s="396" cm="1">
        <f t="array" ref="CP13">IF($CC13=0,0,INDEX($CP$1:$CP13,$CD13))</f>
        <v>0</v>
      </c>
      <c r="CQ13" s="397"/>
      <c r="CR13" s="398"/>
      <c r="CS13" s="398"/>
      <c r="CT13" s="970"/>
      <c r="CU13" s="2"/>
      <c r="CV13" s="647">
        <f>$J13*$CK13</f>
        <v>0</v>
      </c>
      <c r="CW13" s="648">
        <f>$R13*$CK13</f>
        <v>0</v>
      </c>
      <c r="CX13" s="648">
        <f>$V13*$CK13</f>
        <v>0</v>
      </c>
      <c r="CY13" s="648">
        <f>$AA13*$CK13</f>
        <v>0</v>
      </c>
      <c r="CZ13" s="648">
        <f>$AF13*$CK13</f>
        <v>0</v>
      </c>
      <c r="DA13" s="648">
        <f>$AL13*$CK13</f>
        <v>0</v>
      </c>
      <c r="DB13" s="648">
        <f>$AO13*$CK13</f>
        <v>0</v>
      </c>
      <c r="DC13" s="649">
        <f>$AP13*$CK13</f>
        <v>0</v>
      </c>
      <c r="DD13" s="648">
        <f>$AU13*$CK13</f>
        <v>0</v>
      </c>
      <c r="DE13" s="648">
        <f>$AX13*$CK13</f>
        <v>0</v>
      </c>
      <c r="DF13" s="648">
        <f>$AZ13*$CK13</f>
        <v>0</v>
      </c>
      <c r="DG13" s="649">
        <f>$BA13*$CK13</f>
        <v>0</v>
      </c>
      <c r="DH13" s="649">
        <f>$BB13*$CK13</f>
        <v>0</v>
      </c>
      <c r="DI13" s="648">
        <f>$BD13*$CK13</f>
        <v>0</v>
      </c>
      <c r="DJ13" s="648">
        <f>$BF13*$CK13</f>
        <v>0</v>
      </c>
      <c r="DK13" s="648">
        <f>$BH13*$CK13</f>
        <v>0</v>
      </c>
      <c r="DL13" s="648">
        <f>$BK13*$CK13</f>
        <v>0</v>
      </c>
      <c r="DM13" s="648">
        <f>$BM13*$CK13</f>
        <v>0</v>
      </c>
      <c r="DN13" s="648">
        <f>$BO13*$CK13</f>
        <v>0</v>
      </c>
      <c r="DO13" s="648">
        <f>$BR13*$CK13</f>
        <v>0</v>
      </c>
      <c r="DP13" s="651">
        <f>$CK13*($BB13+$BD13+$BF13+$BH13+$BK13+$BM13+$BO13+$BR13)</f>
        <v>0</v>
      </c>
      <c r="DQ13" s="951">
        <f>IF($CB13=0,0,$DP13*_xlfn.XLOOKUP($CB13,Premises!$A$10:$F$10,Premises!$A$30:$F$30)/100)</f>
        <v>0</v>
      </c>
      <c r="DR13" s="650">
        <f>IFERROR(SUM($DP13:$DQ13)*IF(INDEX(Premises!$A$42:$F$42,1,MATCH($CB13,Premises!$A$10:$F$10,0))&gt;0,INDEX(Premises!$A$42:$F$42,1,MATCH($CB13,Premises!$A$10:$F$10,0))%,$CN13),0)</f>
        <v>0</v>
      </c>
      <c r="DS13" s="650" cm="1">
        <f t="array" ref="DS13">IF($CB13=0,0,SUM($DP13:$DR13)*_xlfn.XLOOKUP($CB13,Premises!$A$10:$F$10,IF(INDEX(Settings[],MATCH(3001,Settings[ID],0),2)="B",Premises!$A$33:$F$33,Premises!$A$31:$F$31))/100)</f>
        <v>0</v>
      </c>
      <c r="DT13" s="650" cm="1">
        <f t="array" ref="DT13">IF($CB13=0,0,$DP13*_xlfn.XLOOKUP($CB13,Premises!$A$10:$F$10,IF(INDEX(Settings[],MATCH(3002,Settings[ID],0),2)="B",Premises!$A$36:$F$36,Premises!$A$34:$F$34))/100)</f>
        <v>0</v>
      </c>
      <c r="DU13" s="650">
        <f>IF($CB13=0,0,SUM($DP13:$DT13)*_xlfn.XLOOKUP($CB13,Premises!$A$10:$F$10,Premises!$A$37:$F$37)/100)</f>
        <v>0</v>
      </c>
      <c r="DV13" s="954">
        <f>SUM($DP13:$DU13)</f>
        <v>0</v>
      </c>
      <c r="DW13" s="951">
        <f>IF($CC13=0,0,$DV13*_xlfn.XLOOKUP($CC13,Premises!$A$10:$F$10,Premises!$A$30:$F$30)/100)</f>
        <v>0</v>
      </c>
      <c r="DX13" s="650">
        <f>IFERROR(SUM($DV13:$DW13)*IF(INDEX(Premises!$A$42:$F$42,1,MATCH($CC13,Premises!$A$10:$F$10,0))&gt;0,INDEX(Premises!$A$42:$F$42,1,MATCH($CC13,Premises!$A$10:$F$10,0))%,$CP13),0)</f>
        <v>0</v>
      </c>
      <c r="DY13" s="650" cm="1">
        <f t="array" ref="DY13">IF($CC13=0,0,SUM($DV13:$DX13)*_xlfn.XLOOKUP($CC13,Premises!$A$10:$F$10,IF(INDEX(Settings[],MATCH(3001,Settings[ID],0),2)="B",Premises!$A$33:$F$33,Premises!$A$31:$F$31))/100)</f>
        <v>0</v>
      </c>
      <c r="DZ13" s="650" cm="1">
        <f t="array" ref="DZ13">IF($CC13=0,0,$DV13*_xlfn.XLOOKUP($CC13,Premises!$A$10:$F$10,IF(INDEX(Settings[],MATCH(3002,Settings[ID],0),2)="B",Premises!$A$36:$F$36,Premises!$A$34:$F$34))/100)</f>
        <v>0</v>
      </c>
      <c r="EA13" s="650">
        <f>IF($CC13=0,0,SUM($DV13:$DZ13)*_xlfn.XLOOKUP($CC13,Premises!$A$10:$F$10,Premises!$A$37:$F$37)/100)</f>
        <v>0</v>
      </c>
      <c r="EB13" s="651">
        <f>SUM($DV13:$EA13)</f>
        <v>0</v>
      </c>
      <c r="EC13" s="805"/>
      <c r="ED13" s="1104"/>
      <c r="EE13" s="650"/>
      <c r="EF13" s="1110"/>
      <c r="EG13" s="1108"/>
      <c r="EH13" s="1108"/>
      <c r="EI13" s="1108"/>
      <c r="EJ13" s="1108"/>
      <c r="EK13" s="1108"/>
      <c r="EL13" s="1108"/>
      <c r="EM13" s="1110"/>
      <c r="EN13" s="1108"/>
      <c r="EO13" s="1108"/>
      <c r="EP13" s="1108"/>
      <c r="EQ13" s="1108"/>
      <c r="ER13" s="1110"/>
      <c r="ES13" s="1108"/>
      <c r="ET13" s="1108"/>
      <c r="EU13" s="1108"/>
      <c r="EV13" s="1108"/>
      <c r="EW13" s="1108"/>
      <c r="EX13" s="1111"/>
      <c r="EY13" s="2"/>
      <c r="EZ13" s="2"/>
      <c r="FA13" s="2"/>
      <c r="FB13" s="2"/>
      <c r="FC13" s="2"/>
      <c r="FD13" s="2"/>
      <c r="FE13" s="2"/>
      <c r="FF13" s="2"/>
      <c r="FG13" s="2"/>
      <c r="FH13" s="2"/>
      <c r="FI13" s="2"/>
      <c r="FJ13" s="420"/>
      <c r="FK13" s="421"/>
      <c r="FL13" s="422"/>
      <c r="FM13" s="970"/>
    </row>
    <row r="14" spans="1:169" s="13" customFormat="1" ht="12.75" customHeight="1">
      <c r="A14" s="221"/>
      <c r="B14" s="402"/>
      <c r="C14" s="403"/>
      <c r="D14" s="646"/>
      <c r="E14" s="404"/>
      <c r="F14" s="405"/>
      <c r="G14" s="405"/>
      <c r="H14" s="405"/>
      <c r="I14" s="637" cm="1">
        <f t="array" ref="I14">IF($CI14=0,0,IFERROR(INDEX(MHR[],$CI14,MATCH($CA14,MHR!$B$4:$AY$4,0)),0))</f>
        <v>0</v>
      </c>
      <c r="J14" s="634">
        <f>IF(COUNTBLANK($E14:$H14),0,IFERROR($F14/$H14/IF($G14="s",3600,IF($G14="min",60,IF($G14="h",1,0)))*I14,0))</f>
        <v>0</v>
      </c>
      <c r="K14" s="406"/>
      <c r="L14" s="407"/>
      <c r="M14" s="871"/>
      <c r="N14" s="407"/>
      <c r="O14" s="405"/>
      <c r="P14" s="645" cm="1">
        <f t="array" ref="P14">IF($K14=0,0,IFERROR(ROUNDUP(IF(ISNUMBER($K14),$K14,INDEX($D$1:$D14,$CD14)*INDEX(Premises!$A$13:$F$13,1,$CH14)/IF(OR($K14="T",$K14="D"),250,IF($K14="W",50,IF($K14="M",12,IF(OR($K14="HJ",$K14="HY"),2,IF(OR($K14="J",$K14="Y"),1,0)))))),0),0))</f>
        <v>0</v>
      </c>
      <c r="Q14" s="637" cm="1">
        <f t="array" ref="Q14">IF($K14=0,0,IFERROR(INDEX(Premises!$A$22:$F$22,1,$CH14)*100/INDEX(Premises!$A$16:$F$16,1,$CH14),0))</f>
        <v>0</v>
      </c>
      <c r="R14" s="634">
        <f>IF($P14=0,0,IFERROR(($L14/60*($I14+$Q14*$M14)+($N14/60*($Q14*$O14)))/$P14,0))</f>
        <v>0</v>
      </c>
      <c r="S14" s="408"/>
      <c r="T14" s="409"/>
      <c r="U14" s="637" cm="1">
        <f t="array" ref="U14">IF(COUNTBLANK($S14:$T14),0,
IF(AND(INDEX(MHR[Schichtmodell],$CI14)&lt;&gt;0,INDEX(MHR[Schichtmodell],$CI14)&lt;&gt;INDEX(Premises!$A$20:$F$20,1,$CH14)),ExchangeRate*
IF(OR($T14="M",$T14="U"),IF(INDEX(MHR[Schichtmodell],$CI14)=1,INDEX(LOC[M1S],INDEX(Premises!$A$18:$F$18,1,$CH14+1)),IF(INDEX(MHR[Schichtmodell],$CI14)=2,INDEX(LOC[M2S],INDEX(Premises!$A$18:$F$18,1,$CH14+1),IF(INDEX(MHR[Schichtmodell],$CI14)=3,INDEX(LOC[M3S],INDEX(Premises!$A$18:$F$18,1,$CH14+1)),0)))),
IF(INDEX(MHR[Schichtmodell],$CI14)=1,INDEX(LOC[F1S],INDEX(Premises!$A$18:$F$18,1,$CH14+1)),IF(INDEX(MHR[Schichtmodell],$CI14)=2,INDEX(LOC[F2S],INDEX(Premises!$A$18:$F$18,1,$CH14+1)),IF(INDEX(MHR[Schichtmodell],$CI14)=3,INDEX(LOC[F3S],INDEX(Premises!$A$18:$F$18,1,$CH14+1)),0)))),
IF(OR($T14="M",$T14="U"),INDEX(Premises!$A$21:$F$21,1,$CH14),
IF(OR($T14="F",$T14="S"),INDEX(Premises!$A$22:$F$22,1,$CH14),0)))*100/INDEX(Premises!$A$16:$F$16,1,$CH14))</f>
        <v>0</v>
      </c>
      <c r="V14" s="631">
        <f>IF($U14=0,0,IFERROR($F14/$H14/IF($G14="s",3600,IF($G14="min",60,IF($G14="h",1,0)))*$S14*$U14,0))</f>
        <v>0</v>
      </c>
      <c r="W14" s="410"/>
      <c r="X14" s="403"/>
      <c r="Y14" s="411"/>
      <c r="Z14" s="412"/>
      <c r="AA14" s="628">
        <f>IFERROR($X14*$Z14/$Y14/MAX(1,$H14),0)</f>
        <v>0</v>
      </c>
      <c r="AB14" s="410"/>
      <c r="AC14" s="403"/>
      <c r="AD14" s="411"/>
      <c r="AE14" s="413"/>
      <c r="AF14" s="628">
        <f>IFERROR($AC14*$AE14/$AD14,0)</f>
        <v>0</v>
      </c>
      <c r="AG14" s="629" cm="1">
        <f t="array" ref="AG14">IF(($J14+$V14+$AF14)=0,0,INDEX(Premises!$A$30:$F$30,1,$CH14)/100)</f>
        <v>0</v>
      </c>
      <c r="AH14" s="414"/>
      <c r="AI14" s="415"/>
      <c r="AJ14" s="416"/>
      <c r="AK14" s="630">
        <f>IF(COUNTBLANK($AH14:$AI14),0,$AH14*$AI14*$AG14)</f>
        <v>0</v>
      </c>
      <c r="AL14" s="631">
        <f>($AK14+$AJ14*$AG14*(1-$AH14)+($J14+$V14+$AF14)*$AG14*(1-$AH14))</f>
        <v>0</v>
      </c>
      <c r="AM14" s="632" cm="1">
        <f t="array" ref="AM14">IF($CI14=0,0,IFERROR(INDEX(MHR[],$CI14,MATCH($CA14,MHR!$B$4:$AY$4,0)+11),0))</f>
        <v>0</v>
      </c>
      <c r="AN14" s="633" cm="1">
        <f t="array" ref="AN14">IF(($J14+$V14)=0,0,IFERROR(IF(INDEX(Premises!$A$41:$F$41,1,$CH14)&lt;&gt;0,INDEX(Premises!$A$41:$F$41,1,$CH14)/100,(IFERROR(($J14/$I14)*$AM14,0)/($V14+$J14+$R14+$AL14))),0))</f>
        <v>0</v>
      </c>
      <c r="AO14" s="634">
        <f>IF(($J14+$V14)=0,0,IF(IFERROR(($J14+$R14+$V14+$AL14)*$AN14,0)&lt;&gt;IFERROR(($J14/$I14)*$AM14,0),($J14+$R14+$V14+$AL14)*$AN14,IFERROR(($J14/$I14)*$AM14,0)))</f>
        <v>0</v>
      </c>
      <c r="AP14" s="635">
        <f>$V14+$J14+$R14+$AA14+$AF14+$AL14+$AO14</f>
        <v>0</v>
      </c>
      <c r="AQ14" s="410"/>
      <c r="AR14" s="409"/>
      <c r="AS14" s="636" cm="1">
        <f t="array" ref="AS14">IF($CJ14=0,0,IFERROR(INDEX(MAT[Einheit],$CJ14,1),0))</f>
        <v>0</v>
      </c>
      <c r="AT14" s="637" cm="1">
        <f t="array" ref="AT14">IF($CJ14=0,0,IFERROR(INDEX(MAT[Preis],$CJ14,1),0))</f>
        <v>0</v>
      </c>
      <c r="AU14" s="638">
        <f>$AR14*$AT14</f>
        <v>0</v>
      </c>
      <c r="AV14" s="639" cm="1">
        <f t="array" ref="AV14">IF($AU14&lt;=0,0,INDEX(Premises!$A$30:$F$30,1,$CH14)/100)</f>
        <v>0</v>
      </c>
      <c r="AW14" s="409"/>
      <c r="AX14" s="631">
        <f>IF($AV14=0,0,($AU14+$AW14)*$AV14)</f>
        <v>0</v>
      </c>
      <c r="AY14" s="640" cm="1">
        <f t="array" ref="AY14">IF($AT14&lt;=0,0,IFERROR(IF(INDEX(Premises!$A$42:$F$42,1,$CH14)&lt;&gt;0,INDEX(Premises!$A$42:$F$42,1,$CH14)/100,(INDEX(MAT[],$CJ14,MATCH($CA14,MAT!$B$4:$AE$4,0))/($AR14*$CK14*INDEX(Premises!$A$13:$F$13,1,$CH14))+INDEX(MAT[],$CJ14,MATCH($CA14,MAT!$B$4:$AE$4,0)+7))/$AT14),0))</f>
        <v>0</v>
      </c>
      <c r="AZ14" s="631">
        <f>IF($AY14=0,0,($AU14+$AX14)*$AY14)</f>
        <v>0</v>
      </c>
      <c r="BA14" s="635">
        <f>$AU14+$AX14+$AZ14</f>
        <v>0</v>
      </c>
      <c r="BB14" s="635">
        <f>$AP14+$BA14</f>
        <v>0</v>
      </c>
      <c r="BC14" s="639" cm="1">
        <f t="array" ref="BC14">IF($BB14&lt;=0,0,IF(BC$2=-1,0,INDEX(Premises!$A$32:$F$32,1,$CH14)/100))</f>
        <v>0</v>
      </c>
      <c r="BD14" s="631">
        <f>IF($AP14&lt;=0,0,($AP14-$AA14-$AL14)*$BC14)</f>
        <v>0</v>
      </c>
      <c r="BE14" s="639" cm="1">
        <f t="array" ref="BE14">IF($BB14&lt;=0,0,IF(BE$2=-1,0,INDEX(Premises!$A$33:$F$33,1,$CH14)/100))</f>
        <v>0</v>
      </c>
      <c r="BF14" s="631">
        <f>IF($BA14&lt;=0,0,$BA14*$BE14)</f>
        <v>0</v>
      </c>
      <c r="BG14" s="639" cm="1">
        <f t="array" ref="BG14">IF($BB14&lt;=0,0,IF(BG$2=-1,0,INDEX(Premises!$A$31:$F$31,1,$CH14)/100))</f>
        <v>0</v>
      </c>
      <c r="BH14" s="631">
        <f>(($AP14-$AA14-$AL14)+$BA14)*$BG14</f>
        <v>0</v>
      </c>
      <c r="BI14" s="635">
        <f>$BB14+$BD14+$BF14+$BH14</f>
        <v>0</v>
      </c>
      <c r="BJ14" s="639" cm="1">
        <f t="array" ref="BJ14">IF($BB14&lt;=0,0,IF(BJ$2=-1,0,INDEX(Premises!$A$35:$F$35,1,$CH14)/100))</f>
        <v>0</v>
      </c>
      <c r="BK14" s="631">
        <f>IF($AP14&lt;=0,0,($AP14-$AL14-$AA14)*$BJ14)</f>
        <v>0</v>
      </c>
      <c r="BL14" s="639" cm="1">
        <f t="array" ref="BL14">IF($BB14&lt;=0,0,IF(BL$2=-1,0,INDEX(Premises!$A$36:$F$36,1,$CH14)/100))</f>
        <v>0</v>
      </c>
      <c r="BM14" s="631">
        <f>IF($AU14&lt;=0,0,($AR14*$AT14)*$BL14)</f>
        <v>0</v>
      </c>
      <c r="BN14" s="639" cm="1">
        <f t="array" ref="BN14">IF($BB14&lt;=0,0,IF(BN$2=-1,0,INDEX(Premises!$A$34:$F$34,1,$CH14)/100))</f>
        <v>0</v>
      </c>
      <c r="BO14" s="631">
        <f>(($AP14-$AL14-$AA14)+($AR14*$AT14))*$BN14</f>
        <v>0</v>
      </c>
      <c r="BP14" s="639" cm="1">
        <f t="array" ref="BP14">IF($BI14=0,0,INDEX(Premises!$A$37:$F$37,1,$CH14)/100)</f>
        <v>0</v>
      </c>
      <c r="BQ14" s="409"/>
      <c r="BR14" s="631">
        <f>($BI14+$BK14+$BM14+$BO14)*$BP14+$BQ14</f>
        <v>0</v>
      </c>
      <c r="BS14" s="641">
        <f>BI14+BK14+BM14+BO14+BR14</f>
        <v>0</v>
      </c>
      <c r="BT14" s="641">
        <f>IF($BS14=0,0,$CK14*$BS14)</f>
        <v>0</v>
      </c>
      <c r="BU14" s="642">
        <f>IF($BT14=0,0,MAX(1,$EB14/$DP14))</f>
        <v>0</v>
      </c>
      <c r="BV14" s="417"/>
      <c r="BW14" s="418"/>
      <c r="BX14" s="418"/>
      <c r="BY14" s="419"/>
      <c r="BZ14" s="968"/>
      <c r="CA14" s="280" cm="1">
        <f t="array" ref="CA14">IF($BZ14&gt;0,VALUE(LEFT($BZ14,IF(ISERROR(FIND("-",$BZ14)),LEN($BZ14),FIND("-",$BZ14)-1))),INDEX($CA$1:$CA14,MAX(1,$CD14)))</f>
        <v>1</v>
      </c>
      <c r="CB14" s="280" cm="1">
        <f t="array" ref="CB14">IF($BT14=0,0,IF(LEN($BZ14)-LEN(SUBSTITUTE($BZ14,"-",""))&gt;1,
VALUE(MID($BZ14,FIND("-",$BZ14)+1,FIND("-",$BZ14,FIND("-",$BZ14)+1)-FIND("-",$BZ14)-1)),IF($BZ14&gt;0,0,INDEX($CB$1:$CB14,MAX(1,$CD14)))))</f>
        <v>0</v>
      </c>
      <c r="CC14" s="280" cm="1">
        <f t="array" ref="CC14">IF($BT14=0,0,IF(NOT(ISERROR(FIND("-",BZ14))),
VALUE(RIGHT($BZ14,LEN($BZ14)-IF(LEN($BZ14)-LEN(SUBSTITUTE($BZ14,"-",""))=1,FIND("-",$BZ14),FIND("-",$BZ14,FIND("-",$BZ14)+1)))),
IF($BZ14&gt;0,0,INDEX($CC$1:$CC14,MAX(1,$CD14)))))</f>
        <v>0</v>
      </c>
      <c r="CD14" s="393">
        <f>MATCH(0,$CE$1:$CE14,-1)</f>
        <v>12</v>
      </c>
      <c r="CE14" s="280"/>
      <c r="CF14" s="394"/>
      <c r="CG14" s="393" cm="1">
        <f t="array" ref="CG14">INDEX($CG$1:$CG14,$CD14)</f>
        <v>3</v>
      </c>
      <c r="CH14" s="280">
        <f>MATCH($CA14,Premises!$A$10:$F$10,0)</f>
        <v>4</v>
      </c>
      <c r="CI14" s="280">
        <f>IF(ISBLANK($E14),0,IFERROR(MATCH($E14,MHR[Bezeichnung],0),0))</f>
        <v>0</v>
      </c>
      <c r="CJ14" s="394">
        <f>IF(ISBLANK($AQ14),0,IFERROR(MATCH($AQ14,MAT[Bezeichnung],0),0))</f>
        <v>0</v>
      </c>
      <c r="CK14" s="280" cm="1">
        <f t="array" ref="CK14">INDEX($D$1:$D14,$CD14)</f>
        <v>1</v>
      </c>
      <c r="CL14" s="280"/>
      <c r="CM14" s="395"/>
      <c r="CN14" s="396" cm="1">
        <f t="array" ref="CN14">IF($CB14=0,0,IF($CB14=INDEX($CB$1:$CB14,$CD14),INDEX($CN$1:$CN14,$CD14),$CP14))</f>
        <v>0</v>
      </c>
      <c r="CO14" s="395"/>
      <c r="CP14" s="396" cm="1">
        <f t="array" ref="CP14">IF($CC14=0,0,INDEX($CP$1:$CP14,$CD14))</f>
        <v>0</v>
      </c>
      <c r="CQ14" s="397"/>
      <c r="CR14" s="398"/>
      <c r="CS14" s="398"/>
      <c r="CT14" s="970"/>
      <c r="CU14" s="2"/>
      <c r="CV14" s="647">
        <f>$J14*$CK14</f>
        <v>0</v>
      </c>
      <c r="CW14" s="648">
        <f>$R14*$CK14</f>
        <v>0</v>
      </c>
      <c r="CX14" s="648">
        <f>$V14*$CK14</f>
        <v>0</v>
      </c>
      <c r="CY14" s="648">
        <f>$AA14*$CK14</f>
        <v>0</v>
      </c>
      <c r="CZ14" s="648">
        <f>$AF14*$CK14</f>
        <v>0</v>
      </c>
      <c r="DA14" s="648">
        <f>$AL14*$CK14</f>
        <v>0</v>
      </c>
      <c r="DB14" s="648">
        <f>$AO14*$CK14</f>
        <v>0</v>
      </c>
      <c r="DC14" s="649">
        <f>$AP14*$CK14</f>
        <v>0</v>
      </c>
      <c r="DD14" s="648">
        <f>$AU14*$CK14</f>
        <v>0</v>
      </c>
      <c r="DE14" s="648">
        <f>$AX14*$CK14</f>
        <v>0</v>
      </c>
      <c r="DF14" s="648">
        <f>$AZ14*$CK14</f>
        <v>0</v>
      </c>
      <c r="DG14" s="649">
        <f>$BA14*$CK14</f>
        <v>0</v>
      </c>
      <c r="DH14" s="649">
        <f>$BB14*$CK14</f>
        <v>0</v>
      </c>
      <c r="DI14" s="648">
        <f>$BD14*$CK14</f>
        <v>0</v>
      </c>
      <c r="DJ14" s="648">
        <f>$BF14*$CK14</f>
        <v>0</v>
      </c>
      <c r="DK14" s="648">
        <f>$BH14*$CK14</f>
        <v>0</v>
      </c>
      <c r="DL14" s="648">
        <f>$BK14*$CK14</f>
        <v>0</v>
      </c>
      <c r="DM14" s="648">
        <f>$BM14*$CK14</f>
        <v>0</v>
      </c>
      <c r="DN14" s="648">
        <f>$BO14*$CK14</f>
        <v>0</v>
      </c>
      <c r="DO14" s="648">
        <f>$BR14*$CK14</f>
        <v>0</v>
      </c>
      <c r="DP14" s="651">
        <f>$CK14*($BB14+$BD14+$BF14+$BH14+$BK14+$BM14+$BO14+$BR14)</f>
        <v>0</v>
      </c>
      <c r="DQ14" s="951">
        <f>IF($CB14=0,0,$DP14*_xlfn.XLOOKUP($CB14,Premises!$A$10:$F$10,Premises!$A$30:$F$30)/100)</f>
        <v>0</v>
      </c>
      <c r="DR14" s="650">
        <f>IFERROR(SUM($DP14:$DQ14)*IF(INDEX(Premises!$A$42:$F$42,1,MATCH($CB14,Premises!$A$10:$F$10,0))&gt;0,INDEX(Premises!$A$42:$F$42,1,MATCH($CB14,Premises!$A$10:$F$10,0))%,$CN14),0)</f>
        <v>0</v>
      </c>
      <c r="DS14" s="650" cm="1">
        <f t="array" ref="DS14">IF($CB14=0,0,SUM($DP14:$DR14)*_xlfn.XLOOKUP($CB14,Premises!$A$10:$F$10,IF(INDEX(Settings[],MATCH(3001,Settings[ID],0),2)="B",Premises!$A$33:$F$33,Premises!$A$31:$F$31))/100)</f>
        <v>0</v>
      </c>
      <c r="DT14" s="650" cm="1">
        <f t="array" ref="DT14">IF($CB14=0,0,$DP14*_xlfn.XLOOKUP($CB14,Premises!$A$10:$F$10,IF(INDEX(Settings[],MATCH(3002,Settings[ID],0),2)="B",Premises!$A$36:$F$36,Premises!$A$34:$F$34))/100)</f>
        <v>0</v>
      </c>
      <c r="DU14" s="650">
        <f>IF($CB14=0,0,SUM($DP14:$DT14)*_xlfn.XLOOKUP($CB14,Premises!$A$10:$F$10,Premises!$A$37:$F$37)/100)</f>
        <v>0</v>
      </c>
      <c r="DV14" s="954">
        <f>SUM($DP14:$DU14)</f>
        <v>0</v>
      </c>
      <c r="DW14" s="951">
        <f>IF($CC14=0,0,$DV14*_xlfn.XLOOKUP($CC14,Premises!$A$10:$F$10,Premises!$A$30:$F$30)/100)</f>
        <v>0</v>
      </c>
      <c r="DX14" s="650">
        <f>IFERROR(SUM($DV14:$DW14)*IF(INDEX(Premises!$A$42:$F$42,1,MATCH($CC14,Premises!$A$10:$F$10,0))&gt;0,INDEX(Premises!$A$42:$F$42,1,MATCH($CC14,Premises!$A$10:$F$10,0))%,$CP14),0)</f>
        <v>0</v>
      </c>
      <c r="DY14" s="650" cm="1">
        <f t="array" ref="DY14">IF($CC14=0,0,SUM($DV14:$DX14)*_xlfn.XLOOKUP($CC14,Premises!$A$10:$F$10,IF(INDEX(Settings[],MATCH(3001,Settings[ID],0),2)="B",Premises!$A$33:$F$33,Premises!$A$31:$F$31))/100)</f>
        <v>0</v>
      </c>
      <c r="DZ14" s="650" cm="1">
        <f t="array" ref="DZ14">IF($CC14=0,0,$DV14*_xlfn.XLOOKUP($CC14,Premises!$A$10:$F$10,IF(INDEX(Settings[],MATCH(3002,Settings[ID],0),2)="B",Premises!$A$36:$F$36,Premises!$A$34:$F$34))/100)</f>
        <v>0</v>
      </c>
      <c r="EA14" s="650">
        <f>IF($CC14=0,0,SUM($DV14:$DZ14)*_xlfn.XLOOKUP($CC14,Premises!$A$10:$F$10,Premises!$A$37:$F$37)/100)</f>
        <v>0</v>
      </c>
      <c r="EB14" s="651">
        <f>SUM($DV14:$EA14)</f>
        <v>0</v>
      </c>
      <c r="EC14" s="805"/>
      <c r="ED14" s="1104"/>
      <c r="EE14" s="650"/>
      <c r="EF14" s="1110"/>
      <c r="EG14" s="1108"/>
      <c r="EH14" s="1108"/>
      <c r="EI14" s="1108"/>
      <c r="EJ14" s="1108"/>
      <c r="EK14" s="1108"/>
      <c r="EL14" s="1108"/>
      <c r="EM14" s="1110"/>
      <c r="EN14" s="1108"/>
      <c r="EO14" s="1108"/>
      <c r="EP14" s="1108"/>
      <c r="EQ14" s="1108"/>
      <c r="ER14" s="1110"/>
      <c r="ES14" s="1108"/>
      <c r="ET14" s="1108"/>
      <c r="EU14" s="1108"/>
      <c r="EV14" s="1108"/>
      <c r="EW14" s="1108"/>
      <c r="EX14" s="1111"/>
      <c r="EY14" s="2"/>
      <c r="EZ14" s="2"/>
      <c r="FA14" s="2"/>
      <c r="FB14" s="2"/>
      <c r="FC14" s="2"/>
      <c r="FD14" s="2"/>
      <c r="FE14" s="2"/>
      <c r="FF14" s="2"/>
      <c r="FG14" s="2"/>
      <c r="FH14" s="2"/>
      <c r="FI14" s="2"/>
      <c r="FJ14" s="420"/>
      <c r="FK14" s="421"/>
      <c r="FL14" s="422"/>
      <c r="FM14" s="970"/>
    </row>
    <row r="15" spans="1:169" s="13" customFormat="1" ht="12.75" customHeight="1">
      <c r="A15" s="221"/>
      <c r="B15" s="387" t="str">
        <f>BOM!$A$4</f>
        <v>01-01 UI PCB HiSense High</v>
      </c>
      <c r="C15" s="388"/>
      <c r="D15" s="389" cm="1">
        <f t="array" ref="D15">IF($CG15=0,0,INDEX(BOM!$N:$N,$CG15))</f>
        <v>1</v>
      </c>
      <c r="E15" s="644" t="s">
        <v>664</v>
      </c>
      <c r="F15" s="644" t="s">
        <v>664</v>
      </c>
      <c r="G15" s="644" t="s">
        <v>664</v>
      </c>
      <c r="H15" s="644" t="s">
        <v>664</v>
      </c>
      <c r="I15" s="644" t="s">
        <v>664</v>
      </c>
      <c r="J15" s="644" t="s">
        <v>664</v>
      </c>
      <c r="K15" s="644" t="s">
        <v>664</v>
      </c>
      <c r="L15" s="644" t="s">
        <v>664</v>
      </c>
      <c r="M15" s="644" t="s">
        <v>664</v>
      </c>
      <c r="N15" s="644" t="s">
        <v>664</v>
      </c>
      <c r="O15" s="644" t="s">
        <v>664</v>
      </c>
      <c r="P15" s="644" t="s">
        <v>664</v>
      </c>
      <c r="Q15" s="644" t="s">
        <v>664</v>
      </c>
      <c r="R15" s="644" t="s">
        <v>664</v>
      </c>
      <c r="S15" s="644" t="s">
        <v>664</v>
      </c>
      <c r="T15" s="644" t="s">
        <v>664</v>
      </c>
      <c r="U15" s="644" t="s">
        <v>664</v>
      </c>
      <c r="V15" s="644" t="s">
        <v>664</v>
      </c>
      <c r="W15" s="644" t="s">
        <v>664</v>
      </c>
      <c r="X15" s="644" t="s">
        <v>664</v>
      </c>
      <c r="Y15" s="644" t="s">
        <v>664</v>
      </c>
      <c r="Z15" s="644" t="s">
        <v>664</v>
      </c>
      <c r="AA15" s="644" t="s">
        <v>664</v>
      </c>
      <c r="AB15" s="644" t="s">
        <v>664</v>
      </c>
      <c r="AC15" s="644" t="s">
        <v>664</v>
      </c>
      <c r="AD15" s="644" t="s">
        <v>664</v>
      </c>
      <c r="AE15" s="644" t="s">
        <v>664</v>
      </c>
      <c r="AF15" s="644" t="s">
        <v>664</v>
      </c>
      <c r="AG15" s="644" t="s">
        <v>664</v>
      </c>
      <c r="AH15" s="644" t="s">
        <v>664</v>
      </c>
      <c r="AI15" s="644" t="s">
        <v>664</v>
      </c>
      <c r="AJ15" s="644" t="s">
        <v>664</v>
      </c>
      <c r="AK15" s="644" t="s">
        <v>664</v>
      </c>
      <c r="AL15" s="644" t="s">
        <v>664</v>
      </c>
      <c r="AM15" s="644" t="s">
        <v>664</v>
      </c>
      <c r="AN15" s="644" t="s">
        <v>664</v>
      </c>
      <c r="AO15" s="644" t="s">
        <v>664</v>
      </c>
      <c r="AP15" s="644" t="s">
        <v>664</v>
      </c>
      <c r="AQ15" s="644" t="s">
        <v>664</v>
      </c>
      <c r="AR15" s="644" t="s">
        <v>664</v>
      </c>
      <c r="AS15" s="644" t="s">
        <v>664</v>
      </c>
      <c r="AT15" s="644" t="s">
        <v>664</v>
      </c>
      <c r="AU15" s="644" t="s">
        <v>664</v>
      </c>
      <c r="AV15" s="644" t="s">
        <v>664</v>
      </c>
      <c r="AW15" s="644" t="s">
        <v>664</v>
      </c>
      <c r="AX15" s="644" t="s">
        <v>664</v>
      </c>
      <c r="AY15" s="644" t="s">
        <v>664</v>
      </c>
      <c r="AZ15" s="644" t="s">
        <v>664</v>
      </c>
      <c r="BA15" s="644" t="s">
        <v>664</v>
      </c>
      <c r="BB15" s="644" t="s">
        <v>664</v>
      </c>
      <c r="BC15" s="644" t="s">
        <v>664</v>
      </c>
      <c r="BD15" s="644" t="s">
        <v>664</v>
      </c>
      <c r="BE15" s="644" t="s">
        <v>664</v>
      </c>
      <c r="BF15" s="644" t="s">
        <v>664</v>
      </c>
      <c r="BG15" s="644" t="s">
        <v>664</v>
      </c>
      <c r="BH15" s="644" t="s">
        <v>664</v>
      </c>
      <c r="BI15" s="644" t="s">
        <v>664</v>
      </c>
      <c r="BJ15" s="644" t="s">
        <v>664</v>
      </c>
      <c r="BK15" s="644" t="s">
        <v>664</v>
      </c>
      <c r="BL15" s="644" t="s">
        <v>664</v>
      </c>
      <c r="BM15" s="644" t="s">
        <v>664</v>
      </c>
      <c r="BN15" s="644" t="s">
        <v>664</v>
      </c>
      <c r="BO15" s="644" t="s">
        <v>664</v>
      </c>
      <c r="BP15" s="644" t="s">
        <v>664</v>
      </c>
      <c r="BQ15" s="644" t="s">
        <v>664</v>
      </c>
      <c r="BR15" s="644" t="s">
        <v>664</v>
      </c>
      <c r="BS15" s="920">
        <f>SUM(INDEX($BS:$BS,ROW()+1):INDEX($BS:$BS,$CE15))</f>
        <v>3.2199566101829023E-2</v>
      </c>
      <c r="BT15" s="920">
        <f>SUM(INDEX($BT:$BT,ROW()+1):INDEX($BT:$BT,$CE15))</f>
        <v>3.2199566101829023E-2</v>
      </c>
      <c r="BU15" s="644" t="s">
        <v>664</v>
      </c>
      <c r="BV15" s="643">
        <f>SUMPRODUCT($BS15:INDEX($BS:$BS,$CE15),$BU15:INDEX($BU:$BU,$CE15))</f>
        <v>3.2199566101829023E-2</v>
      </c>
      <c r="BW15" s="390">
        <f>$D15*$BV15</f>
        <v>3.2199566101829023E-2</v>
      </c>
      <c r="BX15" s="816" cm="1">
        <f t="array" ref="BX15">IF($CG15=0,0,IF(INDEX(BOM!$P:$P,$CG15)=0,0,
SUMPRODUCT($BW15:INDEX($BW:$BW,IFERROR(ROW()+MATCH($CL15,INDEX($CL:$CL,ROW()+1):INDEX($CL:$CL,MAX($CE:$CE)),0)-1,MAX($CE:$CE))),
($CL15:INDEX($CL:$CL,IFERROR(ROW()+MATCH($CL15,INDEX($CL:$CL,ROW()+1):INDEX($CL:$CL,MAX($CE:$CE)),0)-1,MAX($CE:$CE)))&gt;=$CL15)*1)
))</f>
        <v>26.481379688697388</v>
      </c>
      <c r="BY15" s="391"/>
      <c r="BZ15" s="392" cm="1">
        <f t="array" ref="BZ15">IF($CG15=0,0,INDEX(BOM!$M:$M,$CG15))</f>
        <v>1</v>
      </c>
      <c r="CA15" s="280">
        <f>IF($BZ15&gt;0,VALUE(LEFT($BZ15,IF(ISERROR(FIND("-",$BZ15)),LEN($BZ15),FIND("-",$BZ15)-1))),INDEX($BZ$1:BZ15,MATCH("",$A$1:A15,-1)))</f>
        <v>1</v>
      </c>
      <c r="CB15" s="280">
        <f>IF(LEN($BZ15)-LEN(SUBSTITUTE($BZ15,"-",))&gt;1,
VALUE(MID($BZ15,FIND("-",$BZ15)+1,FIND("-",$BZ15,FIND("-",$BZ15)+1)-FIND("-",$BZ15)-1)),0)</f>
        <v>0</v>
      </c>
      <c r="CC15" s="280">
        <f>IF(NOT(ISERROR(FIND("-",BZ15))),
VALUE(RIGHT($BZ15,LEN($BZ15)-IF(LEN($BZ15)-LEN(SUBSTITUTE($BZ15,"-",""))=1,FIND("-",$BZ15),FIND("-",$BZ15,FIND("-",$BZ15)+1)))),0)</f>
        <v>0</v>
      </c>
      <c r="CD15" s="393"/>
      <c r="CE15" s="280" cm="1">
        <f t="array" ref="CE15">ROW()+MATCH(TRUE,_xlfn.ISFORMULA(INDEX(BW:BW,ROW()+1):INDEX(BW:BW,ROW()+MaxNumberOfRowsPerBlock)),0)-1</f>
        <v>24</v>
      </c>
      <c r="CF15" s="394" cm="1">
        <f t="array" ref="CF15">IF(CL15=0,-1,IF(CL15=1,7,MAX(IF($CL$1:$CL15=CL15-1,ROW($CL$1:$CL15),0))))</f>
        <v>12</v>
      </c>
      <c r="CG15" s="393">
        <f>IFERROR(MATCH($B15,BOM!$A:$A,0),0)</f>
        <v>4</v>
      </c>
      <c r="CH15" s="280">
        <f>MATCH($CA15,Premises!$A$10:$F$10,0)</f>
        <v>4</v>
      </c>
      <c r="CI15" s="280"/>
      <c r="CJ15" s="394"/>
      <c r="CK15" s="280"/>
      <c r="CL15" s="280" cm="1">
        <f t="array" ref="CL15">IF($CG15=0,0,INDEX(BOM!$C:$C,$CG15))</f>
        <v>2</v>
      </c>
      <c r="CM15" s="395" cm="1">
        <f t="array" ref="CM15">IF($CG15=0,0,IF(OR($CF15&lt;0,AND(INDEX($CB:$CB,$CF15)=$CB15,INDEX($CC:$CC,$CF15)=$CC15)),0,IF(INDEX(BOM!$P:$P,$CG15)=0,$BT15,(SUMIF($CA15:INDEX($CA:$CA,IFERROR(ROW()+MATCH($CL15,INDEX($CL:$CL,ROW()+1):INDEX($CL:$CL,MAX($CE:$CE)),0)-1,MAX($CE:$CE))),$CA15,$BT15:INDEX($BT:$BT,IFERROR(ROW()+MATCH($CL15,INDEX($CL:$CL,ROW()+1):INDEX($CL:$CL,MAX($CE:$CE)),0)-1,MAX($CE:$CE))))+SUMIF($CB15:INDEX($CB:$CB,IFERROR(ROW()+MATCH($CL15,INDEX($CL:$CL,ROW()+1):INDEX($CL:$CL,MAX($CE:$CE)),0)-1,MAX($CE:$CE))),$CA15,$BT15:INDEX($BT:$BT,IFERROR(ROW()+MATCH($CL15,INDEX($CL:$CL,ROW()+1):INDEX($CL:$CL,MAX($CE:$CE)),0)-1,MAX($CE:$CE)))))/2)))</f>
        <v>0</v>
      </c>
      <c r="CN15" s="396" cm="1">
        <f t="array" ref="CN15">IFERROR(IF($CB15=0,0,IF($CM15=0,INDEX($CN$1:$CN15,$CF15),INDEX(IF($CM15&lt;0.2,Premises!$A$43:$F$43,IF($CM15&lt;5,Premises!$A$46:$F$46,Premises!$A$49:$F$49)),MATCH($CB15,Premises!$A$10:$F$10,0))/($CM15*INDEX(Premises!$A$13:$F$13,MATCH($CB15,Premises!$A$10:$F$10,0)))+INDEX(IF($CM15&lt;0.2,Premises!$A$44:$F$44,IF($CM15&lt;5,Premises!$A$47:$F$47,Premises!$A$50:$F$50)),MATCH($CB15,Premises!$A$10:$F$10,0))+INDEX(IF($CM15&lt;0.2,Premises!$A$45:$F$45,IF($CM15&lt;5,Premises!$A$48:$F$48,Premises!$A$51:$F$51)),MATCH($CB15,Premises!$A$10:$F$10,0))/$CM15)),0.01)</f>
        <v>0</v>
      </c>
      <c r="CO15" s="395" cm="1">
        <f t="array" ref="CO15">IF($CG15=0,0,IF(INDEX($CC:$CC,$CF15)=$CC15,0,$CM15*(1+IFERROR(INDEX(Premises!$A$52:$F$52,1,MATCH($CB15,Premises!$A$10:$F$10,0)),0)+$CN15)))</f>
        <v>0</v>
      </c>
      <c r="CP15" s="396" cm="1">
        <f t="array" ref="CP15">IFERROR(IF($CC15=0,0,IF($CO15=0,INDEX($CP$1:$CP15,$CF15),INDEX(IF($CO15&lt;0.2,Premises!$A$43:$F$43,IF($CO15&lt;5,Premises!$A$46:$F$46,Premises!$A$49:$F$49)),MATCH($CC15,Premises!$A$10:$F$10,0))/($CO15*INDEX(Premises!$A$13:$F$13,MATCH($CC15,Premises!$A$10:$F$10,0)))+INDEX(IF($CO15&lt;0.2,Premises!$A$44:$F$44,IF($CO15&lt;5,Premises!$A$47:$F$47,Premises!$A$50:$F$50)),MATCH($CC15,Premises!$A$10:$F$10,0))+INDEX(IF($CO15&lt;0.2,Premises!$A$45:$F$45,IF($CO15&lt;5,Premises!$A$48:$F$48,Premises!$A$51:$F$51)),MATCH($CC15,Premises!$A$10:$F$10,0))/$CO15)),0.01)</f>
        <v>0</v>
      </c>
      <c r="CQ15" s="397" cm="1">
        <f t="array" ref="CQ15">IF(AND($CM15=0,$CO15=0),0,INDEX(BOM!$O:$O,$CG15))</f>
        <v>0</v>
      </c>
      <c r="CR15" s="398" cm="1">
        <f t="array" ref="CR15">IF(OR($CM15=0,$CN15=0),0,ACOS(COS(RADIANS(90-INDEX(Premises!$A$66:$F$66,1,$CH15)))*COS(RADIANS(90-INDEX(Premises!$A$66:$F$66,1,MATCH($CB15,Premises!$A$10:$F$10,0))))
+SIN(RADIANS(90-INDEX(Premises!$A$66:$F$66,1,$CH15)))*SIN(RADIANS(90-INDEX(Premises!$A$66:$F$66,1,MATCH($CB15,Premises!$A$10:$F$10,0)))) * COS(RADIANS(INDEX(Premises!$A$67:$F$67,1,$CH15)-INDEX(Premises!$A$67:$F$67,1,MATCH($CB15,Premises!$A$10:$F$10,0)))))*6371)</f>
        <v>0</v>
      </c>
      <c r="CS15" s="398" cm="1">
        <f t="array" ref="CS15">IF(OR($CO15=0,$CP15=0),0,
IF($CR15=0,ACOS(COS(RADIANS(90-INDEX(Premises!$A$66:$F$66,1,$CH15)))*COS(RADIANS(90-INDEX(Premises!$A$66:$F$66,1,MATCH($CC15,Premises!$A$10:$F$10,0))))
+SIN(RADIANS(90-INDEX(Premises!$A$66:$F$66,1,$CH15)))*SIN(RADIANS(90-INDEX(Premises!$A$66:$F$66,1,MATCH($CC15,Premises!$A$10:$F$10,0))))*COS(RADIANS(INDEX(Premises!$A$67:$F$67,1,$CH15)-INDEX(Premises!$A$67:$F$67,1,MATCH($CC15,Premises!$A$10:$F$10,0)))))*6371,
ACOS(COS(RADIANS(90-INDEX(Premises!$A$66:$F$66,1,MATCH($CB15,Premises!$A$10:$F$10,0))))*COS(RADIANS(90-INDEX(Premises!$A$66:$F$66,1,MATCH($CC15,Premises!$A$10:$F$10,0))))
+SIN(RADIANS(90-INDEX(Premises!$A$66:$F$66,1,MATCH($CB15,Premises!$A$10:$F$10,0))))*SIN(RADIANS(90-INDEX(Premises!$A$66:$F$66,1,MATCH($CC15,Premises!$A$10:$F$10,0))))*COS(RADIANS(INDEX(Premises!$A$67:$F$67,1,MATCH($CB15,Premises!$A$10:$F$10,0))-INDEX(Premises!$A$67:$F$67,1,MATCH($CC15,Premises!$A$10:$F$10,0)))))*6371))</f>
        <v>0</v>
      </c>
      <c r="CT15" s="969"/>
      <c r="CU15" s="2"/>
      <c r="CV15" s="399">
        <f>SUM(INDEX(CV:CV,ROW()+1):INDEX(CV:CV,$CE15))</f>
        <v>4.6274351353424361E-3</v>
      </c>
      <c r="CW15" s="400">
        <f>SUM(INDEX(CW:CW,ROW()+1):INDEX(CW:CW,$CE15))</f>
        <v>3.0379054135342763E-3</v>
      </c>
      <c r="CX15" s="400">
        <f>SUM(INDEX(CX:CX,ROW()+1):INDEX(CX:CX,$CE15))</f>
        <v>1.6718750000000001E-2</v>
      </c>
      <c r="CY15" s="400">
        <f>SUM(INDEX(CY:CY,ROW()+1):INDEX(CY:CY,$CE15))</f>
        <v>0</v>
      </c>
      <c r="CZ15" s="400">
        <f>SUM(INDEX(CZ:CZ,ROW()+1):INDEX(CZ:CZ,$CE15))</f>
        <v>0</v>
      </c>
      <c r="DA15" s="400">
        <f>SUM(INDEX(DA:DA,ROW()+1):INDEX(DA:DA,$CE15))</f>
        <v>2.1346185135342436E-4</v>
      </c>
      <c r="DB15" s="400">
        <f>SUM(INDEX(DB:DB,ROW()+1):INDEX(DB:DB,$CE15))</f>
        <v>2.6084024894993236E-3</v>
      </c>
      <c r="DC15" s="400">
        <f>SUM(INDEX(DC:DC,ROW()+1):INDEX(DC:DC,$CE15))</f>
        <v>2.7205954889729458E-2</v>
      </c>
      <c r="DD15" s="400">
        <f>SUM(INDEX(DD:DD,ROW()+1):INDEX(DD:DD,$CE15))</f>
        <v>0</v>
      </c>
      <c r="DE15" s="400">
        <f>SUM(INDEX(DE:DE,ROW()+1):INDEX(DE:DE,$CE15))</f>
        <v>0</v>
      </c>
      <c r="DF15" s="400">
        <f>SUM(INDEX(DF:DF,ROW()+1):INDEX(DF:DF,$CE15))</f>
        <v>0</v>
      </c>
      <c r="DG15" s="400">
        <f>SUM(INDEX(DG:DG,ROW()+1):INDEX(DG:DG,$CE15))</f>
        <v>0</v>
      </c>
      <c r="DH15" s="400">
        <f>SUM(INDEX(DH:DH,ROW()+1):INDEX(DH:DH,$CE15))</f>
        <v>2.7205954889729458E-2</v>
      </c>
      <c r="DI15" s="400">
        <f>SUM(INDEX(DI:DI,ROW()+1):INDEX(DI:DI,$CE15))</f>
        <v>0</v>
      </c>
      <c r="DJ15" s="400">
        <f>SUM(INDEX(DJ:DJ,ROW()+1):INDEX(DJ:DJ,$CE15))</f>
        <v>0</v>
      </c>
      <c r="DK15" s="400">
        <f>SUM(INDEX(DK:DK,ROW()+1):INDEX(DK:DK,$CE15))</f>
        <v>3.3740616297970043E-3</v>
      </c>
      <c r="DL15" s="400">
        <f>SUM(INDEX(DL:DL,ROW()+1):INDEX(DL:DL,$CE15))</f>
        <v>0</v>
      </c>
      <c r="DM15" s="400">
        <f>SUM(INDEX(DM:DM,ROW()+1):INDEX(DM:DM,$CE15))</f>
        <v>0</v>
      </c>
      <c r="DN15" s="400">
        <f>SUM(INDEX(DN:DN,ROW()+1):INDEX(DN:DN,$CE15))</f>
        <v>1.6195495823025619E-3</v>
      </c>
      <c r="DO15" s="400">
        <f>SUM(INDEX(DO:DO,ROW()+1):INDEX(DO:DO,$CE15))</f>
        <v>0</v>
      </c>
      <c r="DP15" s="400">
        <f>SUM(INDEX(DP:DP,ROW()+1):INDEX(DP:DP,$CE15))</f>
        <v>3.2199566101829023E-2</v>
      </c>
      <c r="DQ15" s="400">
        <f>SUM(INDEX(DQ:DQ,ROW()+1):INDEX(DQ:DQ,$CE15))</f>
        <v>0</v>
      </c>
      <c r="DR15" s="400">
        <f>SUM(INDEX(DR:DR,ROW()+1):INDEX(DR:DR,$CE15))</f>
        <v>0</v>
      </c>
      <c r="DS15" s="400">
        <f>SUM(INDEX(DS:DS,ROW()+1):INDEX(DS:DS,$CE15))</f>
        <v>0</v>
      </c>
      <c r="DT15" s="400">
        <f>SUM(INDEX(DT:DT,ROW()+1):INDEX(DT:DT,$CE15))</f>
        <v>0</v>
      </c>
      <c r="DU15" s="400">
        <f>SUM(INDEX(DU:DU,ROW()+1):INDEX(DU:DU,$CE15))</f>
        <v>0</v>
      </c>
      <c r="DV15" s="400">
        <f>SUM(INDEX(DV:DV,ROW()+1):INDEX(DV:DV,$CE15))</f>
        <v>3.2199566101829023E-2</v>
      </c>
      <c r="DW15" s="400">
        <f>SUM(INDEX(DW:DW,ROW()+1):INDEX(DW:DW,$CE15))</f>
        <v>0</v>
      </c>
      <c r="DX15" s="400">
        <f>SUM(INDEX(DX:DX,ROW()+1):INDEX(DX:DX,$CE15))</f>
        <v>0</v>
      </c>
      <c r="DY15" s="400">
        <f>SUM(INDEX(DY:DY,ROW()+1):INDEX(DY:DY,$CE15))</f>
        <v>0</v>
      </c>
      <c r="DZ15" s="400">
        <f>SUM(INDEX(DZ:DZ,ROW()+1):INDEX(DZ:DZ,$CE15))</f>
        <v>0</v>
      </c>
      <c r="EA15" s="400">
        <f>SUM(INDEX(EA:EA,ROW()+1):INDEX(EA:EA,$CE15))</f>
        <v>0</v>
      </c>
      <c r="EB15" s="401">
        <f>SUM(INDEX(EB:EB,ROW()+1):INDEX(EB:EB,$CE15))</f>
        <v>3.2199566101829023E-2</v>
      </c>
      <c r="EC15" s="805"/>
      <c r="ED15" s="399"/>
      <c r="EE15" s="400"/>
      <c r="EF15" s="1112"/>
      <c r="EG15" s="1112"/>
      <c r="EH15" s="1112"/>
      <c r="EI15" s="1112"/>
      <c r="EJ15" s="1112"/>
      <c r="EK15" s="1112"/>
      <c r="EL15" s="1112"/>
      <c r="EM15" s="1112"/>
      <c r="EN15" s="1112"/>
      <c r="EO15" s="1112"/>
      <c r="EP15" s="1112"/>
      <c r="EQ15" s="1112"/>
      <c r="ER15" s="1112"/>
      <c r="ES15" s="1112"/>
      <c r="ET15" s="1112"/>
      <c r="EU15" s="1112"/>
      <c r="EV15" s="1112"/>
      <c r="EW15" s="1112"/>
      <c r="EX15" s="1113"/>
      <c r="EY15" s="2"/>
      <c r="EZ15" s="2"/>
      <c r="FA15" s="2"/>
      <c r="FB15" s="2"/>
      <c r="FC15" s="2"/>
      <c r="FD15" s="2"/>
      <c r="FE15" s="2"/>
      <c r="FF15" s="2"/>
      <c r="FG15" s="2"/>
      <c r="FH15" s="2"/>
      <c r="FI15" s="2"/>
      <c r="FJ15" s="399"/>
      <c r="FK15" s="400"/>
      <c r="FL15" s="401"/>
      <c r="FM15" s="969"/>
    </row>
    <row r="16" spans="1:169" s="13" customFormat="1" ht="12.75" customHeight="1">
      <c r="A16" s="221"/>
      <c r="B16" s="402" t="s">
        <v>905</v>
      </c>
      <c r="C16" s="403"/>
      <c r="D16" s="646"/>
      <c r="E16" s="404"/>
      <c r="F16" s="405"/>
      <c r="G16" s="405"/>
      <c r="H16" s="405"/>
      <c r="I16" s="637" cm="1">
        <f t="array" ref="I16">IF($CI16=0,0,IFERROR(INDEX(MHR[],$CI16,MATCH($CA16,MHR!$B$4:$AY$4,0)),0))</f>
        <v>0</v>
      </c>
      <c r="J16" s="634">
        <f t="shared" ref="J16:J24" si="0">IF(COUNTBLANK($E16:$H16),0,IFERROR($F16/$H16/IF($G16="s",3600,IF($G16="min",60,IF($G16="h",1,0)))*I16,0))</f>
        <v>0</v>
      </c>
      <c r="K16" s="406"/>
      <c r="L16" s="407"/>
      <c r="M16" s="871"/>
      <c r="N16" s="407"/>
      <c r="O16" s="405"/>
      <c r="P16" s="645" cm="1">
        <f t="array" ref="P16">IF($K16=0,0,IFERROR(ROUNDUP(IF(ISNUMBER($K16),$K16,INDEX($D$1:$D16,$CD16)*INDEX(Premises!$A$13:$F$13,1,$CH16)/IF(OR($K16="T",$K16="D"),250,IF($K16="W",50,IF($K16="M",12,IF(OR($K16="HJ",$K16="HY"),2,IF(OR($K16="J",$K16="Y"),1,0)))))),0),0))</f>
        <v>0</v>
      </c>
      <c r="Q16" s="637" cm="1">
        <f t="array" ref="Q16">IF($K16=0,0,IFERROR(INDEX(Premises!$A$22:$F$22,1,$CH16)*100/INDEX(Premises!$A$16:$F$16,1,$CH16),0))</f>
        <v>0</v>
      </c>
      <c r="R16" s="634">
        <f t="shared" ref="R16:R24" si="1">IF($P16=0,0,IFERROR(($L16/60*($I16+$Q16*$M16)+($N16/60*($Q16*$O16)))/$P16,0))</f>
        <v>0</v>
      </c>
      <c r="S16" s="408"/>
      <c r="T16" s="409"/>
      <c r="U16" s="637" cm="1">
        <f t="array" ref="U16">IF(COUNTBLANK($S16:$T16),0,
IF(AND(INDEX(MHR[Schichtmodell],$CI16)&lt;&gt;0,INDEX(MHR[Schichtmodell],$CI16)&lt;&gt;INDEX(Premises!$A$20:$F$20,1,$CH16)),ExchangeRate*
IF(OR($T16="M",$T16="U"),IF(INDEX(MHR[Schichtmodell],$CI16)=1,INDEX(LOC[M1S],INDEX(Premises!$A$18:$F$18,1,$CH16+1)),IF(INDEX(MHR[Schichtmodell],$CI16)=2,INDEX(LOC[M2S],INDEX(Premises!$A$18:$F$18,1,$CH16+1),IF(INDEX(MHR[Schichtmodell],$CI16)=3,INDEX(LOC[M3S],INDEX(Premises!$A$18:$F$18,1,$CH16+1)),0)))),
IF(INDEX(MHR[Schichtmodell],$CI16)=1,INDEX(LOC[F1S],INDEX(Premises!$A$18:$F$18,1,$CH16+1)),IF(INDEX(MHR[Schichtmodell],$CI16)=2,INDEX(LOC[F2S],INDEX(Premises!$A$18:$F$18,1,$CH16+1)),IF(INDEX(MHR[Schichtmodell],$CI16)=3,INDEX(LOC[F3S],INDEX(Premises!$A$18:$F$18,1,$CH16+1)),0)))),
IF(OR($T16="M",$T16="U"),INDEX(Premises!$A$21:$F$21,1,$CH16),
IF(OR($T16="F",$T16="S"),INDEX(Premises!$A$22:$F$22,1,$CH16),0)))*100/INDEX(Premises!$A$16:$F$16,1,$CH16))</f>
        <v>0</v>
      </c>
      <c r="V16" s="631">
        <f t="shared" ref="V16:V24" si="2">IF($U16=0,0,IFERROR($F16/$H16/IF($G16="s",3600,IF($G16="min",60,IF($G16="h",1,0)))*$S16*$U16,0))</f>
        <v>0</v>
      </c>
      <c r="W16" s="410"/>
      <c r="X16" s="403"/>
      <c r="Y16" s="411"/>
      <c r="Z16" s="412"/>
      <c r="AA16" s="628">
        <f t="shared" ref="AA16:AA24" si="3">IFERROR($X16*$Z16/$Y16/MAX(1,$H16),0)</f>
        <v>0</v>
      </c>
      <c r="AB16" s="410"/>
      <c r="AC16" s="403"/>
      <c r="AD16" s="411"/>
      <c r="AE16" s="413"/>
      <c r="AF16" s="628">
        <f t="shared" ref="AF16:AF24" si="4">IFERROR($AC16*$AE16/$AD16,0)</f>
        <v>0</v>
      </c>
      <c r="AG16" s="629" cm="1">
        <f t="array" ref="AG16">IF(($J16+$V16+$AF16)=0,0,INDEX(Premises!$A$30:$F$30,1,$CH16)/100)</f>
        <v>0</v>
      </c>
      <c r="AH16" s="414"/>
      <c r="AI16" s="415"/>
      <c r="AJ16" s="416"/>
      <c r="AK16" s="630">
        <f t="shared" ref="AK16:AK24" si="5">IF(COUNTBLANK($AH16:$AI16),0,$AH16*$AI16*$AG16)</f>
        <v>0</v>
      </c>
      <c r="AL16" s="631">
        <f t="shared" ref="AL16:AL24" si="6">($AK16+$AJ16*$AG16*(1-$AH16)+($J16+$V16+$AF16)*$AG16*(1-$AH16))</f>
        <v>0</v>
      </c>
      <c r="AM16" s="632" cm="1">
        <f t="array" ref="AM16">IF($CI16=0,0,IFERROR(INDEX(MHR[],$CI16,MATCH($CA16,MHR!$B$4:$AY$4,0)+11),0))</f>
        <v>0</v>
      </c>
      <c r="AN16" s="633" cm="1">
        <f t="array" ref="AN16">IF(($J16+$V16)=0,0,IFERROR(IF(INDEX(Premises!$A$41:$F$41,1,$CH16)&lt;&gt;0,INDEX(Premises!$A$41:$F$41,1,$CH16)/100,(IFERROR(($J16/$I16)*$AM16,0)/($V16+$J16+$R16+$AL16))),0))</f>
        <v>0</v>
      </c>
      <c r="AO16" s="634">
        <f t="shared" ref="AO16:AO24" si="7">IF(($J16+$V16)=0,0,IF(IFERROR(($J16+$R16+$V16+$AL16)*$AN16,0)&lt;&gt;IFERROR(($J16/$I16)*$AM16,0),($J16+$R16+$V16+$AL16)*$AN16,IFERROR(($J16/$I16)*$AM16,0)))</f>
        <v>0</v>
      </c>
      <c r="AP16" s="635">
        <f t="shared" ref="AP16:AP24" si="8">$V16+$J16+$R16+$AA16+$AF16+$AL16+$AO16</f>
        <v>0</v>
      </c>
      <c r="AQ16" s="410" t="str">
        <f>BOM!$A$5</f>
        <v>01-01-01 Big PCB</v>
      </c>
      <c r="AR16" s="409">
        <f>VLOOKUP($AQ16,BOM,6,0)</f>
        <v>1</v>
      </c>
      <c r="AS16" s="636" cm="1">
        <f t="array" ref="AS16">IF($CJ16=0,0,IFERROR(INDEX(MAT[Einheit],$CJ16,1),0))</f>
        <v>0</v>
      </c>
      <c r="AT16" s="637" cm="1">
        <f t="array" ref="AT16">IF($CJ16=0,0,IFERROR(INDEX(MAT[Preis],$CJ16,1),0))</f>
        <v>0</v>
      </c>
      <c r="AU16" s="638">
        <f t="shared" ref="AU16:AU24" si="9">$AR16*$AT16</f>
        <v>0</v>
      </c>
      <c r="AV16" s="639" cm="1">
        <f t="array" ref="AV16">IF($AU16&lt;=0,0,INDEX(Premises!$A$30:$F$30,1,$CH16)/100)</f>
        <v>0</v>
      </c>
      <c r="AW16" s="409"/>
      <c r="AX16" s="631">
        <f t="shared" ref="AX16:AX24" si="10">IF($AV16=0,0,($AU16+$AW16)*$AV16)</f>
        <v>0</v>
      </c>
      <c r="AY16" s="640" cm="1">
        <f t="array" ref="AY16">IF($AT16&lt;=0,0,IFERROR(IF(INDEX(Premises!$A$42:$F$42,1,$CH16)&lt;&gt;0,INDEX(Premises!$A$42:$F$42,1,$CH16)/100,(INDEX(MAT[],$CJ16,MATCH($CA16,MAT!$B$4:$AE$4,0))/($AR16*$CK16*INDEX(Premises!$A$13:$F$13,1,$CH16))+INDEX(MAT[],$CJ16,MATCH($CA16,MAT!$B$4:$AE$4,0)+7))/$AT16),0))</f>
        <v>0</v>
      </c>
      <c r="AZ16" s="631">
        <f t="shared" ref="AZ16:AZ24" si="11">IF($AY16=0,0,($AU16+$AX16)*$AY16)</f>
        <v>0</v>
      </c>
      <c r="BA16" s="635">
        <f t="shared" ref="BA16:BA24" si="12">$AU16+$AX16+$AZ16</f>
        <v>0</v>
      </c>
      <c r="BB16" s="635">
        <f t="shared" ref="BB16:BB24" si="13">$AP16+$BA16</f>
        <v>0</v>
      </c>
      <c r="BC16" s="639" cm="1">
        <f t="array" ref="BC16">IF($BB16&lt;=0,0,IF(BC$2=-1,0,INDEX(Premises!$A$32:$F$32,1,$CH16)/100))</f>
        <v>0</v>
      </c>
      <c r="BD16" s="631">
        <f t="shared" ref="BD16:BD24" si="14">IF($AP16&lt;=0,0,($AP16-$AA16-$AL16)*$BC16)</f>
        <v>0</v>
      </c>
      <c r="BE16" s="639" cm="1">
        <f t="array" ref="BE16">IF($BB16&lt;=0,0,IF(BE$2=-1,0,INDEX(Premises!$A$33:$F$33,1,$CH16)/100))</f>
        <v>0</v>
      </c>
      <c r="BF16" s="631">
        <f t="shared" ref="BF16:BF24" si="15">IF($BA16&lt;=0,0,$BA16*$BE16)</f>
        <v>0</v>
      </c>
      <c r="BG16" s="639" cm="1">
        <f t="array" ref="BG16">IF($BB16&lt;=0,0,IF(BG$2=-1,0,INDEX(Premises!$A$31:$F$31,1,$CH16)/100))</f>
        <v>0</v>
      </c>
      <c r="BH16" s="631">
        <f t="shared" ref="BH16:BH24" si="16">(($AP16-$AA16-$AL16)+$BA16)*$BG16</f>
        <v>0</v>
      </c>
      <c r="BI16" s="635">
        <f t="shared" ref="BI16:BI24" si="17">$BB16+$BD16+$BF16+$BH16</f>
        <v>0</v>
      </c>
      <c r="BJ16" s="639" cm="1">
        <f t="array" ref="BJ16">IF($BB16&lt;=0,0,IF(BJ$2=-1,0,INDEX(Premises!$A$35:$F$35,1,$CH16)/100))</f>
        <v>0</v>
      </c>
      <c r="BK16" s="631">
        <f t="shared" ref="BK16:BK24" si="18">IF($AP16&lt;=0,0,($AP16-$AL16-$AA16)*$BJ16)</f>
        <v>0</v>
      </c>
      <c r="BL16" s="639" cm="1">
        <f t="array" ref="BL16">IF($BB16&lt;=0,0,IF(BL$2=-1,0,INDEX(Premises!$A$36:$F$36,1,$CH16)/100))</f>
        <v>0</v>
      </c>
      <c r="BM16" s="631">
        <f t="shared" ref="BM16:BM24" si="19">IF($AU16&lt;=0,0,($AR16*$AT16)*$BL16)</f>
        <v>0</v>
      </c>
      <c r="BN16" s="639" cm="1">
        <f t="array" ref="BN16">IF($BB16&lt;=0,0,IF(BN$2=-1,0,INDEX(Premises!$A$34:$F$34,1,$CH16)/100))</f>
        <v>0</v>
      </c>
      <c r="BO16" s="631">
        <f t="shared" ref="BO16:BO24" si="20">(($AP16-$AL16-$AA16)+($AR16*$AT16))*$BN16</f>
        <v>0</v>
      </c>
      <c r="BP16" s="639" cm="1">
        <f t="array" ref="BP16">IF($BI16=0,0,INDEX(Premises!$A$37:$F$37,1,$CH16)/100)</f>
        <v>0</v>
      </c>
      <c r="BQ16" s="409"/>
      <c r="BR16" s="631">
        <f t="shared" ref="BR16:BR24" si="21">($BI16+$BK16+$BM16+$BO16)*$BP16+$BQ16</f>
        <v>0</v>
      </c>
      <c r="BS16" s="641">
        <f t="shared" ref="BS16:BS24" si="22">BI16+BK16+BM16+BO16+BR16</f>
        <v>0</v>
      </c>
      <c r="BT16" s="641">
        <f t="shared" ref="BT16:BT24" si="23">IF($BS16=0,0,$CK16*$BS16)</f>
        <v>0</v>
      </c>
      <c r="BU16" s="642">
        <f t="shared" ref="BU16:BU24" si="24">IF($BT16=0,0,MAX(1,$EB16/$DP16))</f>
        <v>0</v>
      </c>
      <c r="BV16" s="417"/>
      <c r="BW16" s="418"/>
      <c r="BX16" s="418"/>
      <c r="BY16" s="419"/>
      <c r="BZ16" s="968"/>
      <c r="CA16" s="280" cm="1">
        <f t="array" ref="CA16">IF($BZ16&gt;0,VALUE(LEFT($BZ16,IF(ISERROR(FIND("-",$BZ16)),LEN($BZ16),FIND("-",$BZ16)-1))),INDEX($CA$1:$CA16,MAX(1,$CD16)))</f>
        <v>1</v>
      </c>
      <c r="CB16" s="280" cm="1">
        <f t="array" ref="CB16">IF($BT16=0,0,IF(LEN($BZ16)-LEN(SUBSTITUTE($BZ16,"-",""))&gt;1,
VALUE(MID($BZ16,FIND("-",$BZ16)+1,FIND("-",$BZ16,FIND("-",$BZ16)+1)-FIND("-",$BZ16)-1)),IF($BZ16&gt;0,0,INDEX($CB$1:$CB16,MAX(1,$CD16)))))</f>
        <v>0</v>
      </c>
      <c r="CC16" s="280" cm="1">
        <f t="array" ref="CC16">IF($BT16=0,0,IF(NOT(ISERROR(FIND("-",BZ16))),
VALUE(RIGHT($BZ16,LEN($BZ16)-IF(LEN($BZ16)-LEN(SUBSTITUTE($BZ16,"-",""))=1,FIND("-",$BZ16),FIND("-",$BZ16,FIND("-",$BZ16)+1)))),
IF($BZ16&gt;0,0,INDEX($CC$1:$CC16,MAX(1,$CD16)))))</f>
        <v>0</v>
      </c>
      <c r="CD16" s="393">
        <f>MATCH(0,$CE$1:$CE16,-1)</f>
        <v>15</v>
      </c>
      <c r="CE16" s="280"/>
      <c r="CF16" s="394"/>
      <c r="CG16" s="393" cm="1">
        <f t="array" ref="CG16">INDEX($CG$1:$CG16,$CD16)</f>
        <v>4</v>
      </c>
      <c r="CH16" s="280">
        <f>MATCH($CA16,Premises!$A$10:$F$10,0)</f>
        <v>4</v>
      </c>
      <c r="CI16" s="280">
        <f>IF(ISBLANK($E16),0,IFERROR(MATCH($E16,MHR[Bezeichnung],0),0))</f>
        <v>0</v>
      </c>
      <c r="CJ16" s="394">
        <f>IF(ISBLANK($AQ16),0,IFERROR(MATCH($AQ16,MAT[Bezeichnung],0),0))</f>
        <v>0</v>
      </c>
      <c r="CK16" s="280" cm="1">
        <f t="array" ref="CK16">INDEX($D$1:$D16,$CD16)</f>
        <v>1</v>
      </c>
      <c r="CL16" s="280"/>
      <c r="CM16" s="395"/>
      <c r="CN16" s="396" cm="1">
        <f t="array" ref="CN16">IF($CB16=0,0,IF($CB16=INDEX($CB$1:$CB16,$CD16),INDEX($CN$1:$CN16,$CD16),$CP16))</f>
        <v>0</v>
      </c>
      <c r="CO16" s="395"/>
      <c r="CP16" s="396" cm="1">
        <f t="array" ref="CP16">IF($CC16=0,0,INDEX($CP$1:$CP16,$CD16))</f>
        <v>0</v>
      </c>
      <c r="CQ16" s="397"/>
      <c r="CR16" s="398"/>
      <c r="CS16" s="398"/>
      <c r="CT16" s="970"/>
      <c r="CU16" s="2"/>
      <c r="CV16" s="647">
        <f t="shared" ref="CV16:CV24" si="25">$J16*$CK16</f>
        <v>0</v>
      </c>
      <c r="CW16" s="648">
        <f t="shared" ref="CW16:CW24" si="26">$R16*$CK16</f>
        <v>0</v>
      </c>
      <c r="CX16" s="648">
        <f t="shared" ref="CX16:CX24" si="27">$V16*$CK16</f>
        <v>0</v>
      </c>
      <c r="CY16" s="648">
        <f t="shared" ref="CY16:CY24" si="28">$AA16*$CK16</f>
        <v>0</v>
      </c>
      <c r="CZ16" s="648">
        <f t="shared" ref="CZ16:CZ24" si="29">$AF16*$CK16</f>
        <v>0</v>
      </c>
      <c r="DA16" s="648">
        <f t="shared" ref="DA16:DA24" si="30">$AL16*$CK16</f>
        <v>0</v>
      </c>
      <c r="DB16" s="648">
        <f t="shared" ref="DB16:DB24" si="31">$AO16*$CK16</f>
        <v>0</v>
      </c>
      <c r="DC16" s="649">
        <f t="shared" ref="DC16:DC24" si="32">$AP16*$CK16</f>
        <v>0</v>
      </c>
      <c r="DD16" s="648">
        <f t="shared" ref="DD16:DD24" si="33">$AU16*$CK16</f>
        <v>0</v>
      </c>
      <c r="DE16" s="648">
        <f t="shared" ref="DE16:DE24" si="34">$AX16*$CK16</f>
        <v>0</v>
      </c>
      <c r="DF16" s="648">
        <f t="shared" ref="DF16:DF24" si="35">$AZ16*$CK16</f>
        <v>0</v>
      </c>
      <c r="DG16" s="649">
        <f t="shared" ref="DG16:DG24" si="36">$BA16*$CK16</f>
        <v>0</v>
      </c>
      <c r="DH16" s="649">
        <f t="shared" ref="DH16:DH24" si="37">$BB16*$CK16</f>
        <v>0</v>
      </c>
      <c r="DI16" s="648">
        <f t="shared" ref="DI16:DI24" si="38">$BD16*$CK16</f>
        <v>0</v>
      </c>
      <c r="DJ16" s="648">
        <f t="shared" ref="DJ16:DJ24" si="39">$BF16*$CK16</f>
        <v>0</v>
      </c>
      <c r="DK16" s="648">
        <f t="shared" ref="DK16:DK24" si="40">$BH16*$CK16</f>
        <v>0</v>
      </c>
      <c r="DL16" s="648">
        <f t="shared" ref="DL16:DL24" si="41">$BK16*$CK16</f>
        <v>0</v>
      </c>
      <c r="DM16" s="648">
        <f t="shared" ref="DM16:DM24" si="42">$BM16*$CK16</f>
        <v>0</v>
      </c>
      <c r="DN16" s="648">
        <f t="shared" ref="DN16:DN24" si="43">$BO16*$CK16</f>
        <v>0</v>
      </c>
      <c r="DO16" s="648">
        <f t="shared" ref="DO16:DO24" si="44">$BR16*$CK16</f>
        <v>0</v>
      </c>
      <c r="DP16" s="651">
        <f t="shared" ref="DP16:DP24" si="45">$CK16*($BB16+$BD16+$BF16+$BH16+$BK16+$BM16+$BO16+$BR16)</f>
        <v>0</v>
      </c>
      <c r="DQ16" s="951">
        <f>IF($CB16=0,0,$DP16*_xlfn.XLOOKUP($CB16,Premises!$A$10:$F$10,Premises!$A$30:$F$30)/100)</f>
        <v>0</v>
      </c>
      <c r="DR16" s="650">
        <f>IFERROR(SUM($DP16:$DQ16)*IF(INDEX(Premises!$A$42:$F$42,1,MATCH($CB16,Premises!$A$10:$F$10,0))&gt;0,INDEX(Premises!$A$42:$F$42,1,MATCH($CB16,Premises!$A$10:$F$10,0))%,$CN16),0)</f>
        <v>0</v>
      </c>
      <c r="DS16" s="650" cm="1">
        <f t="array" ref="DS16">IF($CB16=0,0,SUM($DP16:$DR16)*_xlfn.XLOOKUP($CB16,Premises!$A$10:$F$10,IF(INDEX(Settings[],MATCH(3001,Settings[ID],0),2)="B",Premises!$A$33:$F$33,Premises!$A$31:$F$31))/100)</f>
        <v>0</v>
      </c>
      <c r="DT16" s="650" cm="1">
        <f t="array" ref="DT16">IF($CB16=0,0,$DP16*_xlfn.XLOOKUP($CB16,Premises!$A$10:$F$10,IF(INDEX(Settings[],MATCH(3002,Settings[ID],0),2)="B",Premises!$A$36:$F$36,Premises!$A$34:$F$34))/100)</f>
        <v>0</v>
      </c>
      <c r="DU16" s="650">
        <f>IF($CB16=0,0,SUM($DP16:$DT16)*_xlfn.XLOOKUP($CB16,Premises!$A$10:$F$10,Premises!$A$37:$F$37)/100)</f>
        <v>0</v>
      </c>
      <c r="DV16" s="954">
        <f t="shared" ref="DV16:DV24" si="46">SUM($DP16:$DU16)</f>
        <v>0</v>
      </c>
      <c r="DW16" s="951">
        <f>IF($CC16=0,0,$DV16*_xlfn.XLOOKUP($CC16,Premises!$A$10:$F$10,Premises!$A$30:$F$30)/100)</f>
        <v>0</v>
      </c>
      <c r="DX16" s="650">
        <f>IFERROR(SUM($DV16:$DW16)*IF(INDEX(Premises!$A$42:$F$42,1,MATCH($CC16,Premises!$A$10:$F$10,0))&gt;0,INDEX(Premises!$A$42:$F$42,1,MATCH($CC16,Premises!$A$10:$F$10,0))%,$CP16),0)</f>
        <v>0</v>
      </c>
      <c r="DY16" s="650" cm="1">
        <f t="array" ref="DY16">IF($CC16=0,0,SUM($DV16:$DX16)*_xlfn.XLOOKUP($CC16,Premises!$A$10:$F$10,IF(INDEX(Settings[],MATCH(3001,Settings[ID],0),2)="B",Premises!$A$33:$F$33,Premises!$A$31:$F$31))/100)</f>
        <v>0</v>
      </c>
      <c r="DZ16" s="650" cm="1">
        <f t="array" ref="DZ16">IF($CC16=0,0,$DV16*_xlfn.XLOOKUP($CC16,Premises!$A$10:$F$10,IF(INDEX(Settings[],MATCH(3002,Settings[ID],0),2)="B",Premises!$A$36:$F$36,Premises!$A$34:$F$34))/100)</f>
        <v>0</v>
      </c>
      <c r="EA16" s="650">
        <f>IF($CC16=0,0,SUM($DV16:$DZ16)*_xlfn.XLOOKUP($CC16,Premises!$A$10:$F$10,Premises!$A$37:$F$37)/100)</f>
        <v>0</v>
      </c>
      <c r="EB16" s="651">
        <f t="shared" ref="EB16:EB24" si="47">SUM($DV16:$EA16)</f>
        <v>0</v>
      </c>
      <c r="EC16" s="805"/>
      <c r="ED16" s="1104"/>
      <c r="EE16" s="650"/>
      <c r="EF16" s="1110"/>
      <c r="EG16" s="1108"/>
      <c r="EH16" s="1108"/>
      <c r="EI16" s="1108"/>
      <c r="EJ16" s="1108"/>
      <c r="EK16" s="1108"/>
      <c r="EL16" s="1108"/>
      <c r="EM16" s="1110"/>
      <c r="EN16" s="1108"/>
      <c r="EO16" s="1108"/>
      <c r="EP16" s="1108"/>
      <c r="EQ16" s="1108"/>
      <c r="ER16" s="1110"/>
      <c r="ES16" s="1108"/>
      <c r="ET16" s="1108"/>
      <c r="EU16" s="1108"/>
      <c r="EV16" s="1108"/>
      <c r="EW16" s="1108"/>
      <c r="EX16" s="1111"/>
      <c r="EY16" s="2"/>
      <c r="EZ16" s="2"/>
      <c r="FA16" s="2"/>
      <c r="FB16" s="2"/>
      <c r="FC16" s="2"/>
      <c r="FD16" s="2"/>
      <c r="FE16" s="2"/>
      <c r="FF16" s="2"/>
      <c r="FG16" s="2"/>
      <c r="FH16" s="2"/>
      <c r="FI16" s="2"/>
      <c r="FJ16" s="420"/>
      <c r="FK16" s="421"/>
      <c r="FL16" s="422"/>
      <c r="FM16" s="970"/>
    </row>
    <row r="17" spans="1:169" s="13" customFormat="1" ht="12.75" customHeight="1">
      <c r="A17" s="221"/>
      <c r="B17" s="402"/>
      <c r="C17" s="403"/>
      <c r="D17" s="646"/>
      <c r="E17" s="404"/>
      <c r="F17" s="405"/>
      <c r="G17" s="405"/>
      <c r="H17" s="405"/>
      <c r="I17" s="637" cm="1">
        <f t="array" ref="I17">IF($CI17=0,0,IFERROR(INDEX(MHR[],$CI17,MATCH($CA17,MHR!$B$4:$AY$4,0)),0))</f>
        <v>0</v>
      </c>
      <c r="J17" s="634">
        <f t="shared" si="0"/>
        <v>0</v>
      </c>
      <c r="K17" s="406"/>
      <c r="L17" s="407"/>
      <c r="M17" s="871"/>
      <c r="N17" s="407"/>
      <c r="O17" s="405"/>
      <c r="P17" s="645" cm="1">
        <f t="array" ref="P17">IF($K17=0,0,IFERROR(ROUNDUP(IF(ISNUMBER($K17),$K17,INDEX($D$1:$D17,$CD17)*INDEX(Premises!$A$13:$F$13,1,$CH17)/IF(OR($K17="T",$K17="D"),250,IF($K17="W",50,IF($K17="M",12,IF(OR($K17="HJ",$K17="HY"),2,IF(OR($K17="J",$K17="Y"),1,0)))))),0),0))</f>
        <v>0</v>
      </c>
      <c r="Q17" s="637" cm="1">
        <f t="array" ref="Q17">IF($K17=0,0,IFERROR(INDEX(Premises!$A$22:$F$22,1,$CH17)*100/INDEX(Premises!$A$16:$F$16,1,$CH17),0))</f>
        <v>0</v>
      </c>
      <c r="R17" s="634">
        <f t="shared" si="1"/>
        <v>0</v>
      </c>
      <c r="S17" s="408"/>
      <c r="T17" s="409"/>
      <c r="U17" s="637" cm="1">
        <f t="array" ref="U17">IF(COUNTBLANK($S17:$T17),0,
IF(AND(INDEX(MHR[Schichtmodell],$CI17)&lt;&gt;0,INDEX(MHR[Schichtmodell],$CI17)&lt;&gt;INDEX(Premises!$A$20:$F$20,1,$CH17)),ExchangeRate*
IF(OR($T17="M",$T17="U"),IF(INDEX(MHR[Schichtmodell],$CI17)=1,INDEX(LOC[M1S],INDEX(Premises!$A$18:$F$18,1,$CH17+1)),IF(INDEX(MHR[Schichtmodell],$CI17)=2,INDEX(LOC[M2S],INDEX(Premises!$A$18:$F$18,1,$CH17+1),IF(INDEX(MHR[Schichtmodell],$CI17)=3,INDEX(LOC[M3S],INDEX(Premises!$A$18:$F$18,1,$CH17+1)),0)))),
IF(INDEX(MHR[Schichtmodell],$CI17)=1,INDEX(LOC[F1S],INDEX(Premises!$A$18:$F$18,1,$CH17+1)),IF(INDEX(MHR[Schichtmodell],$CI17)=2,INDEX(LOC[F2S],INDEX(Premises!$A$18:$F$18,1,$CH17+1)),IF(INDEX(MHR[Schichtmodell],$CI17)=3,INDEX(LOC[F3S],INDEX(Premises!$A$18:$F$18,1,$CH17+1)),0)))),
IF(OR($T17="M",$T17="U"),INDEX(Premises!$A$21:$F$21,1,$CH17),
IF(OR($T17="F",$T17="S"),INDEX(Premises!$A$22:$F$22,1,$CH17),0)))*100/INDEX(Premises!$A$16:$F$16,1,$CH17))</f>
        <v>0</v>
      </c>
      <c r="V17" s="631">
        <f t="shared" si="2"/>
        <v>0</v>
      </c>
      <c r="W17" s="410"/>
      <c r="X17" s="403"/>
      <c r="Y17" s="411"/>
      <c r="Z17" s="412"/>
      <c r="AA17" s="628">
        <f t="shared" si="3"/>
        <v>0</v>
      </c>
      <c r="AB17" s="410"/>
      <c r="AC17" s="403"/>
      <c r="AD17" s="411"/>
      <c r="AE17" s="413"/>
      <c r="AF17" s="628">
        <f t="shared" si="4"/>
        <v>0</v>
      </c>
      <c r="AG17" s="629" cm="1">
        <f t="array" ref="AG17">IF(($J17+$V17+$AF17)=0,0,INDEX(Premises!$A$30:$F$30,1,$CH17)/100)</f>
        <v>0</v>
      </c>
      <c r="AH17" s="414"/>
      <c r="AI17" s="415"/>
      <c r="AJ17" s="416"/>
      <c r="AK17" s="630">
        <f t="shared" si="5"/>
        <v>0</v>
      </c>
      <c r="AL17" s="631">
        <f t="shared" si="6"/>
        <v>0</v>
      </c>
      <c r="AM17" s="632" cm="1">
        <f t="array" ref="AM17">IF($CI17=0,0,IFERROR(INDEX(MHR[],$CI17,MATCH($CA17,MHR!$B$4:$AY$4,0)+11),0))</f>
        <v>0</v>
      </c>
      <c r="AN17" s="633" cm="1">
        <f t="array" ref="AN17">IF(($J17+$V17)=0,0,IFERROR(IF(INDEX(Premises!$A$41:$F$41,1,$CH17)&lt;&gt;0,INDEX(Premises!$A$41:$F$41,1,$CH17)/100,(IFERROR(($J17/$I17)*$AM17,0)/($V17+$J17+$R17+$AL17))),0))</f>
        <v>0</v>
      </c>
      <c r="AO17" s="634">
        <f t="shared" si="7"/>
        <v>0</v>
      </c>
      <c r="AP17" s="635">
        <f t="shared" si="8"/>
        <v>0</v>
      </c>
      <c r="AQ17" s="410" t="str">
        <f>BOM!$A$6</f>
        <v>01-01-02 Small PCB</v>
      </c>
      <c r="AR17" s="409">
        <f>VLOOKUP($AQ17,BOM,6,0)</f>
        <v>1</v>
      </c>
      <c r="AS17" s="636" cm="1">
        <f t="array" ref="AS17">IF($CJ17=0,0,IFERROR(INDEX(MAT[Einheit],$CJ17,1),0))</f>
        <v>0</v>
      </c>
      <c r="AT17" s="637" cm="1">
        <f t="array" ref="AT17">IF($CJ17=0,0,IFERROR(INDEX(MAT[Preis],$CJ17,1),0))</f>
        <v>0</v>
      </c>
      <c r="AU17" s="638">
        <f t="shared" si="9"/>
        <v>0</v>
      </c>
      <c r="AV17" s="639" cm="1">
        <f t="array" ref="AV17">IF($AU17&lt;=0,0,INDEX(Premises!$A$30:$F$30,1,$CH17)/100)</f>
        <v>0</v>
      </c>
      <c r="AW17" s="409"/>
      <c r="AX17" s="631">
        <f t="shared" si="10"/>
        <v>0</v>
      </c>
      <c r="AY17" s="640" cm="1">
        <f t="array" ref="AY17">IF($AT17&lt;=0,0,IFERROR(IF(INDEX(Premises!$A$42:$F$42,1,$CH17)&lt;&gt;0,INDEX(Premises!$A$42:$F$42,1,$CH17)/100,(INDEX(MAT[],$CJ17,MATCH($CA17,MAT!$B$4:$AE$4,0))/($AR17*$CK17*INDEX(Premises!$A$13:$F$13,1,$CH17))+INDEX(MAT[],$CJ17,MATCH($CA17,MAT!$B$4:$AE$4,0)+7))/$AT17),0))</f>
        <v>0</v>
      </c>
      <c r="AZ17" s="631">
        <f t="shared" si="11"/>
        <v>0</v>
      </c>
      <c r="BA17" s="635">
        <f t="shared" si="12"/>
        <v>0</v>
      </c>
      <c r="BB17" s="635">
        <f t="shared" si="13"/>
        <v>0</v>
      </c>
      <c r="BC17" s="639" cm="1">
        <f t="array" ref="BC17">IF($BB17&lt;=0,0,IF(BC$2=-1,0,INDEX(Premises!$A$32:$F$32,1,$CH17)/100))</f>
        <v>0</v>
      </c>
      <c r="BD17" s="631">
        <f t="shared" si="14"/>
        <v>0</v>
      </c>
      <c r="BE17" s="639" cm="1">
        <f t="array" ref="BE17">IF($BB17&lt;=0,0,IF(BE$2=-1,0,INDEX(Premises!$A$33:$F$33,1,$CH17)/100))</f>
        <v>0</v>
      </c>
      <c r="BF17" s="631">
        <f t="shared" si="15"/>
        <v>0</v>
      </c>
      <c r="BG17" s="639" cm="1">
        <f t="array" ref="BG17">IF($BB17&lt;=0,0,IF(BG$2=-1,0,INDEX(Premises!$A$31:$F$31,1,$CH17)/100))</f>
        <v>0</v>
      </c>
      <c r="BH17" s="631">
        <f t="shared" si="16"/>
        <v>0</v>
      </c>
      <c r="BI17" s="635">
        <f t="shared" si="17"/>
        <v>0</v>
      </c>
      <c r="BJ17" s="639" cm="1">
        <f t="array" ref="BJ17">IF($BB17&lt;=0,0,IF(BJ$2=-1,0,INDEX(Premises!$A$35:$F$35,1,$CH17)/100))</f>
        <v>0</v>
      </c>
      <c r="BK17" s="631">
        <f t="shared" si="18"/>
        <v>0</v>
      </c>
      <c r="BL17" s="639" cm="1">
        <f t="array" ref="BL17">IF($BB17&lt;=0,0,IF(BL$2=-1,0,INDEX(Premises!$A$36:$F$36,1,$CH17)/100))</f>
        <v>0</v>
      </c>
      <c r="BM17" s="631">
        <f t="shared" si="19"/>
        <v>0</v>
      </c>
      <c r="BN17" s="639" cm="1">
        <f t="array" ref="BN17">IF($BB17&lt;=0,0,IF(BN$2=-1,0,INDEX(Premises!$A$34:$F$34,1,$CH17)/100))</f>
        <v>0</v>
      </c>
      <c r="BO17" s="631">
        <f t="shared" si="20"/>
        <v>0</v>
      </c>
      <c r="BP17" s="639" cm="1">
        <f t="array" ref="BP17">IF($BI17=0,0,INDEX(Premises!$A$37:$F$37,1,$CH17)/100)</f>
        <v>0</v>
      </c>
      <c r="BQ17" s="409"/>
      <c r="BR17" s="631">
        <f t="shared" si="21"/>
        <v>0</v>
      </c>
      <c r="BS17" s="641">
        <f t="shared" si="22"/>
        <v>0</v>
      </c>
      <c r="BT17" s="641">
        <f t="shared" si="23"/>
        <v>0</v>
      </c>
      <c r="BU17" s="642">
        <f t="shared" si="24"/>
        <v>0</v>
      </c>
      <c r="BV17" s="417"/>
      <c r="BW17" s="418"/>
      <c r="BX17" s="418"/>
      <c r="BY17" s="419"/>
      <c r="BZ17" s="968"/>
      <c r="CA17" s="280" cm="1">
        <f t="array" ref="CA17">IF($BZ17&gt;0,VALUE(LEFT($BZ17,IF(ISERROR(FIND("-",$BZ17)),LEN($BZ17),FIND("-",$BZ17)-1))),INDEX($CA$1:$CA17,MAX(1,$CD17)))</f>
        <v>1</v>
      </c>
      <c r="CB17" s="280" cm="1">
        <f t="array" ref="CB17">IF($BT17=0,0,IF(LEN($BZ17)-LEN(SUBSTITUTE($BZ17,"-",""))&gt;1,
VALUE(MID($BZ17,FIND("-",$BZ17)+1,FIND("-",$BZ17,FIND("-",$BZ17)+1)-FIND("-",$BZ17)-1)),IF($BZ17&gt;0,0,INDEX($CB$1:$CB17,MAX(1,$CD17)))))</f>
        <v>0</v>
      </c>
      <c r="CC17" s="280" cm="1">
        <f t="array" ref="CC17">IF($BT17=0,0,IF(NOT(ISERROR(FIND("-",BZ17))),
VALUE(RIGHT($BZ17,LEN($BZ17)-IF(LEN($BZ17)-LEN(SUBSTITUTE($BZ17,"-",""))=1,FIND("-",$BZ17),FIND("-",$BZ17,FIND("-",$BZ17)+1)))),
IF($BZ17&gt;0,0,INDEX($CC$1:$CC17,MAX(1,$CD17)))))</f>
        <v>0</v>
      </c>
      <c r="CD17" s="393">
        <f>MATCH(0,$CE$1:$CE17,-1)</f>
        <v>15</v>
      </c>
      <c r="CE17" s="280"/>
      <c r="CF17" s="394"/>
      <c r="CG17" s="393" cm="1">
        <f t="array" ref="CG17">INDEX($CG$1:$CG17,$CD17)</f>
        <v>4</v>
      </c>
      <c r="CH17" s="280">
        <f>MATCH($CA17,Premises!$A$10:$F$10,0)</f>
        <v>4</v>
      </c>
      <c r="CI17" s="280">
        <f>IF(ISBLANK($E17),0,IFERROR(MATCH($E17,MHR[Bezeichnung],0),0))</f>
        <v>0</v>
      </c>
      <c r="CJ17" s="394">
        <f>IF(ISBLANK($AQ17),0,IFERROR(MATCH($AQ17,MAT[Bezeichnung],0),0))</f>
        <v>0</v>
      </c>
      <c r="CK17" s="280" cm="1">
        <f t="array" ref="CK17">INDEX($D$1:$D17,$CD17)</f>
        <v>1</v>
      </c>
      <c r="CL17" s="280"/>
      <c r="CM17" s="395"/>
      <c r="CN17" s="396" cm="1">
        <f t="array" ref="CN17">IF($CB17=0,0,IF($CB17=INDEX($CB$1:$CB17,$CD17),INDEX($CN$1:$CN17,$CD17),$CP17))</f>
        <v>0</v>
      </c>
      <c r="CO17" s="395"/>
      <c r="CP17" s="396" cm="1">
        <f t="array" ref="CP17">IF($CC17=0,0,INDEX($CP$1:$CP17,$CD17))</f>
        <v>0</v>
      </c>
      <c r="CQ17" s="397"/>
      <c r="CR17" s="398"/>
      <c r="CS17" s="398"/>
      <c r="CT17" s="970"/>
      <c r="CU17" s="2"/>
      <c r="CV17" s="647">
        <f t="shared" si="25"/>
        <v>0</v>
      </c>
      <c r="CW17" s="648">
        <f t="shared" si="26"/>
        <v>0</v>
      </c>
      <c r="CX17" s="648">
        <f t="shared" si="27"/>
        <v>0</v>
      </c>
      <c r="CY17" s="648">
        <f t="shared" si="28"/>
        <v>0</v>
      </c>
      <c r="CZ17" s="648">
        <f t="shared" si="29"/>
        <v>0</v>
      </c>
      <c r="DA17" s="648">
        <f t="shared" si="30"/>
        <v>0</v>
      </c>
      <c r="DB17" s="648">
        <f t="shared" si="31"/>
        <v>0</v>
      </c>
      <c r="DC17" s="649">
        <f t="shared" si="32"/>
        <v>0</v>
      </c>
      <c r="DD17" s="648">
        <f t="shared" si="33"/>
        <v>0</v>
      </c>
      <c r="DE17" s="648">
        <f t="shared" si="34"/>
        <v>0</v>
      </c>
      <c r="DF17" s="648">
        <f t="shared" si="35"/>
        <v>0</v>
      </c>
      <c r="DG17" s="649">
        <f t="shared" si="36"/>
        <v>0</v>
      </c>
      <c r="DH17" s="649">
        <f t="shared" si="37"/>
        <v>0</v>
      </c>
      <c r="DI17" s="648">
        <f t="shared" si="38"/>
        <v>0</v>
      </c>
      <c r="DJ17" s="648">
        <f t="shared" si="39"/>
        <v>0</v>
      </c>
      <c r="DK17" s="648">
        <f t="shared" si="40"/>
        <v>0</v>
      </c>
      <c r="DL17" s="648">
        <f t="shared" si="41"/>
        <v>0</v>
      </c>
      <c r="DM17" s="648">
        <f t="shared" si="42"/>
        <v>0</v>
      </c>
      <c r="DN17" s="648">
        <f t="shared" si="43"/>
        <v>0</v>
      </c>
      <c r="DO17" s="648">
        <f t="shared" si="44"/>
        <v>0</v>
      </c>
      <c r="DP17" s="651">
        <f t="shared" si="45"/>
        <v>0</v>
      </c>
      <c r="DQ17" s="951">
        <f>IF($CB17=0,0,$DP17*_xlfn.XLOOKUP($CB17,Premises!$A$10:$F$10,Premises!$A$30:$F$30)/100)</f>
        <v>0</v>
      </c>
      <c r="DR17" s="650">
        <f>IFERROR(SUM($DP17:$DQ17)*IF(INDEX(Premises!$A$42:$F$42,1,MATCH($CB17,Premises!$A$10:$F$10,0))&gt;0,INDEX(Premises!$A$42:$F$42,1,MATCH($CB17,Premises!$A$10:$F$10,0))%,$CN17),0)</f>
        <v>0</v>
      </c>
      <c r="DS17" s="650" cm="1">
        <f t="array" ref="DS17">IF($CB17=0,0,SUM($DP17:$DR17)*_xlfn.XLOOKUP($CB17,Premises!$A$10:$F$10,IF(INDEX(Settings[],MATCH(3001,Settings[ID],0),2)="B",Premises!$A$33:$F$33,Premises!$A$31:$F$31))/100)</f>
        <v>0</v>
      </c>
      <c r="DT17" s="650" cm="1">
        <f t="array" ref="DT17">IF($CB17=0,0,$DP17*_xlfn.XLOOKUP($CB17,Premises!$A$10:$F$10,IF(INDEX(Settings[],MATCH(3002,Settings[ID],0),2)="B",Premises!$A$36:$F$36,Premises!$A$34:$F$34))/100)</f>
        <v>0</v>
      </c>
      <c r="DU17" s="650">
        <f>IF($CB17=0,0,SUM($DP17:$DT17)*_xlfn.XLOOKUP($CB17,Premises!$A$10:$F$10,Premises!$A$37:$F$37)/100)</f>
        <v>0</v>
      </c>
      <c r="DV17" s="954">
        <f t="shared" si="46"/>
        <v>0</v>
      </c>
      <c r="DW17" s="951">
        <f>IF($CC17=0,0,$DV17*_xlfn.XLOOKUP($CC17,Premises!$A$10:$F$10,Premises!$A$30:$F$30)/100)</f>
        <v>0</v>
      </c>
      <c r="DX17" s="650">
        <f>IFERROR(SUM($DV17:$DW17)*IF(INDEX(Premises!$A$42:$F$42,1,MATCH($CC17,Premises!$A$10:$F$10,0))&gt;0,INDEX(Premises!$A$42:$F$42,1,MATCH($CC17,Premises!$A$10:$F$10,0))%,$CP17),0)</f>
        <v>0</v>
      </c>
      <c r="DY17" s="650" cm="1">
        <f t="array" ref="DY17">IF($CC17=0,0,SUM($DV17:$DX17)*_xlfn.XLOOKUP($CC17,Premises!$A$10:$F$10,IF(INDEX(Settings[],MATCH(3001,Settings[ID],0),2)="B",Premises!$A$33:$F$33,Premises!$A$31:$F$31))/100)</f>
        <v>0</v>
      </c>
      <c r="DZ17" s="650" cm="1">
        <f t="array" ref="DZ17">IF($CC17=0,0,$DV17*_xlfn.XLOOKUP($CC17,Premises!$A$10:$F$10,IF(INDEX(Settings[],MATCH(3002,Settings[ID],0),2)="B",Premises!$A$36:$F$36,Premises!$A$34:$F$34))/100)</f>
        <v>0</v>
      </c>
      <c r="EA17" s="650">
        <f>IF($CC17=0,0,SUM($DV17:$DZ17)*_xlfn.XLOOKUP($CC17,Premises!$A$10:$F$10,Premises!$A$37:$F$37)/100)</f>
        <v>0</v>
      </c>
      <c r="EB17" s="651">
        <f t="shared" si="47"/>
        <v>0</v>
      </c>
      <c r="EC17" s="805"/>
      <c r="ED17" s="1104"/>
      <c r="EE17" s="650"/>
      <c r="EF17" s="1110"/>
      <c r="EG17" s="1108"/>
      <c r="EH17" s="1108"/>
      <c r="EI17" s="1108"/>
      <c r="EJ17" s="1108"/>
      <c r="EK17" s="1108"/>
      <c r="EL17" s="1108"/>
      <c r="EM17" s="1110"/>
      <c r="EN17" s="1108"/>
      <c r="EO17" s="1108"/>
      <c r="EP17" s="1108"/>
      <c r="EQ17" s="1108"/>
      <c r="ER17" s="1110"/>
      <c r="ES17" s="1108"/>
      <c r="ET17" s="1108"/>
      <c r="EU17" s="1108"/>
      <c r="EV17" s="1108"/>
      <c r="EW17" s="1108"/>
      <c r="EX17" s="1111"/>
      <c r="EY17" s="2"/>
      <c r="EZ17" s="2"/>
      <c r="FA17" s="2"/>
      <c r="FB17" s="2"/>
      <c r="FC17" s="2"/>
      <c r="FD17" s="2"/>
      <c r="FE17" s="2"/>
      <c r="FF17" s="2"/>
      <c r="FG17" s="2"/>
      <c r="FH17" s="2"/>
      <c r="FI17" s="2"/>
      <c r="FJ17" s="420"/>
      <c r="FK17" s="421"/>
      <c r="FL17" s="422"/>
      <c r="FM17" s="970"/>
    </row>
    <row r="18" spans="1:169" s="13" customFormat="1" ht="12.75" customHeight="1">
      <c r="A18" s="221"/>
      <c r="B18" s="402"/>
      <c r="C18" s="403"/>
      <c r="D18" s="646"/>
      <c r="E18" s="404"/>
      <c r="F18" s="405"/>
      <c r="G18" s="405"/>
      <c r="H18" s="405"/>
      <c r="I18" s="637" cm="1">
        <f t="array" ref="I18">IF($CI18=0,0,IFERROR(INDEX(MHR[],$CI18,MATCH($CA18,MHR!$B$4:$AY$4,0)),0))</f>
        <v>0</v>
      </c>
      <c r="J18" s="634">
        <f t="shared" si="0"/>
        <v>0</v>
      </c>
      <c r="K18" s="406"/>
      <c r="L18" s="407"/>
      <c r="M18" s="871"/>
      <c r="N18" s="407"/>
      <c r="O18" s="405"/>
      <c r="P18" s="645" cm="1">
        <f t="array" ref="P18">IF($K18=0,0,IFERROR(ROUNDUP(IF(ISNUMBER($K18),$K18,INDEX($D$1:$D18,$CD18)*INDEX(Premises!$A$13:$F$13,1,$CH18)/IF(OR($K18="T",$K18="D"),250,IF($K18="W",50,IF($K18="M",12,IF(OR($K18="HJ",$K18="HY"),2,IF(OR($K18="J",$K18="Y"),1,0)))))),0),0))</f>
        <v>0</v>
      </c>
      <c r="Q18" s="637" cm="1">
        <f t="array" ref="Q18">IF($K18=0,0,IFERROR(INDEX(Premises!$A$22:$F$22,1,$CH18)*100/INDEX(Premises!$A$16:$F$16,1,$CH18),0))</f>
        <v>0</v>
      </c>
      <c r="R18" s="634">
        <f t="shared" si="1"/>
        <v>0</v>
      </c>
      <c r="S18" s="408"/>
      <c r="T18" s="409"/>
      <c r="U18" s="637" cm="1">
        <f t="array" ref="U18">IF(COUNTBLANK($S18:$T18),0,
IF(AND(INDEX(MHR[Schichtmodell],$CI18)&lt;&gt;0,INDEX(MHR[Schichtmodell],$CI18)&lt;&gt;INDEX(Premises!$A$20:$F$20,1,$CH18)),ExchangeRate*
IF(OR($T18="M",$T18="U"),IF(INDEX(MHR[Schichtmodell],$CI18)=1,INDEX(LOC[M1S],INDEX(Premises!$A$18:$F$18,1,$CH18+1)),IF(INDEX(MHR[Schichtmodell],$CI18)=2,INDEX(LOC[M2S],INDEX(Premises!$A$18:$F$18,1,$CH18+1),IF(INDEX(MHR[Schichtmodell],$CI18)=3,INDEX(LOC[M3S],INDEX(Premises!$A$18:$F$18,1,$CH18+1)),0)))),
IF(INDEX(MHR[Schichtmodell],$CI18)=1,INDEX(LOC[F1S],INDEX(Premises!$A$18:$F$18,1,$CH18+1)),IF(INDEX(MHR[Schichtmodell],$CI18)=2,INDEX(LOC[F2S],INDEX(Premises!$A$18:$F$18,1,$CH18+1)),IF(INDEX(MHR[Schichtmodell],$CI18)=3,INDEX(LOC[F3S],INDEX(Premises!$A$18:$F$18,1,$CH18+1)),0)))),
IF(OR($T18="M",$T18="U"),INDEX(Premises!$A$21:$F$21,1,$CH18),
IF(OR($T18="F",$T18="S"),INDEX(Premises!$A$22:$F$22,1,$CH18),0)))*100/INDEX(Premises!$A$16:$F$16,1,$CH18))</f>
        <v>0</v>
      </c>
      <c r="V18" s="631">
        <f t="shared" si="2"/>
        <v>0</v>
      </c>
      <c r="W18" s="410"/>
      <c r="X18" s="403"/>
      <c r="Y18" s="411"/>
      <c r="Z18" s="412"/>
      <c r="AA18" s="628">
        <f t="shared" si="3"/>
        <v>0</v>
      </c>
      <c r="AB18" s="410"/>
      <c r="AC18" s="403"/>
      <c r="AD18" s="411"/>
      <c r="AE18" s="413"/>
      <c r="AF18" s="628">
        <f t="shared" si="4"/>
        <v>0</v>
      </c>
      <c r="AG18" s="629" cm="1">
        <f t="array" ref="AG18">IF(($J18+$V18+$AF18)=0,0,INDEX(Premises!$A$30:$F$30,1,$CH18)/100)</f>
        <v>0</v>
      </c>
      <c r="AH18" s="414"/>
      <c r="AI18" s="415"/>
      <c r="AJ18" s="416"/>
      <c r="AK18" s="630">
        <f t="shared" si="5"/>
        <v>0</v>
      </c>
      <c r="AL18" s="631">
        <f t="shared" si="6"/>
        <v>0</v>
      </c>
      <c r="AM18" s="632" cm="1">
        <f t="array" ref="AM18">IF($CI18=0,0,IFERROR(INDEX(MHR[],$CI18,MATCH($CA18,MHR!$B$4:$AY$4,0)+11),0))</f>
        <v>0</v>
      </c>
      <c r="AN18" s="633" cm="1">
        <f t="array" ref="AN18">IF(($J18+$V18)=0,0,IFERROR(IF(INDEX(Premises!$A$41:$F$41,1,$CH18)&lt;&gt;0,INDEX(Premises!$A$41:$F$41,1,$CH18)/100,(IFERROR(($J18/$I18)*$AM18,0)/($V18+$J18+$R18+$AL18))),0))</f>
        <v>0</v>
      </c>
      <c r="AO18" s="634">
        <f t="shared" si="7"/>
        <v>0</v>
      </c>
      <c r="AP18" s="635">
        <f t="shared" si="8"/>
        <v>0</v>
      </c>
      <c r="AQ18" s="410" t="str">
        <f>BOM!$A$7</f>
        <v>01-01-03 Display Unit</v>
      </c>
      <c r="AR18" s="409">
        <f>VLOOKUP($AQ18,BOM,6,0)</f>
        <v>1</v>
      </c>
      <c r="AS18" s="636" cm="1">
        <f t="array" ref="AS18">IF($CJ18=0,0,IFERROR(INDEX(MAT[Einheit],$CJ18,1),0))</f>
        <v>0</v>
      </c>
      <c r="AT18" s="637" cm="1">
        <f t="array" ref="AT18">IF($CJ18=0,0,IFERROR(INDEX(MAT[Preis],$CJ18,1),0))</f>
        <v>0</v>
      </c>
      <c r="AU18" s="638">
        <f t="shared" si="9"/>
        <v>0</v>
      </c>
      <c r="AV18" s="639" cm="1">
        <f t="array" ref="AV18">IF($AU18&lt;=0,0,INDEX(Premises!$A$30:$F$30,1,$CH18)/100)</f>
        <v>0</v>
      </c>
      <c r="AW18" s="409"/>
      <c r="AX18" s="631">
        <f t="shared" si="10"/>
        <v>0</v>
      </c>
      <c r="AY18" s="640" cm="1">
        <f t="array" ref="AY18">IF($AT18&lt;=0,0,IFERROR(IF(INDEX(Premises!$A$42:$F$42,1,$CH18)&lt;&gt;0,INDEX(Premises!$A$42:$F$42,1,$CH18)/100,(INDEX(MAT[],$CJ18,MATCH($CA18,MAT!$B$4:$AE$4,0))/($AR18*$CK18*INDEX(Premises!$A$13:$F$13,1,$CH18))+INDEX(MAT[],$CJ18,MATCH($CA18,MAT!$B$4:$AE$4,0)+7))/$AT18),0))</f>
        <v>0</v>
      </c>
      <c r="AZ18" s="631">
        <f t="shared" si="11"/>
        <v>0</v>
      </c>
      <c r="BA18" s="635">
        <f t="shared" si="12"/>
        <v>0</v>
      </c>
      <c r="BB18" s="635">
        <f t="shared" si="13"/>
        <v>0</v>
      </c>
      <c r="BC18" s="639" cm="1">
        <f t="array" ref="BC18">IF($BB18&lt;=0,0,IF(BC$2=-1,0,INDEX(Premises!$A$32:$F$32,1,$CH18)/100))</f>
        <v>0</v>
      </c>
      <c r="BD18" s="631">
        <f t="shared" si="14"/>
        <v>0</v>
      </c>
      <c r="BE18" s="639" cm="1">
        <f t="array" ref="BE18">IF($BB18&lt;=0,0,IF(BE$2=-1,0,INDEX(Premises!$A$33:$F$33,1,$CH18)/100))</f>
        <v>0</v>
      </c>
      <c r="BF18" s="631">
        <f t="shared" si="15"/>
        <v>0</v>
      </c>
      <c r="BG18" s="639" cm="1">
        <f t="array" ref="BG18">IF($BB18&lt;=0,0,IF(BG$2=-1,0,INDEX(Premises!$A$31:$F$31,1,$CH18)/100))</f>
        <v>0</v>
      </c>
      <c r="BH18" s="631">
        <f t="shared" si="16"/>
        <v>0</v>
      </c>
      <c r="BI18" s="635">
        <f t="shared" si="17"/>
        <v>0</v>
      </c>
      <c r="BJ18" s="639" cm="1">
        <f t="array" ref="BJ18">IF($BB18&lt;=0,0,IF(BJ$2=-1,0,INDEX(Premises!$A$35:$F$35,1,$CH18)/100))</f>
        <v>0</v>
      </c>
      <c r="BK18" s="631">
        <f t="shared" si="18"/>
        <v>0</v>
      </c>
      <c r="BL18" s="639" cm="1">
        <f t="array" ref="BL18">IF($BB18&lt;=0,0,IF(BL$2=-1,0,INDEX(Premises!$A$36:$F$36,1,$CH18)/100))</f>
        <v>0</v>
      </c>
      <c r="BM18" s="631">
        <f t="shared" si="19"/>
        <v>0</v>
      </c>
      <c r="BN18" s="639" cm="1">
        <f t="array" ref="BN18">IF($BB18&lt;=0,0,IF(BN$2=-1,0,INDEX(Premises!$A$34:$F$34,1,$CH18)/100))</f>
        <v>0</v>
      </c>
      <c r="BO18" s="631">
        <f t="shared" si="20"/>
        <v>0</v>
      </c>
      <c r="BP18" s="639" cm="1">
        <f t="array" ref="BP18">IF($BI18=0,0,INDEX(Premises!$A$37:$F$37,1,$CH18)/100)</f>
        <v>0</v>
      </c>
      <c r="BQ18" s="409"/>
      <c r="BR18" s="631">
        <f t="shared" si="21"/>
        <v>0</v>
      </c>
      <c r="BS18" s="641">
        <f t="shared" si="22"/>
        <v>0</v>
      </c>
      <c r="BT18" s="641">
        <f t="shared" si="23"/>
        <v>0</v>
      </c>
      <c r="BU18" s="642">
        <f t="shared" si="24"/>
        <v>0</v>
      </c>
      <c r="BV18" s="417"/>
      <c r="BW18" s="418"/>
      <c r="BX18" s="418"/>
      <c r="BY18" s="419"/>
      <c r="BZ18" s="968"/>
      <c r="CA18" s="280" cm="1">
        <f t="array" ref="CA18">IF($BZ18&gt;0,VALUE(LEFT($BZ18,IF(ISERROR(FIND("-",$BZ18)),LEN($BZ18),FIND("-",$BZ18)-1))),INDEX($CA$1:$CA18,MAX(1,$CD18)))</f>
        <v>1</v>
      </c>
      <c r="CB18" s="280" cm="1">
        <f t="array" ref="CB18">IF($BT18=0,0,IF(LEN($BZ18)-LEN(SUBSTITUTE($BZ18,"-",""))&gt;1,
VALUE(MID($BZ18,FIND("-",$BZ18)+1,FIND("-",$BZ18,FIND("-",$BZ18)+1)-FIND("-",$BZ18)-1)),IF($BZ18&gt;0,0,INDEX($CB$1:$CB18,MAX(1,$CD18)))))</f>
        <v>0</v>
      </c>
      <c r="CC18" s="280" cm="1">
        <f t="array" ref="CC18">IF($BT18=0,0,IF(NOT(ISERROR(FIND("-",BZ18))),
VALUE(RIGHT($BZ18,LEN($BZ18)-IF(LEN($BZ18)-LEN(SUBSTITUTE($BZ18,"-",""))=1,FIND("-",$BZ18),FIND("-",$BZ18,FIND("-",$BZ18)+1)))),
IF($BZ18&gt;0,0,INDEX($CC$1:$CC18,MAX(1,$CD18)))))</f>
        <v>0</v>
      </c>
      <c r="CD18" s="393">
        <f>MATCH(0,$CE$1:$CE18,-1)</f>
        <v>15</v>
      </c>
      <c r="CE18" s="280"/>
      <c r="CF18" s="394"/>
      <c r="CG18" s="393" cm="1">
        <f t="array" ref="CG18">INDEX($CG$1:$CG18,$CD18)</f>
        <v>4</v>
      </c>
      <c r="CH18" s="280">
        <f>MATCH($CA18,Premises!$A$10:$F$10,0)</f>
        <v>4</v>
      </c>
      <c r="CI18" s="280">
        <f>IF(ISBLANK($E18),0,IFERROR(MATCH($E18,MHR[Bezeichnung],0),0))</f>
        <v>0</v>
      </c>
      <c r="CJ18" s="394">
        <f>IF(ISBLANK($AQ18),0,IFERROR(MATCH($AQ18,MAT[Bezeichnung],0),0))</f>
        <v>0</v>
      </c>
      <c r="CK18" s="280" cm="1">
        <f t="array" ref="CK18">INDEX($D$1:$D18,$CD18)</f>
        <v>1</v>
      </c>
      <c r="CL18" s="280"/>
      <c r="CM18" s="395"/>
      <c r="CN18" s="396" cm="1">
        <f t="array" ref="CN18">IF($CB18=0,0,IF($CB18=INDEX($CB$1:$CB18,$CD18),INDEX($CN$1:$CN18,$CD18),$CP18))</f>
        <v>0</v>
      </c>
      <c r="CO18" s="395"/>
      <c r="CP18" s="396" cm="1">
        <f t="array" ref="CP18">IF($CC18=0,0,INDEX($CP$1:$CP18,$CD18))</f>
        <v>0</v>
      </c>
      <c r="CQ18" s="397"/>
      <c r="CR18" s="398"/>
      <c r="CS18" s="398"/>
      <c r="CT18" s="970"/>
      <c r="CU18" s="2"/>
      <c r="CV18" s="647">
        <f t="shared" si="25"/>
        <v>0</v>
      </c>
      <c r="CW18" s="648">
        <f t="shared" si="26"/>
        <v>0</v>
      </c>
      <c r="CX18" s="648">
        <f t="shared" si="27"/>
        <v>0</v>
      </c>
      <c r="CY18" s="648">
        <f t="shared" si="28"/>
        <v>0</v>
      </c>
      <c r="CZ18" s="648">
        <f t="shared" si="29"/>
        <v>0</v>
      </c>
      <c r="DA18" s="648">
        <f t="shared" si="30"/>
        <v>0</v>
      </c>
      <c r="DB18" s="648">
        <f t="shared" si="31"/>
        <v>0</v>
      </c>
      <c r="DC18" s="649">
        <f t="shared" si="32"/>
        <v>0</v>
      </c>
      <c r="DD18" s="648">
        <f t="shared" si="33"/>
        <v>0</v>
      </c>
      <c r="DE18" s="648">
        <f t="shared" si="34"/>
        <v>0</v>
      </c>
      <c r="DF18" s="648">
        <f t="shared" si="35"/>
        <v>0</v>
      </c>
      <c r="DG18" s="649">
        <f t="shared" si="36"/>
        <v>0</v>
      </c>
      <c r="DH18" s="649">
        <f t="shared" si="37"/>
        <v>0</v>
      </c>
      <c r="DI18" s="648">
        <f t="shared" si="38"/>
        <v>0</v>
      </c>
      <c r="DJ18" s="648">
        <f t="shared" si="39"/>
        <v>0</v>
      </c>
      <c r="DK18" s="648">
        <f t="shared" si="40"/>
        <v>0</v>
      </c>
      <c r="DL18" s="648">
        <f t="shared" si="41"/>
        <v>0</v>
      </c>
      <c r="DM18" s="648">
        <f t="shared" si="42"/>
        <v>0</v>
      </c>
      <c r="DN18" s="648">
        <f t="shared" si="43"/>
        <v>0</v>
      </c>
      <c r="DO18" s="648">
        <f t="shared" si="44"/>
        <v>0</v>
      </c>
      <c r="DP18" s="651">
        <f t="shared" si="45"/>
        <v>0</v>
      </c>
      <c r="DQ18" s="951">
        <f>IF($CB18=0,0,$DP18*_xlfn.XLOOKUP($CB18,Premises!$A$10:$F$10,Premises!$A$30:$F$30)/100)</f>
        <v>0</v>
      </c>
      <c r="DR18" s="650">
        <f>IFERROR(SUM($DP18:$DQ18)*IF(INDEX(Premises!$A$42:$F$42,1,MATCH($CB18,Premises!$A$10:$F$10,0))&gt;0,INDEX(Premises!$A$42:$F$42,1,MATCH($CB18,Premises!$A$10:$F$10,0))%,$CN18),0)</f>
        <v>0</v>
      </c>
      <c r="DS18" s="650" cm="1">
        <f t="array" ref="DS18">IF($CB18=0,0,SUM($DP18:$DR18)*_xlfn.XLOOKUP($CB18,Premises!$A$10:$F$10,IF(INDEX(Settings[],MATCH(3001,Settings[ID],0),2)="B",Premises!$A$33:$F$33,Premises!$A$31:$F$31))/100)</f>
        <v>0</v>
      </c>
      <c r="DT18" s="650" cm="1">
        <f t="array" ref="DT18">IF($CB18=0,0,$DP18*_xlfn.XLOOKUP($CB18,Premises!$A$10:$F$10,IF(INDEX(Settings[],MATCH(3002,Settings[ID],0),2)="B",Premises!$A$36:$F$36,Premises!$A$34:$F$34))/100)</f>
        <v>0</v>
      </c>
      <c r="DU18" s="650">
        <f>IF($CB18=0,0,SUM($DP18:$DT18)*_xlfn.XLOOKUP($CB18,Premises!$A$10:$F$10,Premises!$A$37:$F$37)/100)</f>
        <v>0</v>
      </c>
      <c r="DV18" s="954">
        <f t="shared" si="46"/>
        <v>0</v>
      </c>
      <c r="DW18" s="951">
        <f>IF($CC18=0,0,$DV18*_xlfn.XLOOKUP($CC18,Premises!$A$10:$F$10,Premises!$A$30:$F$30)/100)</f>
        <v>0</v>
      </c>
      <c r="DX18" s="650">
        <f>IFERROR(SUM($DV18:$DW18)*IF(INDEX(Premises!$A$42:$F$42,1,MATCH($CC18,Premises!$A$10:$F$10,0))&gt;0,INDEX(Premises!$A$42:$F$42,1,MATCH($CC18,Premises!$A$10:$F$10,0))%,$CP18),0)</f>
        <v>0</v>
      </c>
      <c r="DY18" s="650" cm="1">
        <f t="array" ref="DY18">IF($CC18=0,0,SUM($DV18:$DX18)*_xlfn.XLOOKUP($CC18,Premises!$A$10:$F$10,IF(INDEX(Settings[],MATCH(3001,Settings[ID],0),2)="B",Premises!$A$33:$F$33,Premises!$A$31:$F$31))/100)</f>
        <v>0</v>
      </c>
      <c r="DZ18" s="650" cm="1">
        <f t="array" ref="DZ18">IF($CC18=0,0,$DV18*_xlfn.XLOOKUP($CC18,Premises!$A$10:$F$10,IF(INDEX(Settings[],MATCH(3002,Settings[ID],0),2)="B",Premises!$A$36:$F$36,Premises!$A$34:$F$34))/100)</f>
        <v>0</v>
      </c>
      <c r="EA18" s="650">
        <f>IF($CC18=0,0,SUM($DV18:$DZ18)*_xlfn.XLOOKUP($CC18,Premises!$A$10:$F$10,Premises!$A$37:$F$37)/100)</f>
        <v>0</v>
      </c>
      <c r="EB18" s="651">
        <f t="shared" si="47"/>
        <v>0</v>
      </c>
      <c r="EC18" s="805"/>
      <c r="ED18" s="1104"/>
      <c r="EE18" s="650"/>
      <c r="EF18" s="1110"/>
      <c r="EG18" s="1108"/>
      <c r="EH18" s="1108"/>
      <c r="EI18" s="1108"/>
      <c r="EJ18" s="1108"/>
      <c r="EK18" s="1108"/>
      <c r="EL18" s="1108"/>
      <c r="EM18" s="1110"/>
      <c r="EN18" s="1108"/>
      <c r="EO18" s="1108"/>
      <c r="EP18" s="1108"/>
      <c r="EQ18" s="1108"/>
      <c r="ER18" s="1110"/>
      <c r="ES18" s="1108"/>
      <c r="ET18" s="1108"/>
      <c r="EU18" s="1108"/>
      <c r="EV18" s="1108"/>
      <c r="EW18" s="1108"/>
      <c r="EX18" s="1111"/>
      <c r="EY18" s="2"/>
      <c r="EZ18" s="2"/>
      <c r="FA18" s="2"/>
      <c r="FB18" s="2"/>
      <c r="FC18" s="2"/>
      <c r="FD18" s="2"/>
      <c r="FE18" s="2"/>
      <c r="FF18" s="2"/>
      <c r="FG18" s="2"/>
      <c r="FH18" s="2"/>
      <c r="FI18" s="2"/>
      <c r="FJ18" s="420"/>
      <c r="FK18" s="421"/>
      <c r="FL18" s="422"/>
      <c r="FM18" s="970"/>
    </row>
    <row r="19" spans="1:169" s="13" customFormat="1" ht="12.75" customHeight="1">
      <c r="A19" s="221"/>
      <c r="B19" s="402"/>
      <c r="C19" s="403"/>
      <c r="D19" s="646"/>
      <c r="E19" s="404"/>
      <c r="F19" s="405"/>
      <c r="G19" s="405"/>
      <c r="H19" s="405"/>
      <c r="I19" s="637" cm="1">
        <f t="array" ref="I19">IF($CI19=0,0,IFERROR(INDEX(MHR[],$CI19,MATCH($CA19,MHR!$B$4:$AY$4,0)),0))</f>
        <v>0</v>
      </c>
      <c r="J19" s="634">
        <f t="shared" si="0"/>
        <v>0</v>
      </c>
      <c r="K19" s="406"/>
      <c r="L19" s="407"/>
      <c r="M19" s="871"/>
      <c r="N19" s="407"/>
      <c r="O19" s="405"/>
      <c r="P19" s="645" cm="1">
        <f t="array" ref="P19">IF($K19=0,0,IFERROR(ROUNDUP(IF(ISNUMBER($K19),$K19,INDEX($D$1:$D19,$CD19)*INDEX(Premises!$A$13:$F$13,1,$CH19)/IF(OR($K19="T",$K19="D"),250,IF($K19="W",50,IF($K19="M",12,IF(OR($K19="HJ",$K19="HY"),2,IF(OR($K19="J",$K19="Y"),1,0)))))),0),0))</f>
        <v>0</v>
      </c>
      <c r="Q19" s="637" cm="1">
        <f t="array" ref="Q19">IF($K19=0,0,IFERROR(INDEX(Premises!$A$22:$F$22,1,$CH19)*100/INDEX(Premises!$A$16:$F$16,1,$CH19),0))</f>
        <v>0</v>
      </c>
      <c r="R19" s="634">
        <f t="shared" si="1"/>
        <v>0</v>
      </c>
      <c r="S19" s="408"/>
      <c r="T19" s="409"/>
      <c r="U19" s="637" cm="1">
        <f t="array" ref="U19">IF(COUNTBLANK($S19:$T19),0,
IF(AND(INDEX(MHR[Schichtmodell],$CI19)&lt;&gt;0,INDEX(MHR[Schichtmodell],$CI19)&lt;&gt;INDEX(Premises!$A$20:$F$20,1,$CH19)),ExchangeRate*
IF(OR($T19="M",$T19="U"),IF(INDEX(MHR[Schichtmodell],$CI19)=1,INDEX(LOC[M1S],INDEX(Premises!$A$18:$F$18,1,$CH19+1)),IF(INDEX(MHR[Schichtmodell],$CI19)=2,INDEX(LOC[M2S],INDEX(Premises!$A$18:$F$18,1,$CH19+1),IF(INDEX(MHR[Schichtmodell],$CI19)=3,INDEX(LOC[M3S],INDEX(Premises!$A$18:$F$18,1,$CH19+1)),0)))),
IF(INDEX(MHR[Schichtmodell],$CI19)=1,INDEX(LOC[F1S],INDEX(Premises!$A$18:$F$18,1,$CH19+1)),IF(INDEX(MHR[Schichtmodell],$CI19)=2,INDEX(LOC[F2S],INDEX(Premises!$A$18:$F$18,1,$CH19+1)),IF(INDEX(MHR[Schichtmodell],$CI19)=3,INDEX(LOC[F3S],INDEX(Premises!$A$18:$F$18,1,$CH19+1)),0)))),
IF(OR($T19="M",$T19="U"),INDEX(Premises!$A$21:$F$21,1,$CH19),
IF(OR($T19="F",$T19="S"),INDEX(Premises!$A$22:$F$22,1,$CH19),0)))*100/INDEX(Premises!$A$16:$F$16,1,$CH19))</f>
        <v>0</v>
      </c>
      <c r="V19" s="631">
        <f t="shared" si="2"/>
        <v>0</v>
      </c>
      <c r="W19" s="410"/>
      <c r="X19" s="403"/>
      <c r="Y19" s="411"/>
      <c r="Z19" s="412"/>
      <c r="AA19" s="628">
        <f t="shared" si="3"/>
        <v>0</v>
      </c>
      <c r="AB19" s="410"/>
      <c r="AC19" s="403"/>
      <c r="AD19" s="411"/>
      <c r="AE19" s="413"/>
      <c r="AF19" s="628">
        <f t="shared" si="4"/>
        <v>0</v>
      </c>
      <c r="AG19" s="629" cm="1">
        <f t="array" ref="AG19">IF(($J19+$V19+$AF19)=0,0,INDEX(Premises!$A$30:$F$30,1,$CH19)/100)</f>
        <v>0</v>
      </c>
      <c r="AH19" s="414"/>
      <c r="AI19" s="415"/>
      <c r="AJ19" s="416"/>
      <c r="AK19" s="630">
        <f t="shared" si="5"/>
        <v>0</v>
      </c>
      <c r="AL19" s="631">
        <f t="shared" si="6"/>
        <v>0</v>
      </c>
      <c r="AM19" s="632" cm="1">
        <f t="array" ref="AM19">IF($CI19=0,0,IFERROR(INDEX(MHR[],$CI19,MATCH($CA19,MHR!$B$4:$AY$4,0)+11),0))</f>
        <v>0</v>
      </c>
      <c r="AN19" s="633" cm="1">
        <f t="array" ref="AN19">IF(($J19+$V19)=0,0,IFERROR(IF(INDEX(Premises!$A$41:$F$41,1,$CH19)&lt;&gt;0,INDEX(Premises!$A$41:$F$41,1,$CH19)/100,(IFERROR(($J19/$I19)*$AM19,0)/($V19+$J19+$R19+$AL19))),0))</f>
        <v>0</v>
      </c>
      <c r="AO19" s="634">
        <f t="shared" si="7"/>
        <v>0</v>
      </c>
      <c r="AP19" s="635">
        <f t="shared" si="8"/>
        <v>0</v>
      </c>
      <c r="AQ19" s="410"/>
      <c r="AR19" s="409"/>
      <c r="AS19" s="636" cm="1">
        <f t="array" ref="AS19">IF($CJ19=0,0,IFERROR(INDEX(MAT[Einheit],$CJ19,1),0))</f>
        <v>0</v>
      </c>
      <c r="AT19" s="637" cm="1">
        <f t="array" ref="AT19">IF($CJ19=0,0,IFERROR(INDEX(MAT[Preis],$CJ19,1),0))</f>
        <v>0</v>
      </c>
      <c r="AU19" s="638">
        <f t="shared" si="9"/>
        <v>0</v>
      </c>
      <c r="AV19" s="639" cm="1">
        <f t="array" ref="AV19">IF($AU19&lt;=0,0,INDEX(Premises!$A$30:$F$30,1,$CH19)/100)</f>
        <v>0</v>
      </c>
      <c r="AW19" s="409"/>
      <c r="AX19" s="631">
        <f t="shared" si="10"/>
        <v>0</v>
      </c>
      <c r="AY19" s="640" cm="1">
        <f t="array" ref="AY19">IF($AT19&lt;=0,0,IFERROR(IF(INDEX(Premises!$A$42:$F$42,1,$CH19)&lt;&gt;0,INDEX(Premises!$A$42:$F$42,1,$CH19)/100,(INDEX(MAT[],$CJ19,MATCH($CA19,MAT!$B$4:$AE$4,0))/($AR19*$CK19*INDEX(Premises!$A$13:$F$13,1,$CH19))+INDEX(MAT[],$CJ19,MATCH($CA19,MAT!$B$4:$AE$4,0)+7))/$AT19),0))</f>
        <v>0</v>
      </c>
      <c r="AZ19" s="631">
        <f t="shared" si="11"/>
        <v>0</v>
      </c>
      <c r="BA19" s="635">
        <f t="shared" si="12"/>
        <v>0</v>
      </c>
      <c r="BB19" s="635">
        <f t="shared" si="13"/>
        <v>0</v>
      </c>
      <c r="BC19" s="639" cm="1">
        <f t="array" ref="BC19">IF($BB19&lt;=0,0,IF(BC$2=-1,0,INDEX(Premises!$A$32:$F$32,1,$CH19)/100))</f>
        <v>0</v>
      </c>
      <c r="BD19" s="631">
        <f t="shared" si="14"/>
        <v>0</v>
      </c>
      <c r="BE19" s="639" cm="1">
        <f t="array" ref="BE19">IF($BB19&lt;=0,0,IF(BE$2=-1,0,INDEX(Premises!$A$33:$F$33,1,$CH19)/100))</f>
        <v>0</v>
      </c>
      <c r="BF19" s="631">
        <f t="shared" si="15"/>
        <v>0</v>
      </c>
      <c r="BG19" s="639" cm="1">
        <f t="array" ref="BG19">IF($BB19&lt;=0,0,IF(BG$2=-1,0,INDEX(Premises!$A$31:$F$31,1,$CH19)/100))</f>
        <v>0</v>
      </c>
      <c r="BH19" s="631">
        <f t="shared" si="16"/>
        <v>0</v>
      </c>
      <c r="BI19" s="635">
        <f t="shared" si="17"/>
        <v>0</v>
      </c>
      <c r="BJ19" s="639" cm="1">
        <f t="array" ref="BJ19">IF($BB19&lt;=0,0,IF(BJ$2=-1,0,INDEX(Premises!$A$35:$F$35,1,$CH19)/100))</f>
        <v>0</v>
      </c>
      <c r="BK19" s="631">
        <f t="shared" si="18"/>
        <v>0</v>
      </c>
      <c r="BL19" s="639" cm="1">
        <f t="array" ref="BL19">IF($BB19&lt;=0,0,IF(BL$2=-1,0,INDEX(Premises!$A$36:$F$36,1,$CH19)/100))</f>
        <v>0</v>
      </c>
      <c r="BM19" s="631">
        <f t="shared" si="19"/>
        <v>0</v>
      </c>
      <c r="BN19" s="639" cm="1">
        <f t="array" ref="BN19">IF($BB19&lt;=0,0,IF(BN$2=-1,0,INDEX(Premises!$A$34:$F$34,1,$CH19)/100))</f>
        <v>0</v>
      </c>
      <c r="BO19" s="631">
        <f t="shared" si="20"/>
        <v>0</v>
      </c>
      <c r="BP19" s="639" cm="1">
        <f t="array" ref="BP19">IF($BI19=0,0,INDEX(Premises!$A$37:$F$37,1,$CH19)/100)</f>
        <v>0</v>
      </c>
      <c r="BQ19" s="409"/>
      <c r="BR19" s="631">
        <f t="shared" si="21"/>
        <v>0</v>
      </c>
      <c r="BS19" s="641">
        <f t="shared" si="22"/>
        <v>0</v>
      </c>
      <c r="BT19" s="641">
        <f t="shared" si="23"/>
        <v>0</v>
      </c>
      <c r="BU19" s="642">
        <f t="shared" si="24"/>
        <v>0</v>
      </c>
      <c r="BV19" s="417"/>
      <c r="BW19" s="418"/>
      <c r="BX19" s="418"/>
      <c r="BY19" s="419"/>
      <c r="BZ19" s="968"/>
      <c r="CA19" s="280" cm="1">
        <f t="array" ref="CA19">IF($BZ19&gt;0,VALUE(LEFT($BZ19,IF(ISERROR(FIND("-",$BZ19)),LEN($BZ19),FIND("-",$BZ19)-1))),INDEX($CA$1:$CA19,MAX(1,$CD19)))</f>
        <v>1</v>
      </c>
      <c r="CB19" s="280" cm="1">
        <f t="array" ref="CB19">IF($BT19=0,0,IF(LEN($BZ19)-LEN(SUBSTITUTE($BZ19,"-",""))&gt;1,
VALUE(MID($BZ19,FIND("-",$BZ19)+1,FIND("-",$BZ19,FIND("-",$BZ19)+1)-FIND("-",$BZ19)-1)),IF($BZ19&gt;0,0,INDEX($CB$1:$CB19,MAX(1,$CD19)))))</f>
        <v>0</v>
      </c>
      <c r="CC19" s="280" cm="1">
        <f t="array" ref="CC19">IF($BT19=0,0,IF(NOT(ISERROR(FIND("-",BZ19))),
VALUE(RIGHT($BZ19,LEN($BZ19)-IF(LEN($BZ19)-LEN(SUBSTITUTE($BZ19,"-",""))=1,FIND("-",$BZ19),FIND("-",$BZ19,FIND("-",$BZ19)+1)))),
IF($BZ19&gt;0,0,INDEX($CC$1:$CC19,MAX(1,$CD19)))))</f>
        <v>0</v>
      </c>
      <c r="CD19" s="393">
        <f>MATCH(0,$CE$1:$CE19,-1)</f>
        <v>15</v>
      </c>
      <c r="CE19" s="280"/>
      <c r="CF19" s="394"/>
      <c r="CG19" s="393" cm="1">
        <f t="array" ref="CG19">INDEX($CG$1:$CG19,$CD19)</f>
        <v>4</v>
      </c>
      <c r="CH19" s="280">
        <f>MATCH($CA19,Premises!$A$10:$F$10,0)</f>
        <v>4</v>
      </c>
      <c r="CI19" s="280">
        <f>IF(ISBLANK($E19),0,IFERROR(MATCH($E19,MHR[Bezeichnung],0),0))</f>
        <v>0</v>
      </c>
      <c r="CJ19" s="394">
        <f>IF(ISBLANK($AQ19),0,IFERROR(MATCH($AQ19,MAT[Bezeichnung],0),0))</f>
        <v>0</v>
      </c>
      <c r="CK19" s="280" cm="1">
        <f t="array" ref="CK19">INDEX($D$1:$D19,$CD19)</f>
        <v>1</v>
      </c>
      <c r="CL19" s="280"/>
      <c r="CM19" s="395"/>
      <c r="CN19" s="396" cm="1">
        <f t="array" ref="CN19">IF($CB19=0,0,IF($CB19=INDEX($CB$1:$CB19,$CD19),INDEX($CN$1:$CN19,$CD19),$CP19))</f>
        <v>0</v>
      </c>
      <c r="CO19" s="395"/>
      <c r="CP19" s="396" cm="1">
        <f t="array" ref="CP19">IF($CC19=0,0,INDEX($CP$1:$CP19,$CD19))</f>
        <v>0</v>
      </c>
      <c r="CQ19" s="397"/>
      <c r="CR19" s="398"/>
      <c r="CS19" s="398"/>
      <c r="CT19" s="970"/>
      <c r="CU19" s="2"/>
      <c r="CV19" s="647">
        <f t="shared" si="25"/>
        <v>0</v>
      </c>
      <c r="CW19" s="648">
        <f t="shared" si="26"/>
        <v>0</v>
      </c>
      <c r="CX19" s="648">
        <f t="shared" si="27"/>
        <v>0</v>
      </c>
      <c r="CY19" s="648">
        <f t="shared" si="28"/>
        <v>0</v>
      </c>
      <c r="CZ19" s="648">
        <f t="shared" si="29"/>
        <v>0</v>
      </c>
      <c r="DA19" s="648">
        <f t="shared" si="30"/>
        <v>0</v>
      </c>
      <c r="DB19" s="648">
        <f t="shared" si="31"/>
        <v>0</v>
      </c>
      <c r="DC19" s="649">
        <f t="shared" si="32"/>
        <v>0</v>
      </c>
      <c r="DD19" s="648">
        <f t="shared" si="33"/>
        <v>0</v>
      </c>
      <c r="DE19" s="648">
        <f t="shared" si="34"/>
        <v>0</v>
      </c>
      <c r="DF19" s="648">
        <f t="shared" si="35"/>
        <v>0</v>
      </c>
      <c r="DG19" s="649">
        <f t="shared" si="36"/>
        <v>0</v>
      </c>
      <c r="DH19" s="649">
        <f t="shared" si="37"/>
        <v>0</v>
      </c>
      <c r="DI19" s="648">
        <f t="shared" si="38"/>
        <v>0</v>
      </c>
      <c r="DJ19" s="648">
        <f t="shared" si="39"/>
        <v>0</v>
      </c>
      <c r="DK19" s="648">
        <f t="shared" si="40"/>
        <v>0</v>
      </c>
      <c r="DL19" s="648">
        <f t="shared" si="41"/>
        <v>0</v>
      </c>
      <c r="DM19" s="648">
        <f t="shared" si="42"/>
        <v>0</v>
      </c>
      <c r="DN19" s="648">
        <f t="shared" si="43"/>
        <v>0</v>
      </c>
      <c r="DO19" s="648">
        <f t="shared" si="44"/>
        <v>0</v>
      </c>
      <c r="DP19" s="651">
        <f t="shared" si="45"/>
        <v>0</v>
      </c>
      <c r="DQ19" s="951">
        <f>IF($CB19=0,0,$DP19*_xlfn.XLOOKUP($CB19,Premises!$A$10:$F$10,Premises!$A$30:$F$30)/100)</f>
        <v>0</v>
      </c>
      <c r="DR19" s="650">
        <f>IFERROR(SUM($DP19:$DQ19)*IF(INDEX(Premises!$A$42:$F$42,1,MATCH($CB19,Premises!$A$10:$F$10,0))&gt;0,INDEX(Premises!$A$42:$F$42,1,MATCH($CB19,Premises!$A$10:$F$10,0))%,$CN19),0)</f>
        <v>0</v>
      </c>
      <c r="DS19" s="650" cm="1">
        <f t="array" ref="DS19">IF($CB19=0,0,SUM($DP19:$DR19)*_xlfn.XLOOKUP($CB19,Premises!$A$10:$F$10,IF(INDEX(Settings[],MATCH(3001,Settings[ID],0),2)="B",Premises!$A$33:$F$33,Premises!$A$31:$F$31))/100)</f>
        <v>0</v>
      </c>
      <c r="DT19" s="650" cm="1">
        <f t="array" ref="DT19">IF($CB19=0,0,$DP19*_xlfn.XLOOKUP($CB19,Premises!$A$10:$F$10,IF(INDEX(Settings[],MATCH(3002,Settings[ID],0),2)="B",Premises!$A$36:$F$36,Premises!$A$34:$F$34))/100)</f>
        <v>0</v>
      </c>
      <c r="DU19" s="650">
        <f>IF($CB19=0,0,SUM($DP19:$DT19)*_xlfn.XLOOKUP($CB19,Premises!$A$10:$F$10,Premises!$A$37:$F$37)/100)</f>
        <v>0</v>
      </c>
      <c r="DV19" s="954">
        <f t="shared" si="46"/>
        <v>0</v>
      </c>
      <c r="DW19" s="951">
        <f>IF($CC19=0,0,$DV19*_xlfn.XLOOKUP($CC19,Premises!$A$10:$F$10,Premises!$A$30:$F$30)/100)</f>
        <v>0</v>
      </c>
      <c r="DX19" s="650">
        <f>IFERROR(SUM($DV19:$DW19)*IF(INDEX(Premises!$A$42:$F$42,1,MATCH($CC19,Premises!$A$10:$F$10,0))&gt;0,INDEX(Premises!$A$42:$F$42,1,MATCH($CC19,Premises!$A$10:$F$10,0))%,$CP19),0)</f>
        <v>0</v>
      </c>
      <c r="DY19" s="650" cm="1">
        <f t="array" ref="DY19">IF($CC19=0,0,SUM($DV19:$DX19)*_xlfn.XLOOKUP($CC19,Premises!$A$10:$F$10,IF(INDEX(Settings[],MATCH(3001,Settings[ID],0),2)="B",Premises!$A$33:$F$33,Premises!$A$31:$F$31))/100)</f>
        <v>0</v>
      </c>
      <c r="DZ19" s="650" cm="1">
        <f t="array" ref="DZ19">IF($CC19=0,0,$DV19*_xlfn.XLOOKUP($CC19,Premises!$A$10:$F$10,IF(INDEX(Settings[],MATCH(3002,Settings[ID],0),2)="B",Premises!$A$36:$F$36,Premises!$A$34:$F$34))/100)</f>
        <v>0</v>
      </c>
      <c r="EA19" s="650">
        <f>IF($CC19=0,0,SUM($DV19:$DZ19)*_xlfn.XLOOKUP($CC19,Premises!$A$10:$F$10,Premises!$A$37:$F$37)/100)</f>
        <v>0</v>
      </c>
      <c r="EB19" s="651">
        <f t="shared" si="47"/>
        <v>0</v>
      </c>
      <c r="EC19" s="805"/>
      <c r="ED19" s="1104"/>
      <c r="EE19" s="650"/>
      <c r="EF19" s="1110"/>
      <c r="EG19" s="1108"/>
      <c r="EH19" s="1108"/>
      <c r="EI19" s="1108"/>
      <c r="EJ19" s="1108"/>
      <c r="EK19" s="1108"/>
      <c r="EL19" s="1108"/>
      <c r="EM19" s="1110"/>
      <c r="EN19" s="1108"/>
      <c r="EO19" s="1108"/>
      <c r="EP19" s="1108"/>
      <c r="EQ19" s="1108"/>
      <c r="ER19" s="1110"/>
      <c r="ES19" s="1108"/>
      <c r="ET19" s="1108"/>
      <c r="EU19" s="1108"/>
      <c r="EV19" s="1108"/>
      <c r="EW19" s="1108"/>
      <c r="EX19" s="1111"/>
      <c r="EY19" s="2"/>
      <c r="EZ19" s="2"/>
      <c r="FA19" s="2"/>
      <c r="FB19" s="2"/>
      <c r="FC19" s="2"/>
      <c r="FD19" s="2"/>
      <c r="FE19" s="2"/>
      <c r="FF19" s="2"/>
      <c r="FG19" s="2"/>
      <c r="FH19" s="2"/>
      <c r="FI19" s="2"/>
      <c r="FJ19" s="420"/>
      <c r="FK19" s="421"/>
      <c r="FL19" s="422"/>
      <c r="FM19" s="970"/>
    </row>
    <row r="20" spans="1:169" s="13" customFormat="1" ht="12.75" customHeight="1">
      <c r="A20" s="221"/>
      <c r="B20" s="1329" t="s">
        <v>207</v>
      </c>
      <c r="C20" s="403">
        <f>MAX(C21:C23)</f>
        <v>5</v>
      </c>
      <c r="D20" s="646"/>
      <c r="E20" s="404" t="s">
        <v>4375</v>
      </c>
      <c r="F20" s="405">
        <f>C20</f>
        <v>5</v>
      </c>
      <c r="G20" s="405" t="s">
        <v>93</v>
      </c>
      <c r="H20" s="405">
        <v>1</v>
      </c>
      <c r="I20" s="637" cm="1">
        <f t="array" ref="I20">IF($CI20=0,0,IFERROR(INDEX(MHR[],$CI20,MATCH($CA20,MHR!$B$4:$AY$4,0)),0))</f>
        <v>3.331753297446554</v>
      </c>
      <c r="J20" s="634">
        <f t="shared" si="0"/>
        <v>4.6274351353424361E-3</v>
      </c>
      <c r="K20" s="406" t="s">
        <v>49</v>
      </c>
      <c r="L20" s="407">
        <v>30</v>
      </c>
      <c r="M20" s="871">
        <v>1</v>
      </c>
      <c r="N20" s="407"/>
      <c r="O20" s="405"/>
      <c r="P20" s="645" cm="1">
        <f t="array" ref="P20">IF($K20=0,0,IFERROR(ROUNDUP(IF(ISNUMBER($K20),$K20,INDEX($D$1:$D20,$CD20)*INDEX(Premises!$A$13:$F$13,1,$CH20)/IF(OR($K20="T",$K20="D"),250,IF($K20="W",50,IF($K20="M",12,IF(OR($K20="HJ",$K20="HY"),2,IF(OR($K20="J",$K20="Y"),1,0)))))),0),0))</f>
        <v>3334</v>
      </c>
      <c r="Q20" s="637" cm="1">
        <f t="array" ref="Q20">IF($K20=0,0,IFERROR(INDEX(Premises!$A$22:$F$22,1,$CH20)*100/INDEX(Premises!$A$16:$F$16,1,$CH20),0))</f>
        <v>16.925000000000001</v>
      </c>
      <c r="R20" s="634">
        <f t="shared" si="1"/>
        <v>3.0379054135342763E-3</v>
      </c>
      <c r="S20" s="408">
        <v>1</v>
      </c>
      <c r="T20" s="409" t="s">
        <v>275</v>
      </c>
      <c r="U20" s="637" cm="1">
        <f t="array" ref="U20">IF(COUNTBLANK($S20:$T20),0,
IF(AND(INDEX(MHR[Schichtmodell],$CI20)&lt;&gt;0,INDEX(MHR[Schichtmodell],$CI20)&lt;&gt;INDEX(Premises!$A$20:$F$20,1,$CH20)),ExchangeRate*
IF(OR($T20="M",$T20="U"),IF(INDEX(MHR[Schichtmodell],$CI20)=1,INDEX(LOC[M1S],INDEX(Premises!$A$18:$F$18,1,$CH20+1)),IF(INDEX(MHR[Schichtmodell],$CI20)=2,INDEX(LOC[M2S],INDEX(Premises!$A$18:$F$18,1,$CH20+1),IF(INDEX(MHR[Schichtmodell],$CI20)=3,INDEX(LOC[M3S],INDEX(Premises!$A$18:$F$18,1,$CH20+1)),0)))),
IF(INDEX(MHR[Schichtmodell],$CI20)=1,INDEX(LOC[F1S],INDEX(Premises!$A$18:$F$18,1,$CH20+1)),IF(INDEX(MHR[Schichtmodell],$CI20)=2,INDEX(LOC[F2S],INDEX(Premises!$A$18:$F$18,1,$CH20+1)),IF(INDEX(MHR[Schichtmodell],$CI20)=3,INDEX(LOC[F3S],INDEX(Premises!$A$18:$F$18,1,$CH20+1)),0)))),
IF(OR($T20="M",$T20="U"),INDEX(Premises!$A$21:$F$21,1,$CH20),
IF(OR($T20="F",$T20="S"),INDEX(Premises!$A$22:$F$22,1,$CH20),0)))*100/INDEX(Premises!$A$16:$F$16,1,$CH20))</f>
        <v>12.037500000000001</v>
      </c>
      <c r="V20" s="631">
        <f t="shared" si="2"/>
        <v>1.6718750000000001E-2</v>
      </c>
      <c r="W20" s="410"/>
      <c r="X20" s="403"/>
      <c r="Y20" s="411"/>
      <c r="Z20" s="412"/>
      <c r="AA20" s="628">
        <f t="shared" si="3"/>
        <v>0</v>
      </c>
      <c r="AB20" s="410"/>
      <c r="AC20" s="403"/>
      <c r="AD20" s="411"/>
      <c r="AE20" s="413"/>
      <c r="AF20" s="628">
        <f t="shared" si="4"/>
        <v>0</v>
      </c>
      <c r="AG20" s="629" cm="1">
        <f t="array" ref="AG20">IF(($J20+$V20+$AF20)=0,0,INDEX(Premises!$A$30:$F$30,1,$CH20)/100)</f>
        <v>0.01</v>
      </c>
      <c r="AH20" s="414"/>
      <c r="AI20" s="415"/>
      <c r="AJ20" s="416"/>
      <c r="AK20" s="630">
        <f t="shared" si="5"/>
        <v>0</v>
      </c>
      <c r="AL20" s="631">
        <f t="shared" si="6"/>
        <v>2.1346185135342436E-4</v>
      </c>
      <c r="AM20" s="632" cm="1">
        <f t="array" ref="AM20">IF($CI20=0,0,IFERROR(INDEX(MHR[],$CI20,MATCH($CA20,MHR!$B$4:$AY$4,0)+11),0))</f>
        <v>1.878049792439513</v>
      </c>
      <c r="AN20" s="633" cm="1">
        <f t="array" ref="AN20">IF(($J20+$V20)=0,0,IFERROR(IF(INDEX(Premises!$A$41:$F$41,1,$CH20)&lt;&gt;0,INDEX(Premises!$A$41:$F$41,1,$CH20)/100,(IFERROR(($J20/$I20)*$AM20,0)/($V20+$J20+$R20+$AL20))),0))</f>
        <v>0.10604317238795349</v>
      </c>
      <c r="AO20" s="634">
        <f t="shared" si="7"/>
        <v>2.6084024894993236E-3</v>
      </c>
      <c r="AP20" s="635">
        <f t="shared" si="8"/>
        <v>2.7205954889729458E-2</v>
      </c>
      <c r="AQ20" s="410"/>
      <c r="AR20" s="409"/>
      <c r="AS20" s="636" cm="1">
        <f t="array" ref="AS20">IF($CJ20=0,0,IFERROR(INDEX(MAT[Einheit],$CJ20,1),0))</f>
        <v>0</v>
      </c>
      <c r="AT20" s="637" cm="1">
        <f t="array" ref="AT20">IF($CJ20=0,0,IFERROR(INDEX(MAT[Preis],$CJ20,1),0))</f>
        <v>0</v>
      </c>
      <c r="AU20" s="638">
        <f t="shared" si="9"/>
        <v>0</v>
      </c>
      <c r="AV20" s="639" cm="1">
        <f t="array" ref="AV20">IF($AU20&lt;=0,0,INDEX(Premises!$A$30:$F$30,1,$CH20)/100)</f>
        <v>0</v>
      </c>
      <c r="AW20" s="409"/>
      <c r="AX20" s="631">
        <f t="shared" si="10"/>
        <v>0</v>
      </c>
      <c r="AY20" s="640" cm="1">
        <f t="array" ref="AY20">IF($AT20&lt;=0,0,IFERROR(IF(INDEX(Premises!$A$42:$F$42,1,$CH20)&lt;&gt;0,INDEX(Premises!$A$42:$F$42,1,$CH20)/100,(INDEX(MAT[],$CJ20,MATCH($CA20,MAT!$B$4:$AE$4,0))/($AR20*$CK20*INDEX(Premises!$A$13:$F$13,1,$CH20))+INDEX(MAT[],$CJ20,MATCH($CA20,MAT!$B$4:$AE$4,0)+7))/$AT20),0))</f>
        <v>0</v>
      </c>
      <c r="AZ20" s="631">
        <f t="shared" si="11"/>
        <v>0</v>
      </c>
      <c r="BA20" s="635">
        <f t="shared" si="12"/>
        <v>0</v>
      </c>
      <c r="BB20" s="635">
        <f t="shared" si="13"/>
        <v>2.7205954889729458E-2</v>
      </c>
      <c r="BC20" s="639" cm="1">
        <f t="array" ref="BC20">IF($BB20&lt;=0,0,IF(BC$2=-1,0,INDEX(Premises!$A$32:$F$32,1,$CH20)/100))</f>
        <v>0</v>
      </c>
      <c r="BD20" s="631">
        <f t="shared" si="14"/>
        <v>0</v>
      </c>
      <c r="BE20" s="639" cm="1">
        <f t="array" ref="BE20">IF($BB20&lt;=0,0,IF(BE$2=-1,0,INDEX(Premises!$A$33:$F$33,1,$CH20)/100))</f>
        <v>0</v>
      </c>
      <c r="BF20" s="631">
        <f t="shared" si="15"/>
        <v>0</v>
      </c>
      <c r="BG20" s="639" cm="1">
        <f t="array" ref="BG20">IF($BB20&lt;=0,0,IF(BG$2=-1,0,INDEX(Premises!$A$31:$F$31,1,$CH20)/100))</f>
        <v>0.125</v>
      </c>
      <c r="BH20" s="631">
        <f t="shared" si="16"/>
        <v>3.3740616297970043E-3</v>
      </c>
      <c r="BI20" s="635">
        <f t="shared" si="17"/>
        <v>3.0580016519526462E-2</v>
      </c>
      <c r="BJ20" s="639" cm="1">
        <f t="array" ref="BJ20">IF($BB20&lt;=0,0,IF(BJ$2=-1,0,INDEX(Premises!$A$35:$F$35,1,$CH20)/100))</f>
        <v>0</v>
      </c>
      <c r="BK20" s="631">
        <f t="shared" si="18"/>
        <v>0</v>
      </c>
      <c r="BL20" s="639" cm="1">
        <f t="array" ref="BL20">IF($BB20&lt;=0,0,IF(BL$2=-1,0,INDEX(Premises!$A$36:$F$36,1,$CH20)/100))</f>
        <v>0</v>
      </c>
      <c r="BM20" s="631">
        <f t="shared" si="19"/>
        <v>0</v>
      </c>
      <c r="BN20" s="639" cm="1">
        <f t="array" ref="BN20">IF($BB20&lt;=0,0,IF(BN$2=-1,0,INDEX(Premises!$A$34:$F$34,1,$CH20)/100))</f>
        <v>0.06</v>
      </c>
      <c r="BO20" s="631">
        <f t="shared" si="20"/>
        <v>1.6195495823025619E-3</v>
      </c>
      <c r="BP20" s="639" cm="1">
        <f t="array" ref="BP20">IF($BI20=0,0,INDEX(Premises!$A$37:$F$37,1,$CH20)/100)</f>
        <v>0</v>
      </c>
      <c r="BQ20" s="409"/>
      <c r="BR20" s="631">
        <f t="shared" si="21"/>
        <v>0</v>
      </c>
      <c r="BS20" s="641">
        <f t="shared" si="22"/>
        <v>3.2199566101829023E-2</v>
      </c>
      <c r="BT20" s="641">
        <f t="shared" si="23"/>
        <v>3.2199566101829023E-2</v>
      </c>
      <c r="BU20" s="642">
        <f t="shared" si="24"/>
        <v>1</v>
      </c>
      <c r="BV20" s="417"/>
      <c r="BW20" s="418"/>
      <c r="BX20" s="418"/>
      <c r="BY20" s="419"/>
      <c r="BZ20" s="968"/>
      <c r="CA20" s="280" cm="1">
        <f t="array" ref="CA20">IF($BZ20&gt;0,VALUE(LEFT($BZ20,IF(ISERROR(FIND("-",$BZ20)),LEN($BZ20),FIND("-",$BZ20)-1))),INDEX($CA$1:$CA20,MAX(1,$CD20)))</f>
        <v>1</v>
      </c>
      <c r="CB20" s="280" cm="1">
        <f t="array" ref="CB20">IF($BT20=0,0,IF(LEN($BZ20)-LEN(SUBSTITUTE($BZ20,"-",""))&gt;1,
VALUE(MID($BZ20,FIND("-",$BZ20)+1,FIND("-",$BZ20,FIND("-",$BZ20)+1)-FIND("-",$BZ20)-1)),IF($BZ20&gt;0,0,INDEX($CB$1:$CB20,MAX(1,$CD20)))))</f>
        <v>0</v>
      </c>
      <c r="CC20" s="280" cm="1">
        <f t="array" ref="CC20">IF($BT20=0,0,IF(NOT(ISERROR(FIND("-",BZ20))),
VALUE(RIGHT($BZ20,LEN($BZ20)-IF(LEN($BZ20)-LEN(SUBSTITUTE($BZ20,"-",""))=1,FIND("-",$BZ20),FIND("-",$BZ20,FIND("-",$BZ20)+1)))),
IF($BZ20&gt;0,0,INDEX($CC$1:$CC20,MAX(1,$CD20)))))</f>
        <v>0</v>
      </c>
      <c r="CD20" s="393">
        <f>MATCH(0,$CE$1:$CE20,-1)</f>
        <v>15</v>
      </c>
      <c r="CE20" s="280"/>
      <c r="CF20" s="394"/>
      <c r="CG20" s="393" cm="1">
        <f t="array" ref="CG20">INDEX($CG$1:$CG20,$CD20)</f>
        <v>4</v>
      </c>
      <c r="CH20" s="280">
        <f>MATCH($CA20,Premises!$A$10:$F$10,0)</f>
        <v>4</v>
      </c>
      <c r="CI20" s="280">
        <f>IF(ISBLANK($E20),0,IFERROR(MATCH($E20,MHR[Bezeichnung],0),0))</f>
        <v>10</v>
      </c>
      <c r="CJ20" s="394">
        <f>IF(ISBLANK($AQ20),0,IFERROR(MATCH($AQ20,MAT[Bezeichnung],0),0))</f>
        <v>0</v>
      </c>
      <c r="CK20" s="280" cm="1">
        <f t="array" ref="CK20">INDEX($D$1:$D20,$CD20)</f>
        <v>1</v>
      </c>
      <c r="CL20" s="280"/>
      <c r="CM20" s="395"/>
      <c r="CN20" s="396" cm="1">
        <f t="array" ref="CN20">IF($CB20=0,0,IF($CB20=INDEX($CB$1:$CB20,$CD20),INDEX($CN$1:$CN20,$CD20),$CP20))</f>
        <v>0</v>
      </c>
      <c r="CO20" s="395"/>
      <c r="CP20" s="396" cm="1">
        <f t="array" ref="CP20">IF($CC20=0,0,INDEX($CP$1:$CP20,$CD20))</f>
        <v>0</v>
      </c>
      <c r="CQ20" s="397"/>
      <c r="CR20" s="398"/>
      <c r="CS20" s="398"/>
      <c r="CT20" s="970"/>
      <c r="CU20" s="2"/>
      <c r="CV20" s="647">
        <f t="shared" si="25"/>
        <v>4.6274351353424361E-3</v>
      </c>
      <c r="CW20" s="648">
        <f t="shared" si="26"/>
        <v>3.0379054135342763E-3</v>
      </c>
      <c r="CX20" s="648">
        <f t="shared" si="27"/>
        <v>1.6718750000000001E-2</v>
      </c>
      <c r="CY20" s="648">
        <f t="shared" si="28"/>
        <v>0</v>
      </c>
      <c r="CZ20" s="648">
        <f t="shared" si="29"/>
        <v>0</v>
      </c>
      <c r="DA20" s="648">
        <f t="shared" si="30"/>
        <v>2.1346185135342436E-4</v>
      </c>
      <c r="DB20" s="648">
        <f t="shared" si="31"/>
        <v>2.6084024894993236E-3</v>
      </c>
      <c r="DC20" s="649">
        <f t="shared" si="32"/>
        <v>2.7205954889729458E-2</v>
      </c>
      <c r="DD20" s="648">
        <f t="shared" si="33"/>
        <v>0</v>
      </c>
      <c r="DE20" s="648">
        <f t="shared" si="34"/>
        <v>0</v>
      </c>
      <c r="DF20" s="648">
        <f t="shared" si="35"/>
        <v>0</v>
      </c>
      <c r="DG20" s="649">
        <f t="shared" si="36"/>
        <v>0</v>
      </c>
      <c r="DH20" s="649">
        <f t="shared" si="37"/>
        <v>2.7205954889729458E-2</v>
      </c>
      <c r="DI20" s="648">
        <f t="shared" si="38"/>
        <v>0</v>
      </c>
      <c r="DJ20" s="648">
        <f t="shared" si="39"/>
        <v>0</v>
      </c>
      <c r="DK20" s="648">
        <f t="shared" si="40"/>
        <v>3.3740616297970043E-3</v>
      </c>
      <c r="DL20" s="648">
        <f t="shared" si="41"/>
        <v>0</v>
      </c>
      <c r="DM20" s="648">
        <f t="shared" si="42"/>
        <v>0</v>
      </c>
      <c r="DN20" s="648">
        <f t="shared" si="43"/>
        <v>1.6195495823025619E-3</v>
      </c>
      <c r="DO20" s="648">
        <f t="shared" si="44"/>
        <v>0</v>
      </c>
      <c r="DP20" s="651">
        <f t="shared" si="45"/>
        <v>3.2199566101829023E-2</v>
      </c>
      <c r="DQ20" s="951">
        <f>IF($CB20=0,0,$DP20*_xlfn.XLOOKUP($CB20,Premises!$A$10:$F$10,Premises!$A$30:$F$30)/100)</f>
        <v>0</v>
      </c>
      <c r="DR20" s="650">
        <f>IFERROR(SUM($DP20:$DQ20)*IF(INDEX(Premises!$A$42:$F$42,1,MATCH($CB20,Premises!$A$10:$F$10,0))&gt;0,INDEX(Premises!$A$42:$F$42,1,MATCH($CB20,Premises!$A$10:$F$10,0))%,$CN20),0)</f>
        <v>0</v>
      </c>
      <c r="DS20" s="650" cm="1">
        <f t="array" ref="DS20">IF($CB20=0,0,SUM($DP20:$DR20)*_xlfn.XLOOKUP($CB20,Premises!$A$10:$F$10,IF(INDEX(Settings[],MATCH(3001,Settings[ID],0),2)="B",Premises!$A$33:$F$33,Premises!$A$31:$F$31))/100)</f>
        <v>0</v>
      </c>
      <c r="DT20" s="650" cm="1">
        <f t="array" ref="DT20">IF($CB20=0,0,$DP20*_xlfn.XLOOKUP($CB20,Premises!$A$10:$F$10,IF(INDEX(Settings[],MATCH(3002,Settings[ID],0),2)="B",Premises!$A$36:$F$36,Premises!$A$34:$F$34))/100)</f>
        <v>0</v>
      </c>
      <c r="DU20" s="650">
        <f>IF($CB20=0,0,SUM($DP20:$DT20)*_xlfn.XLOOKUP($CB20,Premises!$A$10:$F$10,Premises!$A$37:$F$37)/100)</f>
        <v>0</v>
      </c>
      <c r="DV20" s="954">
        <f t="shared" si="46"/>
        <v>3.2199566101829023E-2</v>
      </c>
      <c r="DW20" s="951">
        <f>IF($CC20=0,0,$DV20*_xlfn.XLOOKUP($CC20,Premises!$A$10:$F$10,Premises!$A$30:$F$30)/100)</f>
        <v>0</v>
      </c>
      <c r="DX20" s="650">
        <f>IFERROR(SUM($DV20:$DW20)*IF(INDEX(Premises!$A$42:$F$42,1,MATCH($CC20,Premises!$A$10:$F$10,0))&gt;0,INDEX(Premises!$A$42:$F$42,1,MATCH($CC20,Premises!$A$10:$F$10,0))%,$CP20),0)</f>
        <v>0</v>
      </c>
      <c r="DY20" s="650" cm="1">
        <f t="array" ref="DY20">IF($CC20=0,0,SUM($DV20:$DX20)*_xlfn.XLOOKUP($CC20,Premises!$A$10:$F$10,IF(INDEX(Settings[],MATCH(3001,Settings[ID],0),2)="B",Premises!$A$33:$F$33,Premises!$A$31:$F$31))/100)</f>
        <v>0</v>
      </c>
      <c r="DZ20" s="650" cm="1">
        <f t="array" ref="DZ20">IF($CC20=0,0,$DV20*_xlfn.XLOOKUP($CC20,Premises!$A$10:$F$10,IF(INDEX(Settings[],MATCH(3002,Settings[ID],0),2)="B",Premises!$A$36:$F$36,Premises!$A$34:$F$34))/100)</f>
        <v>0</v>
      </c>
      <c r="EA20" s="650">
        <f>IF($CC20=0,0,SUM($DV20:$DZ20)*_xlfn.XLOOKUP($CC20,Premises!$A$10:$F$10,Premises!$A$37:$F$37)/100)</f>
        <v>0</v>
      </c>
      <c r="EB20" s="651">
        <f t="shared" si="47"/>
        <v>3.2199566101829023E-2</v>
      </c>
      <c r="EC20" s="805"/>
      <c r="ED20" s="1104"/>
      <c r="EE20" s="650"/>
      <c r="EF20" s="1110"/>
      <c r="EG20" s="1108"/>
      <c r="EH20" s="1108"/>
      <c r="EI20" s="1108"/>
      <c r="EJ20" s="1108"/>
      <c r="EK20" s="1108"/>
      <c r="EL20" s="1108"/>
      <c r="EM20" s="1110"/>
      <c r="EN20" s="1108"/>
      <c r="EO20" s="1108"/>
      <c r="EP20" s="1108"/>
      <c r="EQ20" s="1108"/>
      <c r="ER20" s="1110"/>
      <c r="ES20" s="1108"/>
      <c r="ET20" s="1108"/>
      <c r="EU20" s="1108"/>
      <c r="EV20" s="1108"/>
      <c r="EW20" s="1108"/>
      <c r="EX20" s="1111"/>
      <c r="EY20" s="2"/>
      <c r="EZ20" s="2"/>
      <c r="FA20" s="2"/>
      <c r="FB20" s="2"/>
      <c r="FC20" s="2"/>
      <c r="FD20" s="2"/>
      <c r="FE20" s="2"/>
      <c r="FF20" s="2"/>
      <c r="FG20" s="2"/>
      <c r="FH20" s="2"/>
      <c r="FI20" s="2"/>
      <c r="FJ20" s="420"/>
      <c r="FK20" s="421"/>
      <c r="FL20" s="422"/>
      <c r="FM20" s="970"/>
    </row>
    <row r="21" spans="1:169" s="13" customFormat="1" ht="12.75" customHeight="1">
      <c r="A21" s="221"/>
      <c r="B21" s="402" t="s">
        <v>4371</v>
      </c>
      <c r="C21" s="403">
        <v>4</v>
      </c>
      <c r="D21" s="646"/>
      <c r="E21" s="404"/>
      <c r="F21" s="405"/>
      <c r="G21" s="405"/>
      <c r="H21" s="405"/>
      <c r="I21" s="637" cm="1">
        <f t="array" ref="I21">IF($CI21=0,0,IFERROR(INDEX(MHR[],$CI21,MATCH($CA21,MHR!$B$4:$AY$4,0)),0))</f>
        <v>0</v>
      </c>
      <c r="J21" s="634">
        <f>IF(COUNTBLANK($E21:$H21),0,IFERROR($F21/$H21/IF($G21="s",3600,IF($G21="min",60,IF($G21="h",1,0)))*I21,0))</f>
        <v>0</v>
      </c>
      <c r="K21" s="406"/>
      <c r="L21" s="407"/>
      <c r="M21" s="871"/>
      <c r="N21" s="407"/>
      <c r="O21" s="405"/>
      <c r="P21" s="645" cm="1">
        <f t="array" ref="P21">IF($K21=0,0,IFERROR(ROUNDUP(IF(ISNUMBER($K21),$K21,INDEX($D$1:$D21,$CD21)*INDEX(Premises!$A$13:$F$13,1,$CH21)/IF(OR($K21="T",$K21="D"),250,IF($K21="W",50,IF($K21="M",12,IF(OR($K21="HJ",$K21="HY"),2,IF(OR($K21="J",$K21="Y"),1,0)))))),0),0))</f>
        <v>0</v>
      </c>
      <c r="Q21" s="637" cm="1">
        <f t="array" ref="Q21">IF($K21=0,0,IFERROR(INDEX(Premises!$A$22:$F$22,1,$CH21)*100/INDEX(Premises!$A$16:$F$16,1,$CH21),0))</f>
        <v>0</v>
      </c>
      <c r="R21" s="634">
        <f>IF($P21=0,0,IFERROR(($L21/60*($I21+$Q21*$M21)+($N21/60*($Q21*$O21)))/$P21,0))</f>
        <v>0</v>
      </c>
      <c r="S21" s="408"/>
      <c r="T21" s="409"/>
      <c r="U21" s="637" cm="1">
        <f t="array" ref="U21">IF(COUNTBLANK($S21:$T21),0,
IF(AND(INDEX(MHR[Schichtmodell],$CI21)&lt;&gt;0,INDEX(MHR[Schichtmodell],$CI21)&lt;&gt;INDEX(Premises!$A$20:$F$20,1,$CH21)),ExchangeRate*
IF(OR($T21="M",$T21="U"),IF(INDEX(MHR[Schichtmodell],$CI21)=1,INDEX(LOC[M1S],INDEX(Premises!$A$18:$F$18,1,$CH21+1)),IF(INDEX(MHR[Schichtmodell],$CI21)=2,INDEX(LOC[M2S],INDEX(Premises!$A$18:$F$18,1,$CH21+1),IF(INDEX(MHR[Schichtmodell],$CI21)=3,INDEX(LOC[M3S],INDEX(Premises!$A$18:$F$18,1,$CH21+1)),0)))),
IF(INDEX(MHR[Schichtmodell],$CI21)=1,INDEX(LOC[F1S],INDEX(Premises!$A$18:$F$18,1,$CH21+1)),IF(INDEX(MHR[Schichtmodell],$CI21)=2,INDEX(LOC[F2S],INDEX(Premises!$A$18:$F$18,1,$CH21+1)),IF(INDEX(MHR[Schichtmodell],$CI21)=3,INDEX(LOC[F3S],INDEX(Premises!$A$18:$F$18,1,$CH21+1)),0)))),
IF(OR($T21="M",$T21="U"),INDEX(Premises!$A$21:$F$21,1,$CH21),
IF(OR($T21="F",$T21="S"),INDEX(Premises!$A$22:$F$22,1,$CH21),0)))*100/INDEX(Premises!$A$16:$F$16,1,$CH21))</f>
        <v>0</v>
      </c>
      <c r="V21" s="631">
        <f>IF($U21=0,0,IFERROR($F21/$H21/IF($G21="s",3600,IF($G21="min",60,IF($G21="h",1,0)))*$S21*$U21,0))</f>
        <v>0</v>
      </c>
      <c r="W21" s="410"/>
      <c r="X21" s="403"/>
      <c r="Y21" s="411"/>
      <c r="Z21" s="412"/>
      <c r="AA21" s="628">
        <f>IFERROR($X21*$Z21/$Y21/MAX(1,$H21),0)</f>
        <v>0</v>
      </c>
      <c r="AB21" s="410"/>
      <c r="AC21" s="403"/>
      <c r="AD21" s="411"/>
      <c r="AE21" s="413"/>
      <c r="AF21" s="628">
        <f>IFERROR($AC21*$AE21/$AD21,0)</f>
        <v>0</v>
      </c>
      <c r="AG21" s="629" cm="1">
        <f t="array" ref="AG21">IF(($J21+$V21+$AF21)=0,0,INDEX(Premises!$A$30:$F$30,1,$CH21)/100)</f>
        <v>0</v>
      </c>
      <c r="AH21" s="414"/>
      <c r="AI21" s="415"/>
      <c r="AJ21" s="416"/>
      <c r="AK21" s="630">
        <f>IF(COUNTBLANK($AH21:$AI21),0,$AH21*$AI21*$AG21)</f>
        <v>0</v>
      </c>
      <c r="AL21" s="631">
        <f>($AK21+$AJ21*$AG21*(1-$AH21)+($J21+$V21+$AF21)*$AG21*(1-$AH21))</f>
        <v>0</v>
      </c>
      <c r="AM21" s="632" cm="1">
        <f t="array" ref="AM21">IF($CI21=0,0,IFERROR(INDEX(MHR[],$CI21,MATCH($CA21,MHR!$B$4:$AY$4,0)+11),0))</f>
        <v>0</v>
      </c>
      <c r="AN21" s="633" cm="1">
        <f t="array" ref="AN21">IF(($J21+$V21)=0,0,IFERROR(IF(INDEX(Premises!$A$41:$F$41,1,$CH21)&lt;&gt;0,INDEX(Premises!$A$41:$F$41,1,$CH21)/100,(IFERROR(($J21/$I21)*$AM21,0)/($V21+$J21+$R21+$AL21))),0))</f>
        <v>0</v>
      </c>
      <c r="AO21" s="634">
        <f>IF(($J21+$V21)=0,0,IF(IFERROR(($J21+$R21+$V21+$AL21)*$AN21,0)&lt;&gt;IFERROR(($J21/$I21)*$AM21,0),($J21+$R21+$V21+$AL21)*$AN21,IFERROR(($J21/$I21)*$AM21,0)))</f>
        <v>0</v>
      </c>
      <c r="AP21" s="635">
        <f>$V21+$J21+$R21+$AA21+$AF21+$AL21+$AO21</f>
        <v>0</v>
      </c>
      <c r="AQ21" s="410"/>
      <c r="AR21" s="409"/>
      <c r="AS21" s="636" cm="1">
        <f t="array" ref="AS21">IF($CJ21=0,0,IFERROR(INDEX(MAT[Einheit],$CJ21,1),0))</f>
        <v>0</v>
      </c>
      <c r="AT21" s="637" cm="1">
        <f t="array" ref="AT21">IF($CJ21=0,0,IFERROR(INDEX(MAT[Preis],$CJ21,1),0))</f>
        <v>0</v>
      </c>
      <c r="AU21" s="638">
        <f>$AR21*$AT21</f>
        <v>0</v>
      </c>
      <c r="AV21" s="639" cm="1">
        <f t="array" ref="AV21">IF($AU21&lt;=0,0,INDEX(Premises!$A$30:$F$30,1,$CH21)/100)</f>
        <v>0</v>
      </c>
      <c r="AW21" s="409"/>
      <c r="AX21" s="631">
        <f>IF($AV21=0,0,($AU21+$AW21)*$AV21)</f>
        <v>0</v>
      </c>
      <c r="AY21" s="640" cm="1">
        <f t="array" ref="AY21">IF($AT21&lt;=0,0,IFERROR(IF(INDEX(Premises!$A$42:$F$42,1,$CH21)&lt;&gt;0,INDEX(Premises!$A$42:$F$42,1,$CH21)/100,(INDEX(MAT[],$CJ21,MATCH($CA21,MAT!$B$4:$AE$4,0))/($AR21*$CK21*INDEX(Premises!$A$13:$F$13,1,$CH21))+INDEX(MAT[],$CJ21,MATCH($CA21,MAT!$B$4:$AE$4,0)+7))/$AT21),0))</f>
        <v>0</v>
      </c>
      <c r="AZ21" s="631">
        <f>IF($AY21=0,0,($AU21+$AX21)*$AY21)</f>
        <v>0</v>
      </c>
      <c r="BA21" s="635">
        <f>$AU21+$AX21+$AZ21</f>
        <v>0</v>
      </c>
      <c r="BB21" s="635">
        <f>$AP21+$BA21</f>
        <v>0</v>
      </c>
      <c r="BC21" s="639" cm="1">
        <f t="array" ref="BC21">IF($BB21&lt;=0,0,IF(BC$2=-1,0,INDEX(Premises!$A$32:$F$32,1,$CH21)/100))</f>
        <v>0</v>
      </c>
      <c r="BD21" s="631">
        <f>IF($AP21&lt;=0,0,($AP21-$AA21-$AL21)*$BC21)</f>
        <v>0</v>
      </c>
      <c r="BE21" s="639" cm="1">
        <f t="array" ref="BE21">IF($BB21&lt;=0,0,IF(BE$2=-1,0,INDEX(Premises!$A$33:$F$33,1,$CH21)/100))</f>
        <v>0</v>
      </c>
      <c r="BF21" s="631">
        <f>IF($BA21&lt;=0,0,$BA21*$BE21)</f>
        <v>0</v>
      </c>
      <c r="BG21" s="639" cm="1">
        <f t="array" ref="BG21">IF($BB21&lt;=0,0,IF(BG$2=-1,0,INDEX(Premises!$A$31:$F$31,1,$CH21)/100))</f>
        <v>0</v>
      </c>
      <c r="BH21" s="631">
        <f>(($AP21-$AA21-$AL21)+$BA21)*$BG21</f>
        <v>0</v>
      </c>
      <c r="BI21" s="635">
        <f>$BB21+$BD21+$BF21+$BH21</f>
        <v>0</v>
      </c>
      <c r="BJ21" s="639" cm="1">
        <f t="array" ref="BJ21">IF($BB21&lt;=0,0,IF(BJ$2=-1,0,INDEX(Premises!$A$35:$F$35,1,$CH21)/100))</f>
        <v>0</v>
      </c>
      <c r="BK21" s="631">
        <f>IF($AP21&lt;=0,0,($AP21-$AL21-$AA21)*$BJ21)</f>
        <v>0</v>
      </c>
      <c r="BL21" s="639" cm="1">
        <f t="array" ref="BL21">IF($BB21&lt;=0,0,IF(BL$2=-1,0,INDEX(Premises!$A$36:$F$36,1,$CH21)/100))</f>
        <v>0</v>
      </c>
      <c r="BM21" s="631">
        <f>IF($AU21&lt;=0,0,($AR21*$AT21)*$BL21)</f>
        <v>0</v>
      </c>
      <c r="BN21" s="639" cm="1">
        <f t="array" ref="BN21">IF($BB21&lt;=0,0,IF(BN$2=-1,0,INDEX(Premises!$A$34:$F$34,1,$CH21)/100))</f>
        <v>0</v>
      </c>
      <c r="BO21" s="631">
        <f>(($AP21-$AL21-$AA21)+($AR21*$AT21))*$BN21</f>
        <v>0</v>
      </c>
      <c r="BP21" s="639" cm="1">
        <f t="array" ref="BP21">IF($BI21=0,0,INDEX(Premises!$A$37:$F$37,1,$CH21)/100)</f>
        <v>0</v>
      </c>
      <c r="BQ21" s="409"/>
      <c r="BR21" s="631">
        <f>($BI21+$BK21+$BM21+$BO21)*$BP21+$BQ21</f>
        <v>0</v>
      </c>
      <c r="BS21" s="641">
        <f>BI21+BK21+BM21+BO21+BR21</f>
        <v>0</v>
      </c>
      <c r="BT21" s="641">
        <f>IF($BS21=0,0,$CK21*$BS21)</f>
        <v>0</v>
      </c>
      <c r="BU21" s="642">
        <f>IF($BT21=0,0,MAX(1,$EB21/$DP21))</f>
        <v>0</v>
      </c>
      <c r="BV21" s="1147"/>
      <c r="BW21" s="418"/>
      <c r="BX21" s="418"/>
      <c r="BY21" s="419"/>
      <c r="BZ21" s="968"/>
      <c r="CA21" s="280" cm="1">
        <f t="array" ref="CA21">IF($BZ21&gt;0,VALUE(LEFT($BZ21,IF(ISERROR(FIND("-",$BZ21)),LEN($BZ21),FIND("-",$BZ21)-1))),INDEX($CA$1:$CA21,MAX(1,$CD21)))</f>
        <v>1</v>
      </c>
      <c r="CB21" s="280" cm="1">
        <f t="array" ref="CB21">IF($BT21=0,0,IF(LEN($BZ21)-LEN(SUBSTITUTE($BZ21,"-",""))&gt;1,
VALUE(MID($BZ21,FIND("-",$BZ21)+1,FIND("-",$BZ21,FIND("-",$BZ21)+1)-FIND("-",$BZ21)-1)),IF($BZ21&gt;0,0,INDEX($CB$1:$CB21,MAX(1,$CD21)))))</f>
        <v>0</v>
      </c>
      <c r="CC21" s="280" cm="1">
        <f t="array" ref="CC21">IF($BT21=0,0,IF(NOT(ISERROR(FIND("-",BZ21))),
VALUE(RIGHT($BZ21,LEN($BZ21)-IF(LEN($BZ21)-LEN(SUBSTITUTE($BZ21,"-",""))=1,FIND("-",$BZ21),FIND("-",$BZ21,FIND("-",$BZ21)+1)))),
IF($BZ21&gt;0,0,INDEX($CC$1:$CC21,MAX(1,$CD21)))))</f>
        <v>0</v>
      </c>
      <c r="CD21" s="393">
        <f>MATCH(0,$CE$1:$CE21,-1)</f>
        <v>15</v>
      </c>
      <c r="CE21" s="280"/>
      <c r="CF21" s="394"/>
      <c r="CG21" s="393" cm="1">
        <f t="array" ref="CG21">INDEX($CG$1:$CG21,$CD21)</f>
        <v>4</v>
      </c>
      <c r="CH21" s="280">
        <f>MATCH($CA21,Premises!$A$10:$F$10,0)</f>
        <v>4</v>
      </c>
      <c r="CI21" s="280">
        <f>IF(ISBLANK($E21),0,IFERROR(MATCH($E21,MHR[Bezeichnung],0),0))</f>
        <v>0</v>
      </c>
      <c r="CJ21" s="394">
        <f>IF(ISBLANK($AQ21),0,IFERROR(MATCH($AQ21,MAT[Bezeichnung],0),0))</f>
        <v>0</v>
      </c>
      <c r="CK21" s="280" cm="1">
        <f t="array" ref="CK21">INDEX($D$1:$D21,$CD21)</f>
        <v>1</v>
      </c>
      <c r="CL21" s="280"/>
      <c r="CM21" s="395"/>
      <c r="CN21" s="396" cm="1">
        <f t="array" ref="CN21">IF($CB21=0,0,IF($CB21=INDEX($CB$1:$CB21,$CD21),INDEX($CN$1:$CN21,$CD21),$CP21))</f>
        <v>0</v>
      </c>
      <c r="CO21" s="395"/>
      <c r="CP21" s="396" cm="1">
        <f t="array" ref="CP21">IF($CC21=0,0,INDEX($CP$1:$CP21,$CD21))</f>
        <v>0</v>
      </c>
      <c r="CQ21" s="397"/>
      <c r="CR21" s="398"/>
      <c r="CS21" s="398"/>
      <c r="CT21" s="1152"/>
      <c r="CU21" s="1149"/>
      <c r="CV21" s="647">
        <f>$J21*$CK21</f>
        <v>0</v>
      </c>
      <c r="CW21" s="648">
        <f>$R21*$CK21</f>
        <v>0</v>
      </c>
      <c r="CX21" s="648">
        <f>$V21*$CK21</f>
        <v>0</v>
      </c>
      <c r="CY21" s="648">
        <f>$AA21*$CK21</f>
        <v>0</v>
      </c>
      <c r="CZ21" s="648">
        <f>$AF21*$CK21</f>
        <v>0</v>
      </c>
      <c r="DA21" s="648">
        <f>$AL21*$CK21</f>
        <v>0</v>
      </c>
      <c r="DB21" s="648">
        <f>$AO21*$CK21</f>
        <v>0</v>
      </c>
      <c r="DC21" s="649">
        <f>$AP21*$CK21</f>
        <v>0</v>
      </c>
      <c r="DD21" s="648">
        <f>$AU21*$CK21</f>
        <v>0</v>
      </c>
      <c r="DE21" s="648">
        <f>$AX21*$CK21</f>
        <v>0</v>
      </c>
      <c r="DF21" s="648">
        <f>$AZ21*$CK21</f>
        <v>0</v>
      </c>
      <c r="DG21" s="649">
        <f>$BA21*$CK21</f>
        <v>0</v>
      </c>
      <c r="DH21" s="649">
        <f>$BB21*$CK21</f>
        <v>0</v>
      </c>
      <c r="DI21" s="648">
        <f>$BD21*$CK21</f>
        <v>0</v>
      </c>
      <c r="DJ21" s="648">
        <f>$BF21*$CK21</f>
        <v>0</v>
      </c>
      <c r="DK21" s="648">
        <f>$BH21*$CK21</f>
        <v>0</v>
      </c>
      <c r="DL21" s="648">
        <f>$BK21*$CK21</f>
        <v>0</v>
      </c>
      <c r="DM21" s="648">
        <f>$BM21*$CK21</f>
        <v>0</v>
      </c>
      <c r="DN21" s="648">
        <f>$BO21*$CK21</f>
        <v>0</v>
      </c>
      <c r="DO21" s="648">
        <f>$BR21*$CK21</f>
        <v>0</v>
      </c>
      <c r="DP21" s="651">
        <f>$CK21*($BB21+$BD21+$BF21+$BH21+$BK21+$BM21+$BO21+$BR21)</f>
        <v>0</v>
      </c>
      <c r="DQ21" s="951">
        <f>IF($CB21=0,0,$DP21*_xlfn.XLOOKUP($CB21,Premises!$A$10:$F$10,Premises!$A$30:$F$30)/100)</f>
        <v>0</v>
      </c>
      <c r="DR21" s="650">
        <f>IFERROR(SUM($DP21:$DQ21)*IF(INDEX(Premises!$A$42:$F$42,1,MATCH($CB21,Premises!$A$10:$F$10,0))&gt;0,INDEX(Premises!$A$42:$F$42,1,MATCH($CB21,Premises!$A$10:$F$10,0))%,$CN21),0)</f>
        <v>0</v>
      </c>
      <c r="DS21" s="650" cm="1">
        <f t="array" ref="DS21">IF($CB21=0,0,SUM($DP21:$DR21)*_xlfn.XLOOKUP($CB21,Premises!$A$10:$F$10,IF(INDEX(Settings[],MATCH(3001,Settings[ID],0),2)="B",Premises!$A$33:$F$33,Premises!$A$31:$F$31))/100)</f>
        <v>0</v>
      </c>
      <c r="DT21" s="650" cm="1">
        <f t="array" ref="DT21">IF($CB21=0,0,$DP21*_xlfn.XLOOKUP($CB21,Premises!$A$10:$F$10,IF(INDEX(Settings[],MATCH(3002,Settings[ID],0),2)="B",Premises!$A$36:$F$36,Premises!$A$34:$F$34))/100)</f>
        <v>0</v>
      </c>
      <c r="DU21" s="650">
        <f>IF($CB21=0,0,SUM($DP21:$DT21)*_xlfn.XLOOKUP($CB21,Premises!$A$10:$F$10,Premises!$A$37:$F$37)/100)</f>
        <v>0</v>
      </c>
      <c r="DV21" s="954">
        <f>SUM($DP21:$DU21)</f>
        <v>0</v>
      </c>
      <c r="DW21" s="951">
        <f>IF($CC21=0,0,$DV21*_xlfn.XLOOKUP($CC21,Premises!$A$10:$F$10,Premises!$A$30:$F$30)/100)</f>
        <v>0</v>
      </c>
      <c r="DX21" s="650">
        <f>IFERROR(SUM($DV21:$DW21)*IF(INDEX(Premises!$A$42:$F$42,1,MATCH($CC21,Premises!$A$10:$F$10,0))&gt;0,INDEX(Premises!$A$42:$F$42,1,MATCH($CC21,Premises!$A$10:$F$10,0))%,$CP21),0)</f>
        <v>0</v>
      </c>
      <c r="DY21" s="650" cm="1">
        <f t="array" ref="DY21">IF($CC21=0,0,SUM($DV21:$DX21)*_xlfn.XLOOKUP($CC21,Premises!$A$10:$F$10,IF(INDEX(Settings[],MATCH(3001,Settings[ID],0),2)="B",Premises!$A$33:$F$33,Premises!$A$31:$F$31))/100)</f>
        <v>0</v>
      </c>
      <c r="DZ21" s="650" cm="1">
        <f t="array" ref="DZ21">IF($CC21=0,0,$DV21*_xlfn.XLOOKUP($CC21,Premises!$A$10:$F$10,IF(INDEX(Settings[],MATCH(3002,Settings[ID],0),2)="B",Premises!$A$36:$F$36,Premises!$A$34:$F$34))/100)</f>
        <v>0</v>
      </c>
      <c r="EA21" s="650">
        <f>IF($CC21=0,0,SUM($DV21:$DZ21)*_xlfn.XLOOKUP($CC21,Premises!$A$10:$F$10,Premises!$A$37:$F$37)/100)</f>
        <v>0</v>
      </c>
      <c r="EB21" s="651">
        <f>SUM($DV21:$EA21)</f>
        <v>0</v>
      </c>
      <c r="EC21" s="805"/>
      <c r="ED21" s="1104"/>
      <c r="EE21" s="650"/>
      <c r="EF21" s="1110"/>
      <c r="EG21" s="1108"/>
      <c r="EH21" s="1108"/>
      <c r="EI21" s="1108"/>
      <c r="EJ21" s="1108"/>
      <c r="EK21" s="1108"/>
      <c r="EL21" s="1108"/>
      <c r="EM21" s="1110"/>
      <c r="EN21" s="1108"/>
      <c r="EO21" s="1108"/>
      <c r="EP21" s="1108"/>
      <c r="EQ21" s="1108"/>
      <c r="ER21" s="1110"/>
      <c r="ES21" s="1108"/>
      <c r="ET21" s="1108"/>
      <c r="EU21" s="1108"/>
      <c r="EV21" s="1108"/>
      <c r="EW21" s="1108"/>
      <c r="EX21" s="1111"/>
      <c r="EY21" s="2"/>
      <c r="EZ21" s="2"/>
      <c r="FA21" s="2"/>
      <c r="FB21" s="2"/>
      <c r="FC21" s="2"/>
      <c r="FD21" s="2"/>
      <c r="FE21" s="2"/>
      <c r="FF21" s="2"/>
      <c r="FG21" s="2"/>
      <c r="FH21" s="2"/>
      <c r="FI21" s="2"/>
      <c r="FJ21" s="420"/>
      <c r="FK21" s="421"/>
      <c r="FL21" s="422"/>
      <c r="FM21" s="1153"/>
    </row>
    <row r="22" spans="1:169" s="13" customFormat="1" ht="12.75" customHeight="1">
      <c r="A22" s="221"/>
      <c r="B22" s="402" t="s">
        <v>4374</v>
      </c>
      <c r="C22" s="403">
        <v>5</v>
      </c>
      <c r="D22" s="646"/>
      <c r="E22" s="404"/>
      <c r="F22" s="405"/>
      <c r="G22" s="405"/>
      <c r="H22" s="405"/>
      <c r="I22" s="637" cm="1">
        <f t="array" ref="I22">IF($CI22=0,0,IFERROR(INDEX(MHR[],$CI22,MATCH($CA22,MHR!$B$4:$AY$4,0)),0))</f>
        <v>0</v>
      </c>
      <c r="J22" s="634">
        <f>IF(COUNTBLANK($E22:$H22),0,IFERROR($F22/$H22/IF($G22="s",3600,IF($G22="min",60,IF($G22="h",1,0)))*I22,0))</f>
        <v>0</v>
      </c>
      <c r="K22" s="406"/>
      <c r="L22" s="407"/>
      <c r="M22" s="871"/>
      <c r="N22" s="407"/>
      <c r="O22" s="405"/>
      <c r="P22" s="645" cm="1">
        <f t="array" ref="P22">IF($K22=0,0,IFERROR(ROUNDUP(IF(ISNUMBER($K22),$K22,INDEX($D$1:$D22,$CD22)*INDEX(Premises!$A$13:$F$13,1,$CH22)/IF(OR($K22="T",$K22="D"),250,IF($K22="W",50,IF($K22="M",12,IF(OR($K22="HJ",$K22="HY"),2,IF(OR($K22="J",$K22="Y"),1,0)))))),0),0))</f>
        <v>0</v>
      </c>
      <c r="Q22" s="637" cm="1">
        <f t="array" ref="Q22">IF($K22=0,0,IFERROR(INDEX(Premises!$A$22:$F$22,1,$CH22)*100/INDEX(Premises!$A$16:$F$16,1,$CH22),0))</f>
        <v>0</v>
      </c>
      <c r="R22" s="634">
        <f>IF($P22=0,0,IFERROR(($L22/60*($I22+$Q22*$M22)+($N22/60*($Q22*$O22)))/$P22,0))</f>
        <v>0</v>
      </c>
      <c r="S22" s="408"/>
      <c r="T22" s="409"/>
      <c r="U22" s="637" cm="1">
        <f t="array" ref="U22">IF(COUNTBLANK($S22:$T22),0,
IF(AND(INDEX(MHR[Schichtmodell],$CI22)&lt;&gt;0,INDEX(MHR[Schichtmodell],$CI22)&lt;&gt;INDEX(Premises!$A$20:$F$20,1,$CH22)),ExchangeRate*
IF(OR($T22="M",$T22="U"),IF(INDEX(MHR[Schichtmodell],$CI22)=1,INDEX(LOC[M1S],INDEX(Premises!$A$18:$F$18,1,$CH22+1)),IF(INDEX(MHR[Schichtmodell],$CI22)=2,INDEX(LOC[M2S],INDEX(Premises!$A$18:$F$18,1,$CH22+1),IF(INDEX(MHR[Schichtmodell],$CI22)=3,INDEX(LOC[M3S],INDEX(Premises!$A$18:$F$18,1,$CH22+1)),0)))),
IF(INDEX(MHR[Schichtmodell],$CI22)=1,INDEX(LOC[F1S],INDEX(Premises!$A$18:$F$18,1,$CH22+1)),IF(INDEX(MHR[Schichtmodell],$CI22)=2,INDEX(LOC[F2S],INDEX(Premises!$A$18:$F$18,1,$CH22+1)),IF(INDEX(MHR[Schichtmodell],$CI22)=3,INDEX(LOC[F3S],INDEX(Premises!$A$18:$F$18,1,$CH22+1)),0)))),
IF(OR($T22="M",$T22="U"),INDEX(Premises!$A$21:$F$21,1,$CH22),
IF(OR($T22="F",$T22="S"),INDEX(Premises!$A$22:$F$22,1,$CH22),0)))*100/INDEX(Premises!$A$16:$F$16,1,$CH22))</f>
        <v>0</v>
      </c>
      <c r="V22" s="631">
        <f>IF($U22=0,0,IFERROR($F22/$H22/IF($G22="s",3600,IF($G22="min",60,IF($G22="h",1,0)))*$S22*$U22,0))</f>
        <v>0</v>
      </c>
      <c r="W22" s="410"/>
      <c r="X22" s="403"/>
      <c r="Y22" s="411"/>
      <c r="Z22" s="412"/>
      <c r="AA22" s="628">
        <f>IFERROR($X22*$Z22/$Y22/MAX(1,$H22),0)</f>
        <v>0</v>
      </c>
      <c r="AB22" s="410"/>
      <c r="AC22" s="403"/>
      <c r="AD22" s="411"/>
      <c r="AE22" s="413"/>
      <c r="AF22" s="628">
        <f>IFERROR($AC22*$AE22/$AD22,0)</f>
        <v>0</v>
      </c>
      <c r="AG22" s="629" cm="1">
        <f t="array" ref="AG22">IF(($J22+$V22+$AF22)=0,0,INDEX(Premises!$A$30:$F$30,1,$CH22)/100)</f>
        <v>0</v>
      </c>
      <c r="AH22" s="414"/>
      <c r="AI22" s="415"/>
      <c r="AJ22" s="416"/>
      <c r="AK22" s="630">
        <f>IF(COUNTBLANK($AH22:$AI22),0,$AH22*$AI22*$AG22)</f>
        <v>0</v>
      </c>
      <c r="AL22" s="631">
        <f>($AK22+$AJ22*$AG22*(1-$AH22)+($J22+$V22+$AF22)*$AG22*(1-$AH22))</f>
        <v>0</v>
      </c>
      <c r="AM22" s="632" cm="1">
        <f t="array" ref="AM22">IF($CI22=0,0,IFERROR(INDEX(MHR[],$CI22,MATCH($CA22,MHR!$B$4:$AY$4,0)+11),0))</f>
        <v>0</v>
      </c>
      <c r="AN22" s="633" cm="1">
        <f t="array" ref="AN22">IF(($J22+$V22)=0,0,IFERROR(IF(INDEX(Premises!$A$41:$F$41,1,$CH22)&lt;&gt;0,INDEX(Premises!$A$41:$F$41,1,$CH22)/100,(IFERROR(($J22/$I22)*$AM22,0)/($V22+$J22+$R22+$AL22))),0))</f>
        <v>0</v>
      </c>
      <c r="AO22" s="634">
        <f>IF(($J22+$V22)=0,0,IF(IFERROR(($J22+$R22+$V22+$AL22)*$AN22,0)&lt;&gt;IFERROR(($J22/$I22)*$AM22,0),($J22+$R22+$V22+$AL22)*$AN22,IFERROR(($J22/$I22)*$AM22,0)))</f>
        <v>0</v>
      </c>
      <c r="AP22" s="635">
        <f>$V22+$J22+$R22+$AA22+$AF22+$AL22+$AO22</f>
        <v>0</v>
      </c>
      <c r="AQ22" s="410"/>
      <c r="AR22" s="409"/>
      <c r="AS22" s="636" cm="1">
        <f t="array" ref="AS22">IF($CJ22=0,0,IFERROR(INDEX(MAT[Einheit],$CJ22,1),0))</f>
        <v>0</v>
      </c>
      <c r="AT22" s="637" cm="1">
        <f t="array" ref="AT22">IF($CJ22=0,0,IFERROR(INDEX(MAT[Preis],$CJ22,1),0))</f>
        <v>0</v>
      </c>
      <c r="AU22" s="638">
        <f>$AR22*$AT22</f>
        <v>0</v>
      </c>
      <c r="AV22" s="639" cm="1">
        <f t="array" ref="AV22">IF($AU22&lt;=0,0,INDEX(Premises!$A$30:$F$30,1,$CH22)/100)</f>
        <v>0</v>
      </c>
      <c r="AW22" s="409"/>
      <c r="AX22" s="631">
        <f>IF($AV22=0,0,($AU22+$AW22)*$AV22)</f>
        <v>0</v>
      </c>
      <c r="AY22" s="640" cm="1">
        <f t="array" ref="AY22">IF($AT22&lt;=0,0,IFERROR(IF(INDEX(Premises!$A$42:$F$42,1,$CH22)&lt;&gt;0,INDEX(Premises!$A$42:$F$42,1,$CH22)/100,(INDEX(MAT[],$CJ22,MATCH($CA22,MAT!$B$4:$AE$4,0))/($AR22*$CK22*INDEX(Premises!$A$13:$F$13,1,$CH22))+INDEX(MAT[],$CJ22,MATCH($CA22,MAT!$B$4:$AE$4,0)+7))/$AT22),0))</f>
        <v>0</v>
      </c>
      <c r="AZ22" s="631">
        <f>IF($AY22=0,0,($AU22+$AX22)*$AY22)</f>
        <v>0</v>
      </c>
      <c r="BA22" s="635">
        <f>$AU22+$AX22+$AZ22</f>
        <v>0</v>
      </c>
      <c r="BB22" s="635">
        <f>$AP22+$BA22</f>
        <v>0</v>
      </c>
      <c r="BC22" s="639" cm="1">
        <f t="array" ref="BC22">IF($BB22&lt;=0,0,IF(BC$2=-1,0,INDEX(Premises!$A$32:$F$32,1,$CH22)/100))</f>
        <v>0</v>
      </c>
      <c r="BD22" s="631">
        <f>IF($AP22&lt;=0,0,($AP22-$AA22-$AL22)*$BC22)</f>
        <v>0</v>
      </c>
      <c r="BE22" s="639" cm="1">
        <f t="array" ref="BE22">IF($BB22&lt;=0,0,IF(BE$2=-1,0,INDEX(Premises!$A$33:$F$33,1,$CH22)/100))</f>
        <v>0</v>
      </c>
      <c r="BF22" s="631">
        <f>IF($BA22&lt;=0,0,$BA22*$BE22)</f>
        <v>0</v>
      </c>
      <c r="BG22" s="639" cm="1">
        <f t="array" ref="BG22">IF($BB22&lt;=0,0,IF(BG$2=-1,0,INDEX(Premises!$A$31:$F$31,1,$CH22)/100))</f>
        <v>0</v>
      </c>
      <c r="BH22" s="631">
        <f>(($AP22-$AA22-$AL22)+$BA22)*$BG22</f>
        <v>0</v>
      </c>
      <c r="BI22" s="635">
        <f>$BB22+$BD22+$BF22+$BH22</f>
        <v>0</v>
      </c>
      <c r="BJ22" s="639" cm="1">
        <f t="array" ref="BJ22">IF($BB22&lt;=0,0,IF(BJ$2=-1,0,INDEX(Premises!$A$35:$F$35,1,$CH22)/100))</f>
        <v>0</v>
      </c>
      <c r="BK22" s="631">
        <f>IF($AP22&lt;=0,0,($AP22-$AL22-$AA22)*$BJ22)</f>
        <v>0</v>
      </c>
      <c r="BL22" s="639" cm="1">
        <f t="array" ref="BL22">IF($BB22&lt;=0,0,IF(BL$2=-1,0,INDEX(Premises!$A$36:$F$36,1,$CH22)/100))</f>
        <v>0</v>
      </c>
      <c r="BM22" s="631">
        <f>IF($AU22&lt;=0,0,($AR22*$AT22)*$BL22)</f>
        <v>0</v>
      </c>
      <c r="BN22" s="639" cm="1">
        <f t="array" ref="BN22">IF($BB22&lt;=0,0,IF(BN$2=-1,0,INDEX(Premises!$A$34:$F$34,1,$CH22)/100))</f>
        <v>0</v>
      </c>
      <c r="BO22" s="631">
        <f>(($AP22-$AL22-$AA22)+($AR22*$AT22))*$BN22</f>
        <v>0</v>
      </c>
      <c r="BP22" s="639" cm="1">
        <f t="array" ref="BP22">IF($BI22=0,0,INDEX(Premises!$A$37:$F$37,1,$CH22)/100)</f>
        <v>0</v>
      </c>
      <c r="BQ22" s="409"/>
      <c r="BR22" s="631">
        <f>($BI22+$BK22+$BM22+$BO22)*$BP22+$BQ22</f>
        <v>0</v>
      </c>
      <c r="BS22" s="641">
        <f>BI22+BK22+BM22+BO22+BR22</f>
        <v>0</v>
      </c>
      <c r="BT22" s="641">
        <f>IF($BS22=0,0,$CK22*$BS22)</f>
        <v>0</v>
      </c>
      <c r="BU22" s="642">
        <f>IF($BT22=0,0,MAX(1,$EB22/$DP22))</f>
        <v>0</v>
      </c>
      <c r="BV22" s="1147"/>
      <c r="BW22" s="418"/>
      <c r="BX22" s="418"/>
      <c r="BY22" s="419"/>
      <c r="BZ22" s="968"/>
      <c r="CA22" s="280" cm="1">
        <f t="array" ref="CA22">IF($BZ22&gt;0,VALUE(LEFT($BZ22,IF(ISERROR(FIND("-",$BZ22)),LEN($BZ22),FIND("-",$BZ22)-1))),INDEX($CA$1:$CA22,MAX(1,$CD22)))</f>
        <v>1</v>
      </c>
      <c r="CB22" s="280" cm="1">
        <f t="array" ref="CB22">IF($BT22=0,0,IF(LEN($BZ22)-LEN(SUBSTITUTE($BZ22,"-",""))&gt;1,
VALUE(MID($BZ22,FIND("-",$BZ22)+1,FIND("-",$BZ22,FIND("-",$BZ22)+1)-FIND("-",$BZ22)-1)),IF($BZ22&gt;0,0,INDEX($CB$1:$CB22,MAX(1,$CD22)))))</f>
        <v>0</v>
      </c>
      <c r="CC22" s="280" cm="1">
        <f t="array" ref="CC22">IF($BT22=0,0,IF(NOT(ISERROR(FIND("-",BZ22))),
VALUE(RIGHT($BZ22,LEN($BZ22)-IF(LEN($BZ22)-LEN(SUBSTITUTE($BZ22,"-",""))=1,FIND("-",$BZ22),FIND("-",$BZ22,FIND("-",$BZ22)+1)))),
IF($BZ22&gt;0,0,INDEX($CC$1:$CC22,MAX(1,$CD22)))))</f>
        <v>0</v>
      </c>
      <c r="CD22" s="393">
        <f>MATCH(0,$CE$1:$CE22,-1)</f>
        <v>15</v>
      </c>
      <c r="CE22" s="280"/>
      <c r="CF22" s="394"/>
      <c r="CG22" s="393" cm="1">
        <f t="array" ref="CG22">INDEX($CG$1:$CG22,$CD22)</f>
        <v>4</v>
      </c>
      <c r="CH22" s="280">
        <f>MATCH($CA22,Premises!$A$10:$F$10,0)</f>
        <v>4</v>
      </c>
      <c r="CI22" s="280">
        <f>IF(ISBLANK($E22),0,IFERROR(MATCH($E22,MHR[Bezeichnung],0),0))</f>
        <v>0</v>
      </c>
      <c r="CJ22" s="394">
        <f>IF(ISBLANK($AQ22),0,IFERROR(MATCH($AQ22,MAT[Bezeichnung],0),0))</f>
        <v>0</v>
      </c>
      <c r="CK22" s="280" cm="1">
        <f t="array" ref="CK22">INDEX($D$1:$D22,$CD22)</f>
        <v>1</v>
      </c>
      <c r="CL22" s="280"/>
      <c r="CM22" s="395"/>
      <c r="CN22" s="396" cm="1">
        <f t="array" ref="CN22">IF($CB22=0,0,IF($CB22=INDEX($CB$1:$CB22,$CD22),INDEX($CN$1:$CN22,$CD22),$CP22))</f>
        <v>0</v>
      </c>
      <c r="CO22" s="395"/>
      <c r="CP22" s="396" cm="1">
        <f t="array" ref="CP22">IF($CC22=0,0,INDEX($CP$1:$CP22,$CD22))</f>
        <v>0</v>
      </c>
      <c r="CQ22" s="397"/>
      <c r="CR22" s="398"/>
      <c r="CS22" s="398"/>
      <c r="CT22" s="1152"/>
      <c r="CU22" s="1149"/>
      <c r="CV22" s="647">
        <f>$J22*$CK22</f>
        <v>0</v>
      </c>
      <c r="CW22" s="648">
        <f>$R22*$CK22</f>
        <v>0</v>
      </c>
      <c r="CX22" s="648">
        <f>$V22*$CK22</f>
        <v>0</v>
      </c>
      <c r="CY22" s="648">
        <f>$AA22*$CK22</f>
        <v>0</v>
      </c>
      <c r="CZ22" s="648">
        <f>$AF22*$CK22</f>
        <v>0</v>
      </c>
      <c r="DA22" s="648">
        <f>$AL22*$CK22</f>
        <v>0</v>
      </c>
      <c r="DB22" s="648">
        <f>$AO22*$CK22</f>
        <v>0</v>
      </c>
      <c r="DC22" s="649">
        <f>$AP22*$CK22</f>
        <v>0</v>
      </c>
      <c r="DD22" s="648">
        <f>$AU22*$CK22</f>
        <v>0</v>
      </c>
      <c r="DE22" s="648">
        <f>$AX22*$CK22</f>
        <v>0</v>
      </c>
      <c r="DF22" s="648">
        <f>$AZ22*$CK22</f>
        <v>0</v>
      </c>
      <c r="DG22" s="649">
        <f>$BA22*$CK22</f>
        <v>0</v>
      </c>
      <c r="DH22" s="649">
        <f>$BB22*$CK22</f>
        <v>0</v>
      </c>
      <c r="DI22" s="648">
        <f>$BD22*$CK22</f>
        <v>0</v>
      </c>
      <c r="DJ22" s="648">
        <f>$BF22*$CK22</f>
        <v>0</v>
      </c>
      <c r="DK22" s="648">
        <f>$BH22*$CK22</f>
        <v>0</v>
      </c>
      <c r="DL22" s="648">
        <f>$BK22*$CK22</f>
        <v>0</v>
      </c>
      <c r="DM22" s="648">
        <f>$BM22*$CK22</f>
        <v>0</v>
      </c>
      <c r="DN22" s="648">
        <f>$BO22*$CK22</f>
        <v>0</v>
      </c>
      <c r="DO22" s="648">
        <f>$BR22*$CK22</f>
        <v>0</v>
      </c>
      <c r="DP22" s="651">
        <f>$CK22*($BB22+$BD22+$BF22+$BH22+$BK22+$BM22+$BO22+$BR22)</f>
        <v>0</v>
      </c>
      <c r="DQ22" s="951">
        <f>IF($CB22=0,0,$DP22*_xlfn.XLOOKUP($CB22,Premises!$A$10:$F$10,Premises!$A$30:$F$30)/100)</f>
        <v>0</v>
      </c>
      <c r="DR22" s="650">
        <f>IFERROR(SUM($DP22:$DQ22)*IF(INDEX(Premises!$A$42:$F$42,1,MATCH($CB22,Premises!$A$10:$F$10,0))&gt;0,INDEX(Premises!$A$42:$F$42,1,MATCH($CB22,Premises!$A$10:$F$10,0))%,$CN22),0)</f>
        <v>0</v>
      </c>
      <c r="DS22" s="650" cm="1">
        <f t="array" ref="DS22">IF($CB22=0,0,SUM($DP22:$DR22)*_xlfn.XLOOKUP($CB22,Premises!$A$10:$F$10,IF(INDEX(Settings[],MATCH(3001,Settings[ID],0),2)="B",Premises!$A$33:$F$33,Premises!$A$31:$F$31))/100)</f>
        <v>0</v>
      </c>
      <c r="DT22" s="650" cm="1">
        <f t="array" ref="DT22">IF($CB22=0,0,$DP22*_xlfn.XLOOKUP($CB22,Premises!$A$10:$F$10,IF(INDEX(Settings[],MATCH(3002,Settings[ID],0),2)="B",Premises!$A$36:$F$36,Premises!$A$34:$F$34))/100)</f>
        <v>0</v>
      </c>
      <c r="DU22" s="650">
        <f>IF($CB22=0,0,SUM($DP22:$DT22)*_xlfn.XLOOKUP($CB22,Premises!$A$10:$F$10,Premises!$A$37:$F$37)/100)</f>
        <v>0</v>
      </c>
      <c r="DV22" s="954">
        <f>SUM($DP22:$DU22)</f>
        <v>0</v>
      </c>
      <c r="DW22" s="951">
        <f>IF($CC22=0,0,$DV22*_xlfn.XLOOKUP($CC22,Premises!$A$10:$F$10,Premises!$A$30:$F$30)/100)</f>
        <v>0</v>
      </c>
      <c r="DX22" s="650">
        <f>IFERROR(SUM($DV22:$DW22)*IF(INDEX(Premises!$A$42:$F$42,1,MATCH($CC22,Premises!$A$10:$F$10,0))&gt;0,INDEX(Premises!$A$42:$F$42,1,MATCH($CC22,Premises!$A$10:$F$10,0))%,$CP22),0)</f>
        <v>0</v>
      </c>
      <c r="DY22" s="650" cm="1">
        <f t="array" ref="DY22">IF($CC22=0,0,SUM($DV22:$DX22)*_xlfn.XLOOKUP($CC22,Premises!$A$10:$F$10,IF(INDEX(Settings[],MATCH(3001,Settings[ID],0),2)="B",Premises!$A$33:$F$33,Premises!$A$31:$F$31))/100)</f>
        <v>0</v>
      </c>
      <c r="DZ22" s="650" cm="1">
        <f t="array" ref="DZ22">IF($CC22=0,0,$DV22*_xlfn.XLOOKUP($CC22,Premises!$A$10:$F$10,IF(INDEX(Settings[],MATCH(3002,Settings[ID],0),2)="B",Premises!$A$36:$F$36,Premises!$A$34:$F$34))/100)</f>
        <v>0</v>
      </c>
      <c r="EA22" s="650">
        <f>IF($CC22=0,0,SUM($DV22:$DZ22)*_xlfn.XLOOKUP($CC22,Premises!$A$10:$F$10,Premises!$A$37:$F$37)/100)</f>
        <v>0</v>
      </c>
      <c r="EB22" s="651">
        <f>SUM($DV22:$EA22)</f>
        <v>0</v>
      </c>
      <c r="EC22" s="805"/>
      <c r="ED22" s="1104"/>
      <c r="EE22" s="650"/>
      <c r="EF22" s="1110"/>
      <c r="EG22" s="1108"/>
      <c r="EH22" s="1108"/>
      <c r="EI22" s="1108"/>
      <c r="EJ22" s="1108"/>
      <c r="EK22" s="1108"/>
      <c r="EL22" s="1108"/>
      <c r="EM22" s="1110"/>
      <c r="EN22" s="1108"/>
      <c r="EO22" s="1108"/>
      <c r="EP22" s="1108"/>
      <c r="EQ22" s="1108"/>
      <c r="ER22" s="1110"/>
      <c r="ES22" s="1108"/>
      <c r="ET22" s="1108"/>
      <c r="EU22" s="1108"/>
      <c r="EV22" s="1108"/>
      <c r="EW22" s="1108"/>
      <c r="EX22" s="1111"/>
      <c r="EY22" s="2"/>
      <c r="EZ22" s="2"/>
      <c r="FA22" s="2"/>
      <c r="FB22" s="2"/>
      <c r="FC22" s="2"/>
      <c r="FD22" s="2"/>
      <c r="FE22" s="2"/>
      <c r="FF22" s="2"/>
      <c r="FG22" s="2"/>
      <c r="FH22" s="2"/>
      <c r="FI22" s="2"/>
      <c r="FJ22" s="420"/>
      <c r="FK22" s="421"/>
      <c r="FL22" s="422"/>
      <c r="FM22" s="1153"/>
    </row>
    <row r="23" spans="1:169" s="13" customFormat="1" ht="12.75" customHeight="1">
      <c r="A23" s="221"/>
      <c r="B23" s="402" t="s">
        <v>4373</v>
      </c>
      <c r="C23" s="403">
        <v>4</v>
      </c>
      <c r="D23" s="646"/>
      <c r="E23" s="404"/>
      <c r="F23" s="405"/>
      <c r="G23" s="405"/>
      <c r="H23" s="405"/>
      <c r="I23" s="637" cm="1">
        <f t="array" ref="I23">IF($CI23=0,0,IFERROR(INDEX(MHR[],$CI23,MATCH($CA23,MHR!$B$4:$AY$4,0)),0))</f>
        <v>0</v>
      </c>
      <c r="J23" s="634">
        <f>IF(COUNTBLANK($E23:$H23),0,IFERROR($F23/$H23/IF($G23="s",3600,IF($G23="min",60,IF($G23="h",1,0)))*I23,0))</f>
        <v>0</v>
      </c>
      <c r="K23" s="406"/>
      <c r="L23" s="407"/>
      <c r="M23" s="871"/>
      <c r="N23" s="407"/>
      <c r="O23" s="405"/>
      <c r="P23" s="645" cm="1">
        <f t="array" ref="P23">IF($K23=0,0,IFERROR(ROUNDUP(IF(ISNUMBER($K23),$K23,INDEX($D$1:$D23,$CD23)*INDEX(Premises!$A$13:$F$13,1,$CH23)/IF(OR($K23="T",$K23="D"),250,IF($K23="W",50,IF($K23="M",12,IF(OR($K23="HJ",$K23="HY"),2,IF(OR($K23="J",$K23="Y"),1,0)))))),0),0))</f>
        <v>0</v>
      </c>
      <c r="Q23" s="637" cm="1">
        <f t="array" ref="Q23">IF($K23=0,0,IFERROR(INDEX(Premises!$A$22:$F$22,1,$CH23)*100/INDEX(Premises!$A$16:$F$16,1,$CH23),0))</f>
        <v>0</v>
      </c>
      <c r="R23" s="634">
        <f>IF($P23=0,0,IFERROR(($L23/60*($I23+$Q23*$M23)+($N23/60*($Q23*$O23)))/$P23,0))</f>
        <v>0</v>
      </c>
      <c r="S23" s="408"/>
      <c r="T23" s="409"/>
      <c r="U23" s="637" cm="1">
        <f t="array" ref="U23">IF(COUNTBLANK($S23:$T23),0,
IF(AND(INDEX(MHR[Schichtmodell],$CI23)&lt;&gt;0,INDEX(MHR[Schichtmodell],$CI23)&lt;&gt;INDEX(Premises!$A$20:$F$20,1,$CH23)),ExchangeRate*
IF(OR($T23="M",$T23="U"),IF(INDEX(MHR[Schichtmodell],$CI23)=1,INDEX(LOC[M1S],INDEX(Premises!$A$18:$F$18,1,$CH23+1)),IF(INDEX(MHR[Schichtmodell],$CI23)=2,INDEX(LOC[M2S],INDEX(Premises!$A$18:$F$18,1,$CH23+1),IF(INDEX(MHR[Schichtmodell],$CI23)=3,INDEX(LOC[M3S],INDEX(Premises!$A$18:$F$18,1,$CH23+1)),0)))),
IF(INDEX(MHR[Schichtmodell],$CI23)=1,INDEX(LOC[F1S],INDEX(Premises!$A$18:$F$18,1,$CH23+1)),IF(INDEX(MHR[Schichtmodell],$CI23)=2,INDEX(LOC[F2S],INDEX(Premises!$A$18:$F$18,1,$CH23+1)),IF(INDEX(MHR[Schichtmodell],$CI23)=3,INDEX(LOC[F3S],INDEX(Premises!$A$18:$F$18,1,$CH23+1)),0)))),
IF(OR($T23="M",$T23="U"),INDEX(Premises!$A$21:$F$21,1,$CH23),
IF(OR($T23="F",$T23="S"),INDEX(Premises!$A$22:$F$22,1,$CH23),0)))*100/INDEX(Premises!$A$16:$F$16,1,$CH23))</f>
        <v>0</v>
      </c>
      <c r="V23" s="631">
        <f>IF($U23=0,0,IFERROR($F23/$H23/IF($G23="s",3600,IF($G23="min",60,IF($G23="h",1,0)))*$S23*$U23,0))</f>
        <v>0</v>
      </c>
      <c r="W23" s="410"/>
      <c r="X23" s="403"/>
      <c r="Y23" s="411"/>
      <c r="Z23" s="412"/>
      <c r="AA23" s="628">
        <f>IFERROR($X23*$Z23/$Y23/MAX(1,$H23),0)</f>
        <v>0</v>
      </c>
      <c r="AB23" s="410"/>
      <c r="AC23" s="403"/>
      <c r="AD23" s="411"/>
      <c r="AE23" s="413"/>
      <c r="AF23" s="628">
        <f>IFERROR($AC23*$AE23/$AD23,0)</f>
        <v>0</v>
      </c>
      <c r="AG23" s="629" cm="1">
        <f t="array" ref="AG23">IF(($J23+$V23+$AF23)=0,0,INDEX(Premises!$A$30:$F$30,1,$CH23)/100)</f>
        <v>0</v>
      </c>
      <c r="AH23" s="414"/>
      <c r="AI23" s="415"/>
      <c r="AJ23" s="416"/>
      <c r="AK23" s="630">
        <f>IF(COUNTBLANK($AH23:$AI23),0,$AH23*$AI23*$AG23)</f>
        <v>0</v>
      </c>
      <c r="AL23" s="631">
        <f>($AK23+$AJ23*$AG23*(1-$AH23)+($J23+$V23+$AF23)*$AG23*(1-$AH23))</f>
        <v>0</v>
      </c>
      <c r="AM23" s="632" cm="1">
        <f t="array" ref="AM23">IF($CI23=0,0,IFERROR(INDEX(MHR[],$CI23,MATCH($CA23,MHR!$B$4:$AY$4,0)+11),0))</f>
        <v>0</v>
      </c>
      <c r="AN23" s="633" cm="1">
        <f t="array" ref="AN23">IF(($J23+$V23)=0,0,IFERROR(IF(INDEX(Premises!$A$41:$F$41,1,$CH23)&lt;&gt;0,INDEX(Premises!$A$41:$F$41,1,$CH23)/100,(IFERROR(($J23/$I23)*$AM23,0)/($V23+$J23+$R23+$AL23))),0))</f>
        <v>0</v>
      </c>
      <c r="AO23" s="634">
        <f>IF(($J23+$V23)=0,0,IF(IFERROR(($J23+$R23+$V23+$AL23)*$AN23,0)&lt;&gt;IFERROR(($J23/$I23)*$AM23,0),($J23+$R23+$V23+$AL23)*$AN23,IFERROR(($J23/$I23)*$AM23,0)))</f>
        <v>0</v>
      </c>
      <c r="AP23" s="635">
        <f>$V23+$J23+$R23+$AA23+$AF23+$AL23+$AO23</f>
        <v>0</v>
      </c>
      <c r="AQ23" s="410"/>
      <c r="AR23" s="409"/>
      <c r="AS23" s="636" cm="1">
        <f t="array" ref="AS23">IF($CJ23=0,0,IFERROR(INDEX(MAT[Einheit],$CJ23,1),0))</f>
        <v>0</v>
      </c>
      <c r="AT23" s="637" cm="1">
        <f t="array" ref="AT23">IF($CJ23=0,0,IFERROR(INDEX(MAT[Preis],$CJ23,1),0))</f>
        <v>0</v>
      </c>
      <c r="AU23" s="638">
        <f>$AR23*$AT23</f>
        <v>0</v>
      </c>
      <c r="AV23" s="639" cm="1">
        <f t="array" ref="AV23">IF($AU23&lt;=0,0,INDEX(Premises!$A$30:$F$30,1,$CH23)/100)</f>
        <v>0</v>
      </c>
      <c r="AW23" s="409"/>
      <c r="AX23" s="631">
        <f>IF($AV23=0,0,($AU23+$AW23)*$AV23)</f>
        <v>0</v>
      </c>
      <c r="AY23" s="640" cm="1">
        <f t="array" ref="AY23">IF($AT23&lt;=0,0,IFERROR(IF(INDEX(Premises!$A$42:$F$42,1,$CH23)&lt;&gt;0,INDEX(Premises!$A$42:$F$42,1,$CH23)/100,(INDEX(MAT[],$CJ23,MATCH($CA23,MAT!$B$4:$AE$4,0))/($AR23*$CK23*INDEX(Premises!$A$13:$F$13,1,$CH23))+INDEX(MAT[],$CJ23,MATCH($CA23,MAT!$B$4:$AE$4,0)+7))/$AT23),0))</f>
        <v>0</v>
      </c>
      <c r="AZ23" s="631">
        <f>IF($AY23=0,0,($AU23+$AX23)*$AY23)</f>
        <v>0</v>
      </c>
      <c r="BA23" s="635">
        <f>$AU23+$AX23+$AZ23</f>
        <v>0</v>
      </c>
      <c r="BB23" s="635">
        <f>$AP23+$BA23</f>
        <v>0</v>
      </c>
      <c r="BC23" s="639" cm="1">
        <f t="array" ref="BC23">IF($BB23&lt;=0,0,IF(BC$2=-1,0,INDEX(Premises!$A$32:$F$32,1,$CH23)/100))</f>
        <v>0</v>
      </c>
      <c r="BD23" s="631">
        <f>IF($AP23&lt;=0,0,($AP23-$AA23-$AL23)*$BC23)</f>
        <v>0</v>
      </c>
      <c r="BE23" s="639" cm="1">
        <f t="array" ref="BE23">IF($BB23&lt;=0,0,IF(BE$2=-1,0,INDEX(Premises!$A$33:$F$33,1,$CH23)/100))</f>
        <v>0</v>
      </c>
      <c r="BF23" s="631">
        <f>IF($BA23&lt;=0,0,$BA23*$BE23)</f>
        <v>0</v>
      </c>
      <c r="BG23" s="639" cm="1">
        <f t="array" ref="BG23">IF($BB23&lt;=0,0,IF(BG$2=-1,0,INDEX(Premises!$A$31:$F$31,1,$CH23)/100))</f>
        <v>0</v>
      </c>
      <c r="BH23" s="631">
        <f>(($AP23-$AA23-$AL23)+$BA23)*$BG23</f>
        <v>0</v>
      </c>
      <c r="BI23" s="635">
        <f>$BB23+$BD23+$BF23+$BH23</f>
        <v>0</v>
      </c>
      <c r="BJ23" s="639" cm="1">
        <f t="array" ref="BJ23">IF($BB23&lt;=0,0,IF(BJ$2=-1,0,INDEX(Premises!$A$35:$F$35,1,$CH23)/100))</f>
        <v>0</v>
      </c>
      <c r="BK23" s="631">
        <f>IF($AP23&lt;=0,0,($AP23-$AL23-$AA23)*$BJ23)</f>
        <v>0</v>
      </c>
      <c r="BL23" s="639" cm="1">
        <f t="array" ref="BL23">IF($BB23&lt;=0,0,IF(BL$2=-1,0,INDEX(Premises!$A$36:$F$36,1,$CH23)/100))</f>
        <v>0</v>
      </c>
      <c r="BM23" s="631">
        <f>IF($AU23&lt;=0,0,($AR23*$AT23)*$BL23)</f>
        <v>0</v>
      </c>
      <c r="BN23" s="639" cm="1">
        <f t="array" ref="BN23">IF($BB23&lt;=0,0,IF(BN$2=-1,0,INDEX(Premises!$A$34:$F$34,1,$CH23)/100))</f>
        <v>0</v>
      </c>
      <c r="BO23" s="631">
        <f>(($AP23-$AL23-$AA23)+($AR23*$AT23))*$BN23</f>
        <v>0</v>
      </c>
      <c r="BP23" s="639" cm="1">
        <f t="array" ref="BP23">IF($BI23=0,0,INDEX(Premises!$A$37:$F$37,1,$CH23)/100)</f>
        <v>0</v>
      </c>
      <c r="BQ23" s="409"/>
      <c r="BR23" s="631">
        <f>($BI23+$BK23+$BM23+$BO23)*$BP23+$BQ23</f>
        <v>0</v>
      </c>
      <c r="BS23" s="641">
        <f>BI23+BK23+BM23+BO23+BR23</f>
        <v>0</v>
      </c>
      <c r="BT23" s="641">
        <f>IF($BS23=0,0,$CK23*$BS23)</f>
        <v>0</v>
      </c>
      <c r="BU23" s="642">
        <f>IF($BT23=0,0,MAX(1,$EB23/$DP23))</f>
        <v>0</v>
      </c>
      <c r="BV23" s="1147"/>
      <c r="BW23" s="418"/>
      <c r="BX23" s="418"/>
      <c r="BY23" s="419"/>
      <c r="BZ23" s="968"/>
      <c r="CA23" s="280" cm="1">
        <f t="array" ref="CA23">IF($BZ23&gt;0,VALUE(LEFT($BZ23,IF(ISERROR(FIND("-",$BZ23)),LEN($BZ23),FIND("-",$BZ23)-1))),INDEX($CA$1:$CA23,MAX(1,$CD23)))</f>
        <v>1</v>
      </c>
      <c r="CB23" s="280" cm="1">
        <f t="array" ref="CB23">IF($BT23=0,0,IF(LEN($BZ23)-LEN(SUBSTITUTE($BZ23,"-",""))&gt;1,
VALUE(MID($BZ23,FIND("-",$BZ23)+1,FIND("-",$BZ23,FIND("-",$BZ23)+1)-FIND("-",$BZ23)-1)),IF($BZ23&gt;0,0,INDEX($CB$1:$CB23,MAX(1,$CD23)))))</f>
        <v>0</v>
      </c>
      <c r="CC23" s="280" cm="1">
        <f t="array" ref="CC23">IF($BT23=0,0,IF(NOT(ISERROR(FIND("-",BZ23))),
VALUE(RIGHT($BZ23,LEN($BZ23)-IF(LEN($BZ23)-LEN(SUBSTITUTE($BZ23,"-",""))=1,FIND("-",$BZ23),FIND("-",$BZ23,FIND("-",$BZ23)+1)))),
IF($BZ23&gt;0,0,INDEX($CC$1:$CC23,MAX(1,$CD23)))))</f>
        <v>0</v>
      </c>
      <c r="CD23" s="393">
        <f>MATCH(0,$CE$1:$CE23,-1)</f>
        <v>15</v>
      </c>
      <c r="CE23" s="280"/>
      <c r="CF23" s="394"/>
      <c r="CG23" s="393" cm="1">
        <f t="array" ref="CG23">INDEX($CG$1:$CG23,$CD23)</f>
        <v>4</v>
      </c>
      <c r="CH23" s="280">
        <f>MATCH($CA23,Premises!$A$10:$F$10,0)</f>
        <v>4</v>
      </c>
      <c r="CI23" s="280">
        <f>IF(ISBLANK($E23),0,IFERROR(MATCH($E23,MHR[Bezeichnung],0),0))</f>
        <v>0</v>
      </c>
      <c r="CJ23" s="394">
        <f>IF(ISBLANK($AQ23),0,IFERROR(MATCH($AQ23,MAT[Bezeichnung],0),0))</f>
        <v>0</v>
      </c>
      <c r="CK23" s="280" cm="1">
        <f t="array" ref="CK23">INDEX($D$1:$D23,$CD23)</f>
        <v>1</v>
      </c>
      <c r="CL23" s="280"/>
      <c r="CM23" s="395"/>
      <c r="CN23" s="396" cm="1">
        <f t="array" ref="CN23">IF($CB23=0,0,IF($CB23=INDEX($CB$1:$CB23,$CD23),INDEX($CN$1:$CN23,$CD23),$CP23))</f>
        <v>0</v>
      </c>
      <c r="CO23" s="395"/>
      <c r="CP23" s="396" cm="1">
        <f t="array" ref="CP23">IF($CC23=0,0,INDEX($CP$1:$CP23,$CD23))</f>
        <v>0</v>
      </c>
      <c r="CQ23" s="397"/>
      <c r="CR23" s="398"/>
      <c r="CS23" s="398"/>
      <c r="CT23" s="1152"/>
      <c r="CU23" s="1149"/>
      <c r="CV23" s="647">
        <f>$J23*$CK23</f>
        <v>0</v>
      </c>
      <c r="CW23" s="648">
        <f>$R23*$CK23</f>
        <v>0</v>
      </c>
      <c r="CX23" s="648">
        <f>$V23*$CK23</f>
        <v>0</v>
      </c>
      <c r="CY23" s="648">
        <f>$AA23*$CK23</f>
        <v>0</v>
      </c>
      <c r="CZ23" s="648">
        <f>$AF23*$CK23</f>
        <v>0</v>
      </c>
      <c r="DA23" s="648">
        <f>$AL23*$CK23</f>
        <v>0</v>
      </c>
      <c r="DB23" s="648">
        <f>$AO23*$CK23</f>
        <v>0</v>
      </c>
      <c r="DC23" s="649">
        <f>$AP23*$CK23</f>
        <v>0</v>
      </c>
      <c r="DD23" s="648">
        <f>$AU23*$CK23</f>
        <v>0</v>
      </c>
      <c r="DE23" s="648">
        <f>$AX23*$CK23</f>
        <v>0</v>
      </c>
      <c r="DF23" s="648">
        <f>$AZ23*$CK23</f>
        <v>0</v>
      </c>
      <c r="DG23" s="649">
        <f>$BA23*$CK23</f>
        <v>0</v>
      </c>
      <c r="DH23" s="649">
        <f>$BB23*$CK23</f>
        <v>0</v>
      </c>
      <c r="DI23" s="648">
        <f>$BD23*$CK23</f>
        <v>0</v>
      </c>
      <c r="DJ23" s="648">
        <f>$BF23*$CK23</f>
        <v>0</v>
      </c>
      <c r="DK23" s="648">
        <f>$BH23*$CK23</f>
        <v>0</v>
      </c>
      <c r="DL23" s="648">
        <f>$BK23*$CK23</f>
        <v>0</v>
      </c>
      <c r="DM23" s="648">
        <f>$BM23*$CK23</f>
        <v>0</v>
      </c>
      <c r="DN23" s="648">
        <f>$BO23*$CK23</f>
        <v>0</v>
      </c>
      <c r="DO23" s="648">
        <f>$BR23*$CK23</f>
        <v>0</v>
      </c>
      <c r="DP23" s="651">
        <f>$CK23*($BB23+$BD23+$BF23+$BH23+$BK23+$BM23+$BO23+$BR23)</f>
        <v>0</v>
      </c>
      <c r="DQ23" s="951">
        <f>IF($CB23=0,0,$DP23*_xlfn.XLOOKUP($CB23,Premises!$A$10:$F$10,Premises!$A$30:$F$30)/100)</f>
        <v>0</v>
      </c>
      <c r="DR23" s="650">
        <f>IFERROR(SUM($DP23:$DQ23)*IF(INDEX(Premises!$A$42:$F$42,1,MATCH($CB23,Premises!$A$10:$F$10,0))&gt;0,INDEX(Premises!$A$42:$F$42,1,MATCH($CB23,Premises!$A$10:$F$10,0))%,$CN23),0)</f>
        <v>0</v>
      </c>
      <c r="DS23" s="650" cm="1">
        <f t="array" ref="DS23">IF($CB23=0,0,SUM($DP23:$DR23)*_xlfn.XLOOKUP($CB23,Premises!$A$10:$F$10,IF(INDEX(Settings[],MATCH(3001,Settings[ID],0),2)="B",Premises!$A$33:$F$33,Premises!$A$31:$F$31))/100)</f>
        <v>0</v>
      </c>
      <c r="DT23" s="650" cm="1">
        <f t="array" ref="DT23">IF($CB23=0,0,$DP23*_xlfn.XLOOKUP($CB23,Premises!$A$10:$F$10,IF(INDEX(Settings[],MATCH(3002,Settings[ID],0),2)="B",Premises!$A$36:$F$36,Premises!$A$34:$F$34))/100)</f>
        <v>0</v>
      </c>
      <c r="DU23" s="650">
        <f>IF($CB23=0,0,SUM($DP23:$DT23)*_xlfn.XLOOKUP($CB23,Premises!$A$10:$F$10,Premises!$A$37:$F$37)/100)</f>
        <v>0</v>
      </c>
      <c r="DV23" s="954">
        <f>SUM($DP23:$DU23)</f>
        <v>0</v>
      </c>
      <c r="DW23" s="951">
        <f>IF($CC23=0,0,$DV23*_xlfn.XLOOKUP($CC23,Premises!$A$10:$F$10,Premises!$A$30:$F$30)/100)</f>
        <v>0</v>
      </c>
      <c r="DX23" s="650">
        <f>IFERROR(SUM($DV23:$DW23)*IF(INDEX(Premises!$A$42:$F$42,1,MATCH($CC23,Premises!$A$10:$F$10,0))&gt;0,INDEX(Premises!$A$42:$F$42,1,MATCH($CC23,Premises!$A$10:$F$10,0))%,$CP23),0)</f>
        <v>0</v>
      </c>
      <c r="DY23" s="650" cm="1">
        <f t="array" ref="DY23">IF($CC23=0,0,SUM($DV23:$DX23)*_xlfn.XLOOKUP($CC23,Premises!$A$10:$F$10,IF(INDEX(Settings[],MATCH(3001,Settings[ID],0),2)="B",Premises!$A$33:$F$33,Premises!$A$31:$F$31))/100)</f>
        <v>0</v>
      </c>
      <c r="DZ23" s="650" cm="1">
        <f t="array" ref="DZ23">IF($CC23=0,0,$DV23*_xlfn.XLOOKUP($CC23,Premises!$A$10:$F$10,IF(INDEX(Settings[],MATCH(3002,Settings[ID],0),2)="B",Premises!$A$36:$F$36,Premises!$A$34:$F$34))/100)</f>
        <v>0</v>
      </c>
      <c r="EA23" s="650">
        <f>IF($CC23=0,0,SUM($DV23:$DZ23)*_xlfn.XLOOKUP($CC23,Premises!$A$10:$F$10,Premises!$A$37:$F$37)/100)</f>
        <v>0</v>
      </c>
      <c r="EB23" s="651">
        <f>SUM($DV23:$EA23)</f>
        <v>0</v>
      </c>
      <c r="EC23" s="805"/>
      <c r="ED23" s="1104"/>
      <c r="EE23" s="650"/>
      <c r="EF23" s="1110"/>
      <c r="EG23" s="1108"/>
      <c r="EH23" s="1108"/>
      <c r="EI23" s="1108"/>
      <c r="EJ23" s="1108"/>
      <c r="EK23" s="1108"/>
      <c r="EL23" s="1108"/>
      <c r="EM23" s="1110"/>
      <c r="EN23" s="1108"/>
      <c r="EO23" s="1108"/>
      <c r="EP23" s="1108"/>
      <c r="EQ23" s="1108"/>
      <c r="ER23" s="1110"/>
      <c r="ES23" s="1108"/>
      <c r="ET23" s="1108"/>
      <c r="EU23" s="1108"/>
      <c r="EV23" s="1108"/>
      <c r="EW23" s="1108"/>
      <c r="EX23" s="1111"/>
      <c r="EY23" s="2"/>
      <c r="EZ23" s="2"/>
      <c r="FA23" s="2"/>
      <c r="FB23" s="2"/>
      <c r="FC23" s="2"/>
      <c r="FD23" s="2"/>
      <c r="FE23" s="2"/>
      <c r="FF23" s="2"/>
      <c r="FG23" s="2"/>
      <c r="FH23" s="2"/>
      <c r="FI23" s="2"/>
      <c r="FJ23" s="420"/>
      <c r="FK23" s="421"/>
      <c r="FL23" s="422"/>
      <c r="FM23" s="1153"/>
    </row>
    <row r="24" spans="1:169" s="13" customFormat="1" ht="12.75" customHeight="1">
      <c r="A24" s="221"/>
      <c r="B24" s="402"/>
      <c r="C24" s="403"/>
      <c r="D24" s="646"/>
      <c r="E24" s="404"/>
      <c r="F24" s="405"/>
      <c r="G24" s="405"/>
      <c r="H24" s="405"/>
      <c r="I24" s="637" cm="1">
        <f t="array" ref="I24">IF($CI24=0,0,IFERROR(INDEX(MHR[],$CI24,MATCH($CA24,MHR!$B$4:$AY$4,0)),0))</f>
        <v>0</v>
      </c>
      <c r="J24" s="634">
        <f t="shared" si="0"/>
        <v>0</v>
      </c>
      <c r="K24" s="406"/>
      <c r="L24" s="407"/>
      <c r="M24" s="871"/>
      <c r="N24" s="407"/>
      <c r="O24" s="405"/>
      <c r="P24" s="645" cm="1">
        <f t="array" ref="P24">IF($K24=0,0,IFERROR(ROUNDUP(IF(ISNUMBER($K24),$K24,INDEX($D$1:$D24,$CD24)*INDEX(Premises!$A$13:$F$13,1,$CH24)/IF(OR($K24="T",$K24="D"),250,IF($K24="W",50,IF($K24="M",12,IF(OR($K24="HJ",$K24="HY"),2,IF(OR($K24="J",$K24="Y"),1,0)))))),0),0))</f>
        <v>0</v>
      </c>
      <c r="Q24" s="637" cm="1">
        <f t="array" ref="Q24">IF($K24=0,0,IFERROR(INDEX(Premises!$A$22:$F$22,1,$CH24)*100/INDEX(Premises!$A$16:$F$16,1,$CH24),0))</f>
        <v>0</v>
      </c>
      <c r="R24" s="634">
        <f t="shared" si="1"/>
        <v>0</v>
      </c>
      <c r="S24" s="408"/>
      <c r="T24" s="409"/>
      <c r="U24" s="637" cm="1">
        <f t="array" ref="U24">IF(COUNTBLANK($S24:$T24),0,
IF(AND(INDEX(MHR[Schichtmodell],$CI24)&lt;&gt;0,INDEX(MHR[Schichtmodell],$CI24)&lt;&gt;INDEX(Premises!$A$20:$F$20,1,$CH24)),ExchangeRate*
IF(OR($T24="M",$T24="U"),IF(INDEX(MHR[Schichtmodell],$CI24)=1,INDEX(LOC[M1S],INDEX(Premises!$A$18:$F$18,1,$CH24+1)),IF(INDEX(MHR[Schichtmodell],$CI24)=2,INDEX(LOC[M2S],INDEX(Premises!$A$18:$F$18,1,$CH24+1),IF(INDEX(MHR[Schichtmodell],$CI24)=3,INDEX(LOC[M3S],INDEX(Premises!$A$18:$F$18,1,$CH24+1)),0)))),
IF(INDEX(MHR[Schichtmodell],$CI24)=1,INDEX(LOC[F1S],INDEX(Premises!$A$18:$F$18,1,$CH24+1)),IF(INDEX(MHR[Schichtmodell],$CI24)=2,INDEX(LOC[F2S],INDEX(Premises!$A$18:$F$18,1,$CH24+1)),IF(INDEX(MHR[Schichtmodell],$CI24)=3,INDEX(LOC[F3S],INDEX(Premises!$A$18:$F$18,1,$CH24+1)),0)))),
IF(OR($T24="M",$T24="U"),INDEX(Premises!$A$21:$F$21,1,$CH24),
IF(OR($T24="F",$T24="S"),INDEX(Premises!$A$22:$F$22,1,$CH24),0)))*100/INDEX(Premises!$A$16:$F$16,1,$CH24))</f>
        <v>0</v>
      </c>
      <c r="V24" s="631">
        <f t="shared" si="2"/>
        <v>0</v>
      </c>
      <c r="W24" s="410"/>
      <c r="X24" s="403"/>
      <c r="Y24" s="411"/>
      <c r="Z24" s="412"/>
      <c r="AA24" s="628">
        <f t="shared" si="3"/>
        <v>0</v>
      </c>
      <c r="AB24" s="410"/>
      <c r="AC24" s="403"/>
      <c r="AD24" s="411"/>
      <c r="AE24" s="413"/>
      <c r="AF24" s="628">
        <f t="shared" si="4"/>
        <v>0</v>
      </c>
      <c r="AG24" s="629" cm="1">
        <f t="array" ref="AG24">IF(($J24+$V24+$AF24)=0,0,INDEX(Premises!$A$30:$F$30,1,$CH24)/100)</f>
        <v>0</v>
      </c>
      <c r="AH24" s="414"/>
      <c r="AI24" s="415"/>
      <c r="AJ24" s="416"/>
      <c r="AK24" s="630">
        <f t="shared" si="5"/>
        <v>0</v>
      </c>
      <c r="AL24" s="631">
        <f t="shared" si="6"/>
        <v>0</v>
      </c>
      <c r="AM24" s="632" cm="1">
        <f t="array" ref="AM24">IF($CI24=0,0,IFERROR(INDEX(MHR[],$CI24,MATCH($CA24,MHR!$B$4:$AY$4,0)+11),0))</f>
        <v>0</v>
      </c>
      <c r="AN24" s="633" cm="1">
        <f t="array" ref="AN24">IF(($J24+$V24)=0,0,IFERROR(IF(INDEX(Premises!$A$41:$F$41,1,$CH24)&lt;&gt;0,INDEX(Premises!$A$41:$F$41,1,$CH24)/100,(IFERROR(($J24/$I24)*$AM24,0)/($V24+$J24+$R24+$AL24))),0))</f>
        <v>0</v>
      </c>
      <c r="AO24" s="634">
        <f t="shared" si="7"/>
        <v>0</v>
      </c>
      <c r="AP24" s="635">
        <f t="shared" si="8"/>
        <v>0</v>
      </c>
      <c r="AQ24" s="410"/>
      <c r="AR24" s="409"/>
      <c r="AS24" s="636" cm="1">
        <f t="array" ref="AS24">IF($CJ24=0,0,IFERROR(INDEX(MAT[Einheit],$CJ24,1),0))</f>
        <v>0</v>
      </c>
      <c r="AT24" s="637" cm="1">
        <f t="array" ref="AT24">IF($CJ24=0,0,IFERROR(INDEX(MAT[Preis],$CJ24,1),0))</f>
        <v>0</v>
      </c>
      <c r="AU24" s="638">
        <f t="shared" si="9"/>
        <v>0</v>
      </c>
      <c r="AV24" s="639" cm="1">
        <f t="array" ref="AV24">IF($AU24&lt;=0,0,INDEX(Premises!$A$30:$F$30,1,$CH24)/100)</f>
        <v>0</v>
      </c>
      <c r="AW24" s="409"/>
      <c r="AX24" s="631">
        <f t="shared" si="10"/>
        <v>0</v>
      </c>
      <c r="AY24" s="640" cm="1">
        <f t="array" ref="AY24">IF($AT24&lt;=0,0,IFERROR(IF(INDEX(Premises!$A$42:$F$42,1,$CH24)&lt;&gt;0,INDEX(Premises!$A$42:$F$42,1,$CH24)/100,(INDEX(MAT[],$CJ24,MATCH($CA24,MAT!$B$4:$AE$4,0))/($AR24*$CK24*INDEX(Premises!$A$13:$F$13,1,$CH24))+INDEX(MAT[],$CJ24,MATCH($CA24,MAT!$B$4:$AE$4,0)+7))/$AT24),0))</f>
        <v>0</v>
      </c>
      <c r="AZ24" s="631">
        <f t="shared" si="11"/>
        <v>0</v>
      </c>
      <c r="BA24" s="635">
        <f t="shared" si="12"/>
        <v>0</v>
      </c>
      <c r="BB24" s="635">
        <f t="shared" si="13"/>
        <v>0</v>
      </c>
      <c r="BC24" s="639" cm="1">
        <f t="array" ref="BC24">IF($BB24&lt;=0,0,IF(BC$2=-1,0,INDEX(Premises!$A$32:$F$32,1,$CH24)/100))</f>
        <v>0</v>
      </c>
      <c r="BD24" s="631">
        <f t="shared" si="14"/>
        <v>0</v>
      </c>
      <c r="BE24" s="639" cm="1">
        <f t="array" ref="BE24">IF($BB24&lt;=0,0,IF(BE$2=-1,0,INDEX(Premises!$A$33:$F$33,1,$CH24)/100))</f>
        <v>0</v>
      </c>
      <c r="BF24" s="631">
        <f t="shared" si="15"/>
        <v>0</v>
      </c>
      <c r="BG24" s="639" cm="1">
        <f t="array" ref="BG24">IF($BB24&lt;=0,0,IF(BG$2=-1,0,INDEX(Premises!$A$31:$F$31,1,$CH24)/100))</f>
        <v>0</v>
      </c>
      <c r="BH24" s="631">
        <f t="shared" si="16"/>
        <v>0</v>
      </c>
      <c r="BI24" s="635">
        <f t="shared" si="17"/>
        <v>0</v>
      </c>
      <c r="BJ24" s="639" cm="1">
        <f t="array" ref="BJ24">IF($BB24&lt;=0,0,IF(BJ$2=-1,0,INDEX(Premises!$A$35:$F$35,1,$CH24)/100))</f>
        <v>0</v>
      </c>
      <c r="BK24" s="631">
        <f t="shared" si="18"/>
        <v>0</v>
      </c>
      <c r="BL24" s="639" cm="1">
        <f t="array" ref="BL24">IF($BB24&lt;=0,0,IF(BL$2=-1,0,INDEX(Premises!$A$36:$F$36,1,$CH24)/100))</f>
        <v>0</v>
      </c>
      <c r="BM24" s="631">
        <f t="shared" si="19"/>
        <v>0</v>
      </c>
      <c r="BN24" s="639" cm="1">
        <f t="array" ref="BN24">IF($BB24&lt;=0,0,IF(BN$2=-1,0,INDEX(Premises!$A$34:$F$34,1,$CH24)/100))</f>
        <v>0</v>
      </c>
      <c r="BO24" s="631">
        <f t="shared" si="20"/>
        <v>0</v>
      </c>
      <c r="BP24" s="639" cm="1">
        <f t="array" ref="BP24">IF($BI24=0,0,INDEX(Premises!$A$37:$F$37,1,$CH24)/100)</f>
        <v>0</v>
      </c>
      <c r="BQ24" s="409"/>
      <c r="BR24" s="631">
        <f t="shared" si="21"/>
        <v>0</v>
      </c>
      <c r="BS24" s="641">
        <f t="shared" si="22"/>
        <v>0</v>
      </c>
      <c r="BT24" s="641">
        <f t="shared" si="23"/>
        <v>0</v>
      </c>
      <c r="BU24" s="642">
        <f t="shared" si="24"/>
        <v>0</v>
      </c>
      <c r="BV24" s="417"/>
      <c r="BW24" s="418"/>
      <c r="BX24" s="418"/>
      <c r="BY24" s="419"/>
      <c r="BZ24" s="968"/>
      <c r="CA24" s="280" cm="1">
        <f t="array" ref="CA24">IF($BZ24&gt;0,VALUE(LEFT($BZ24,IF(ISERROR(FIND("-",$BZ24)),LEN($BZ24),FIND("-",$BZ24)-1))),INDEX($CA$1:$CA24,MAX(1,$CD24)))</f>
        <v>1</v>
      </c>
      <c r="CB24" s="280" cm="1">
        <f t="array" ref="CB24">IF($BT24=0,0,IF(LEN($BZ24)-LEN(SUBSTITUTE($BZ24,"-",""))&gt;1,
VALUE(MID($BZ24,FIND("-",$BZ24)+1,FIND("-",$BZ24,FIND("-",$BZ24)+1)-FIND("-",$BZ24)-1)),IF($BZ24&gt;0,0,INDEX($CB$1:$CB24,MAX(1,$CD24)))))</f>
        <v>0</v>
      </c>
      <c r="CC24" s="280" cm="1">
        <f t="array" ref="CC24">IF($BT24=0,0,IF(NOT(ISERROR(FIND("-",BZ24))),
VALUE(RIGHT($BZ24,LEN($BZ24)-IF(LEN($BZ24)-LEN(SUBSTITUTE($BZ24,"-",""))=1,FIND("-",$BZ24),FIND("-",$BZ24,FIND("-",$BZ24)+1)))),
IF($BZ24&gt;0,0,INDEX($CC$1:$CC24,MAX(1,$CD24)))))</f>
        <v>0</v>
      </c>
      <c r="CD24" s="393">
        <f>MATCH(0,$CE$1:$CE24,-1)</f>
        <v>15</v>
      </c>
      <c r="CE24" s="280"/>
      <c r="CF24" s="394"/>
      <c r="CG24" s="393" cm="1">
        <f t="array" ref="CG24">INDEX($CG$1:$CG24,$CD24)</f>
        <v>4</v>
      </c>
      <c r="CH24" s="280">
        <f>MATCH($CA24,Premises!$A$10:$F$10,0)</f>
        <v>4</v>
      </c>
      <c r="CI24" s="280">
        <f>IF(ISBLANK($E24),0,IFERROR(MATCH($E24,MHR[Bezeichnung],0),0))</f>
        <v>0</v>
      </c>
      <c r="CJ24" s="394">
        <f>IF(ISBLANK($AQ24),0,IFERROR(MATCH($AQ24,MAT[Bezeichnung],0),0))</f>
        <v>0</v>
      </c>
      <c r="CK24" s="280" cm="1">
        <f t="array" ref="CK24">INDEX($D$1:$D24,$CD24)</f>
        <v>1</v>
      </c>
      <c r="CL24" s="280"/>
      <c r="CM24" s="395"/>
      <c r="CN24" s="396" cm="1">
        <f t="array" ref="CN24">IF($CB24=0,0,IF($CB24=INDEX($CB$1:$CB24,$CD24),INDEX($CN$1:$CN24,$CD24),$CP24))</f>
        <v>0</v>
      </c>
      <c r="CO24" s="395"/>
      <c r="CP24" s="396" cm="1">
        <f t="array" ref="CP24">IF($CC24=0,0,INDEX($CP$1:$CP24,$CD24))</f>
        <v>0</v>
      </c>
      <c r="CQ24" s="397"/>
      <c r="CR24" s="398"/>
      <c r="CS24" s="398"/>
      <c r="CT24" s="970"/>
      <c r="CU24" s="2"/>
      <c r="CV24" s="647">
        <f t="shared" si="25"/>
        <v>0</v>
      </c>
      <c r="CW24" s="648">
        <f t="shared" si="26"/>
        <v>0</v>
      </c>
      <c r="CX24" s="648">
        <f t="shared" si="27"/>
        <v>0</v>
      </c>
      <c r="CY24" s="648">
        <f t="shared" si="28"/>
        <v>0</v>
      </c>
      <c r="CZ24" s="648">
        <f t="shared" si="29"/>
        <v>0</v>
      </c>
      <c r="DA24" s="648">
        <f t="shared" si="30"/>
        <v>0</v>
      </c>
      <c r="DB24" s="648">
        <f t="shared" si="31"/>
        <v>0</v>
      </c>
      <c r="DC24" s="649">
        <f t="shared" si="32"/>
        <v>0</v>
      </c>
      <c r="DD24" s="648">
        <f t="shared" si="33"/>
        <v>0</v>
      </c>
      <c r="DE24" s="648">
        <f t="shared" si="34"/>
        <v>0</v>
      </c>
      <c r="DF24" s="648">
        <f t="shared" si="35"/>
        <v>0</v>
      </c>
      <c r="DG24" s="649">
        <f t="shared" si="36"/>
        <v>0</v>
      </c>
      <c r="DH24" s="649">
        <f t="shared" si="37"/>
        <v>0</v>
      </c>
      <c r="DI24" s="648">
        <f t="shared" si="38"/>
        <v>0</v>
      </c>
      <c r="DJ24" s="648">
        <f t="shared" si="39"/>
        <v>0</v>
      </c>
      <c r="DK24" s="648">
        <f t="shared" si="40"/>
        <v>0</v>
      </c>
      <c r="DL24" s="648">
        <f t="shared" si="41"/>
        <v>0</v>
      </c>
      <c r="DM24" s="648">
        <f t="shared" si="42"/>
        <v>0</v>
      </c>
      <c r="DN24" s="648">
        <f t="shared" si="43"/>
        <v>0</v>
      </c>
      <c r="DO24" s="648">
        <f t="shared" si="44"/>
        <v>0</v>
      </c>
      <c r="DP24" s="651">
        <f t="shared" si="45"/>
        <v>0</v>
      </c>
      <c r="DQ24" s="951">
        <f>IF($CB24=0,0,$DP24*_xlfn.XLOOKUP($CB24,Premises!$A$10:$F$10,Premises!$A$30:$F$30)/100)</f>
        <v>0</v>
      </c>
      <c r="DR24" s="650">
        <f>IFERROR(SUM($DP24:$DQ24)*IF(INDEX(Premises!$A$42:$F$42,1,MATCH($CB24,Premises!$A$10:$F$10,0))&gt;0,INDEX(Premises!$A$42:$F$42,1,MATCH($CB24,Premises!$A$10:$F$10,0))%,$CN24),0)</f>
        <v>0</v>
      </c>
      <c r="DS24" s="650" cm="1">
        <f t="array" ref="DS24">IF($CB24=0,0,SUM($DP24:$DR24)*_xlfn.XLOOKUP($CB24,Premises!$A$10:$F$10,IF(INDEX(Settings[],MATCH(3001,Settings[ID],0),2)="B",Premises!$A$33:$F$33,Premises!$A$31:$F$31))/100)</f>
        <v>0</v>
      </c>
      <c r="DT24" s="650" cm="1">
        <f t="array" ref="DT24">IF($CB24=0,0,$DP24*_xlfn.XLOOKUP($CB24,Premises!$A$10:$F$10,IF(INDEX(Settings[],MATCH(3002,Settings[ID],0),2)="B",Premises!$A$36:$F$36,Premises!$A$34:$F$34))/100)</f>
        <v>0</v>
      </c>
      <c r="DU24" s="650">
        <f>IF($CB24=0,0,SUM($DP24:$DT24)*_xlfn.XLOOKUP($CB24,Premises!$A$10:$F$10,Premises!$A$37:$F$37)/100)</f>
        <v>0</v>
      </c>
      <c r="DV24" s="954">
        <f t="shared" si="46"/>
        <v>0</v>
      </c>
      <c r="DW24" s="951">
        <f>IF($CC24=0,0,$DV24*_xlfn.XLOOKUP($CC24,Premises!$A$10:$F$10,Premises!$A$30:$F$30)/100)</f>
        <v>0</v>
      </c>
      <c r="DX24" s="650">
        <f>IFERROR(SUM($DV24:$DW24)*IF(INDEX(Premises!$A$42:$F$42,1,MATCH($CC24,Premises!$A$10:$F$10,0))&gt;0,INDEX(Premises!$A$42:$F$42,1,MATCH($CC24,Premises!$A$10:$F$10,0))%,$CP24),0)</f>
        <v>0</v>
      </c>
      <c r="DY24" s="650" cm="1">
        <f t="array" ref="DY24">IF($CC24=0,0,SUM($DV24:$DX24)*_xlfn.XLOOKUP($CC24,Premises!$A$10:$F$10,IF(INDEX(Settings[],MATCH(3001,Settings[ID],0),2)="B",Premises!$A$33:$F$33,Premises!$A$31:$F$31))/100)</f>
        <v>0</v>
      </c>
      <c r="DZ24" s="650" cm="1">
        <f t="array" ref="DZ24">IF($CC24=0,0,$DV24*_xlfn.XLOOKUP($CC24,Premises!$A$10:$F$10,IF(INDEX(Settings[],MATCH(3002,Settings[ID],0),2)="B",Premises!$A$36:$F$36,Premises!$A$34:$F$34))/100)</f>
        <v>0</v>
      </c>
      <c r="EA24" s="650">
        <f>IF($CC24=0,0,SUM($DV24:$DZ24)*_xlfn.XLOOKUP($CC24,Premises!$A$10:$F$10,Premises!$A$37:$F$37)/100)</f>
        <v>0</v>
      </c>
      <c r="EB24" s="651">
        <f t="shared" si="47"/>
        <v>0</v>
      </c>
      <c r="EC24" s="805"/>
      <c r="ED24" s="1104"/>
      <c r="EE24" s="650"/>
      <c r="EF24" s="1110"/>
      <c r="EG24" s="1108"/>
      <c r="EH24" s="1108"/>
      <c r="EI24" s="1108"/>
      <c r="EJ24" s="1108"/>
      <c r="EK24" s="1108"/>
      <c r="EL24" s="1108"/>
      <c r="EM24" s="1110"/>
      <c r="EN24" s="1108"/>
      <c r="EO24" s="1108"/>
      <c r="EP24" s="1108"/>
      <c r="EQ24" s="1108"/>
      <c r="ER24" s="1110"/>
      <c r="ES24" s="1108"/>
      <c r="ET24" s="1108"/>
      <c r="EU24" s="1108"/>
      <c r="EV24" s="1108"/>
      <c r="EW24" s="1108"/>
      <c r="EX24" s="1111"/>
      <c r="EY24" s="2"/>
      <c r="EZ24" s="2"/>
      <c r="FA24" s="2"/>
      <c r="FB24" s="2"/>
      <c r="FC24" s="2"/>
      <c r="FD24" s="2"/>
      <c r="FE24" s="2"/>
      <c r="FF24" s="2"/>
      <c r="FG24" s="2"/>
      <c r="FH24" s="2"/>
      <c r="FI24" s="2"/>
      <c r="FJ24" s="420"/>
      <c r="FK24" s="421"/>
      <c r="FL24" s="422"/>
      <c r="FM24" s="970"/>
    </row>
    <row r="25" spans="1:169" s="13" customFormat="1" ht="12.75" customHeight="1">
      <c r="A25" s="221"/>
      <c r="B25" s="387" t="str">
        <f>BOM!$A$5</f>
        <v>01-01-01 Big PCB</v>
      </c>
      <c r="C25" s="388"/>
      <c r="D25" s="389" cm="1">
        <f t="array" ref="D25">IF($CG25=0,0,INDEX(BOM!$N:$N,$CG25))</f>
        <v>1</v>
      </c>
      <c r="E25" s="644" t="s">
        <v>664</v>
      </c>
      <c r="F25" s="644" t="s">
        <v>664</v>
      </c>
      <c r="G25" s="644" t="s">
        <v>664</v>
      </c>
      <c r="H25" s="644" t="s">
        <v>664</v>
      </c>
      <c r="I25" s="644" t="s">
        <v>664</v>
      </c>
      <c r="J25" s="644" t="s">
        <v>664</v>
      </c>
      <c r="K25" s="644" t="s">
        <v>664</v>
      </c>
      <c r="L25" s="644" t="s">
        <v>664</v>
      </c>
      <c r="M25" s="644" t="s">
        <v>664</v>
      </c>
      <c r="N25" s="644" t="s">
        <v>664</v>
      </c>
      <c r="O25" s="644" t="s">
        <v>664</v>
      </c>
      <c r="P25" s="644" t="s">
        <v>664</v>
      </c>
      <c r="Q25" s="644" t="s">
        <v>664</v>
      </c>
      <c r="R25" s="644" t="s">
        <v>664</v>
      </c>
      <c r="S25" s="644" t="s">
        <v>664</v>
      </c>
      <c r="T25" s="644" t="s">
        <v>664</v>
      </c>
      <c r="U25" s="644" t="s">
        <v>664</v>
      </c>
      <c r="V25" s="644" t="s">
        <v>664</v>
      </c>
      <c r="W25" s="644" t="s">
        <v>664</v>
      </c>
      <c r="X25" s="644" t="s">
        <v>664</v>
      </c>
      <c r="Y25" s="644" t="s">
        <v>664</v>
      </c>
      <c r="Z25" s="644" t="s">
        <v>664</v>
      </c>
      <c r="AA25" s="644" t="s">
        <v>664</v>
      </c>
      <c r="AB25" s="644" t="s">
        <v>664</v>
      </c>
      <c r="AC25" s="644" t="s">
        <v>664</v>
      </c>
      <c r="AD25" s="644" t="s">
        <v>664</v>
      </c>
      <c r="AE25" s="644" t="s">
        <v>664</v>
      </c>
      <c r="AF25" s="644" t="s">
        <v>664</v>
      </c>
      <c r="AG25" s="644" t="s">
        <v>664</v>
      </c>
      <c r="AH25" s="644" t="s">
        <v>664</v>
      </c>
      <c r="AI25" s="644" t="s">
        <v>664</v>
      </c>
      <c r="AJ25" s="644" t="s">
        <v>664</v>
      </c>
      <c r="AK25" s="644" t="s">
        <v>664</v>
      </c>
      <c r="AL25" s="644" t="s">
        <v>664</v>
      </c>
      <c r="AM25" s="644" t="s">
        <v>664</v>
      </c>
      <c r="AN25" s="644" t="s">
        <v>664</v>
      </c>
      <c r="AO25" s="644" t="s">
        <v>664</v>
      </c>
      <c r="AP25" s="644" t="s">
        <v>664</v>
      </c>
      <c r="AQ25" s="644" t="s">
        <v>664</v>
      </c>
      <c r="AR25" s="644" t="s">
        <v>664</v>
      </c>
      <c r="AS25" s="644" t="s">
        <v>664</v>
      </c>
      <c r="AT25" s="644" t="s">
        <v>664</v>
      </c>
      <c r="AU25" s="644" t="s">
        <v>664</v>
      </c>
      <c r="AV25" s="644" t="s">
        <v>664</v>
      </c>
      <c r="AW25" s="644" t="s">
        <v>664</v>
      </c>
      <c r="AX25" s="644" t="s">
        <v>664</v>
      </c>
      <c r="AY25" s="644" t="s">
        <v>664</v>
      </c>
      <c r="AZ25" s="644" t="s">
        <v>664</v>
      </c>
      <c r="BA25" s="644" t="s">
        <v>664</v>
      </c>
      <c r="BB25" s="644" t="s">
        <v>664</v>
      </c>
      <c r="BC25" s="644" t="s">
        <v>664</v>
      </c>
      <c r="BD25" s="644" t="s">
        <v>664</v>
      </c>
      <c r="BE25" s="644" t="s">
        <v>664</v>
      </c>
      <c r="BF25" s="644" t="s">
        <v>664</v>
      </c>
      <c r="BG25" s="644" t="s">
        <v>664</v>
      </c>
      <c r="BH25" s="644" t="s">
        <v>664</v>
      </c>
      <c r="BI25" s="644" t="s">
        <v>664</v>
      </c>
      <c r="BJ25" s="644" t="s">
        <v>664</v>
      </c>
      <c r="BK25" s="644" t="s">
        <v>664</v>
      </c>
      <c r="BL25" s="644" t="s">
        <v>664</v>
      </c>
      <c r="BM25" s="644" t="s">
        <v>664</v>
      </c>
      <c r="BN25" s="644" t="s">
        <v>664</v>
      </c>
      <c r="BO25" s="644" t="s">
        <v>664</v>
      </c>
      <c r="BP25" s="644" t="s">
        <v>664</v>
      </c>
      <c r="BQ25" s="644" t="s">
        <v>664</v>
      </c>
      <c r="BR25" s="644" t="s">
        <v>664</v>
      </c>
      <c r="BS25" s="920">
        <f>SUM(INDEX($BS:$BS,ROW()+1):INDEX($BS:$BS,$CE25))</f>
        <v>6.8586965184647504</v>
      </c>
      <c r="BT25" s="920">
        <f>SUM(INDEX($BT:$BT,ROW()+1):INDEX($BT:$BT,$CE25))</f>
        <v>6.8586965184647504</v>
      </c>
      <c r="BU25" s="644" t="s">
        <v>664</v>
      </c>
      <c r="BV25" s="643">
        <f>SUMPRODUCT($BS25:INDEX($BS:$BS,$CE25),$BU25:INDEX($BU:$BU,$CE25))</f>
        <v>6.8586965184647504</v>
      </c>
      <c r="BW25" s="390">
        <f>$D25*$BV25</f>
        <v>6.8586965184647504</v>
      </c>
      <c r="BX25" s="816" cm="1">
        <f t="array" ref="BX25">IF($CG25=0,0,IF(INDEX(BOM!$P:$P,$CG25)=0,0,
SUMPRODUCT($BW25:INDEX($BW:$BW,IFERROR(ROW()+MATCH($CL25,INDEX($CL:$CL,ROW()+1):INDEX($CL:$CL,MAX($CE:$CE)),0)-1,MAX($CE:$CE))),
($CL25:INDEX($CL:$CL,IFERROR(ROW()+MATCH($CL25,INDEX($CL:$CL,ROW()+1):INDEX($CL:$CL,MAX($CE:$CE)),0)-1,MAX($CE:$CE)))&gt;=$CL25)*1)
))</f>
        <v>0</v>
      </c>
      <c r="BY25" s="391"/>
      <c r="BZ25" s="392" cm="1">
        <f t="array" ref="BZ25">IF($CG25=0,0,INDEX(BOM!$M:$M,$CG25))</f>
        <v>1</v>
      </c>
      <c r="CA25" s="280">
        <f>IF($BZ25&gt;0,VALUE(LEFT($BZ25,IF(ISERROR(FIND("-",$BZ25)),LEN($BZ25),FIND("-",$BZ25)-1))),INDEX($BZ$1:BZ25,MATCH("",$A$1:A25,-1)))</f>
        <v>1</v>
      </c>
      <c r="CB25" s="280">
        <f>IF(LEN($BZ25)-LEN(SUBSTITUTE($BZ25,"-",))&gt;1,
VALUE(MID($BZ25,FIND("-",$BZ25)+1,FIND("-",$BZ25,FIND("-",$BZ25)+1)-FIND("-",$BZ25)-1)),0)</f>
        <v>0</v>
      </c>
      <c r="CC25" s="280">
        <f>IF(NOT(ISERROR(FIND("-",BZ25))),
VALUE(RIGHT($BZ25,LEN($BZ25)-IF(LEN($BZ25)-LEN(SUBSTITUTE($BZ25,"-",""))=1,FIND("-",$BZ25),FIND("-",$BZ25,FIND("-",$BZ25)+1)))),0)</f>
        <v>0</v>
      </c>
      <c r="CD25" s="393"/>
      <c r="CE25" s="280" cm="1">
        <f t="array" ref="CE25">ROW()+MATCH(TRUE,_xlfn.ISFORMULA(INDEX(BW:BW,ROW()+1):INDEX(BW:BW,ROW()+MaxNumberOfRowsPerBlock)),0)-1</f>
        <v>36</v>
      </c>
      <c r="CF25" s="394" cm="1">
        <f t="array" ref="CF25">IF(CL25=0,-1,IF(CL25=1,7,MAX(IF($CL$1:$CL25=CL25-1,ROW($CL$1:$CL25),0))))</f>
        <v>15</v>
      </c>
      <c r="CG25" s="393">
        <f>IFERROR(MATCH($B25,BOM!$A:$A,0),0)</f>
        <v>5</v>
      </c>
      <c r="CH25" s="280">
        <f>MATCH($CA25,Premises!$A$10:$F$10,0)</f>
        <v>4</v>
      </c>
      <c r="CI25" s="280"/>
      <c r="CJ25" s="394"/>
      <c r="CK25" s="280"/>
      <c r="CL25" s="280" cm="1">
        <f t="array" ref="CL25">IF($CG25=0,0,INDEX(BOM!$C:$C,$CG25))</f>
        <v>3</v>
      </c>
      <c r="CM25" s="395" cm="1">
        <f t="array" ref="CM25">IF($CG25=0,0,IF(OR($CF25&lt;0,AND(INDEX($CB:$CB,$CF25)=$CB25,INDEX($CC:$CC,$CF25)=$CC25)),0,IF(INDEX(BOM!$P:$P,$CG25)=0,$BT25,(SUMIF($CA25:INDEX($CA:$CA,IFERROR(ROW()+MATCH($CL25,INDEX($CL:$CL,ROW()+1):INDEX($CL:$CL,MAX($CE:$CE)),0)-1,MAX($CE:$CE))),$CA25,$BT25:INDEX($BT:$BT,IFERROR(ROW()+MATCH($CL25,INDEX($CL:$CL,ROW()+1):INDEX($CL:$CL,MAX($CE:$CE)),0)-1,MAX($CE:$CE))))+SUMIF($CB25:INDEX($CB:$CB,IFERROR(ROW()+MATCH($CL25,INDEX($CL:$CL,ROW()+1):INDEX($CL:$CL,MAX($CE:$CE)),0)-1,MAX($CE:$CE))),$CA25,$BT25:INDEX($BT:$BT,IFERROR(ROW()+MATCH($CL25,INDEX($CL:$CL,ROW()+1):INDEX($CL:$CL,MAX($CE:$CE)),0)-1,MAX($CE:$CE)))))/2)))</f>
        <v>0</v>
      </c>
      <c r="CN25" s="396" cm="1">
        <f t="array" ref="CN25">IFERROR(IF($CB25=0,0,IF($CM25=0,INDEX($CN$1:$CN25,$CF25),INDEX(IF($CM25&lt;0.2,Premises!$A$43:$F$43,IF($CM25&lt;5,Premises!$A$46:$F$46,Premises!$A$49:$F$49)),MATCH($CB25,Premises!$A$10:$F$10,0))/($CM25*INDEX(Premises!$A$13:$F$13,MATCH($CB25,Premises!$A$10:$F$10,0)))+INDEX(IF($CM25&lt;0.2,Premises!$A$44:$F$44,IF($CM25&lt;5,Premises!$A$47:$F$47,Premises!$A$50:$F$50)),MATCH($CB25,Premises!$A$10:$F$10,0))+INDEX(IF($CM25&lt;0.2,Premises!$A$45:$F$45,IF($CM25&lt;5,Premises!$A$48:$F$48,Premises!$A$51:$F$51)),MATCH($CB25,Premises!$A$10:$F$10,0))/$CM25)),0.01)</f>
        <v>0</v>
      </c>
      <c r="CO25" s="395" cm="1">
        <f t="array" ref="CO25">IF($CG25=0,0,IF(INDEX($CC:$CC,$CF25)=$CC25,0,$CM25*(1+IFERROR(INDEX(Premises!$A$52:$F$52,1,MATCH($CB25,Premises!$A$10:$F$10,0)),0)+$CN25)))</f>
        <v>0</v>
      </c>
      <c r="CP25" s="396" cm="1">
        <f t="array" ref="CP25">IFERROR(IF($CC25=0,0,IF($CO25=0,INDEX($CP$1:$CP25,$CF25),INDEX(IF($CO25&lt;0.2,Premises!$A$43:$F$43,IF($CO25&lt;5,Premises!$A$46:$F$46,Premises!$A$49:$F$49)),MATCH($CC25,Premises!$A$10:$F$10,0))/($CO25*INDEX(Premises!$A$13:$F$13,MATCH($CC25,Premises!$A$10:$F$10,0)))+INDEX(IF($CO25&lt;0.2,Premises!$A$44:$F$44,IF($CO25&lt;5,Premises!$A$47:$F$47,Premises!$A$50:$F$50)),MATCH($CC25,Premises!$A$10:$F$10,0))+INDEX(IF($CO25&lt;0.2,Premises!$A$45:$F$45,IF($CO25&lt;5,Premises!$A$48:$F$48,Premises!$A$51:$F$51)),MATCH($CC25,Premises!$A$10:$F$10,0))/$CO25)),0.01)</f>
        <v>0</v>
      </c>
      <c r="CQ25" s="397" cm="1">
        <f t="array" ref="CQ25">IF(AND($CM25=0,$CO25=0),0,INDEX(BOM!$O:$O,$CG25))</f>
        <v>0</v>
      </c>
      <c r="CR25" s="398" cm="1">
        <f t="array" ref="CR25">IF(OR($CM25=0,$CN25=0),0,ACOS(COS(RADIANS(90-INDEX(Premises!$A$66:$F$66,1,$CH25)))*COS(RADIANS(90-INDEX(Premises!$A$66:$F$66,1,MATCH($CB25,Premises!$A$10:$F$10,0))))
+SIN(RADIANS(90-INDEX(Premises!$A$66:$F$66,1,$CH25)))*SIN(RADIANS(90-INDEX(Premises!$A$66:$F$66,1,MATCH($CB25,Premises!$A$10:$F$10,0)))) * COS(RADIANS(INDEX(Premises!$A$67:$F$67,1,$CH25)-INDEX(Premises!$A$67:$F$67,1,MATCH($CB25,Premises!$A$10:$F$10,0)))))*6371)</f>
        <v>0</v>
      </c>
      <c r="CS25" s="398" cm="1">
        <f t="array" ref="CS25">IF(OR($CO25=0,$CP25=0),0,
IF($CR25=0,ACOS(COS(RADIANS(90-INDEX(Premises!$A$66:$F$66,1,$CH25)))*COS(RADIANS(90-INDEX(Premises!$A$66:$F$66,1,MATCH($CC25,Premises!$A$10:$F$10,0))))
+SIN(RADIANS(90-INDEX(Premises!$A$66:$F$66,1,$CH25)))*SIN(RADIANS(90-INDEX(Premises!$A$66:$F$66,1,MATCH($CC25,Premises!$A$10:$F$10,0))))*COS(RADIANS(INDEX(Premises!$A$67:$F$67,1,$CH25)-INDEX(Premises!$A$67:$F$67,1,MATCH($CC25,Premises!$A$10:$F$10,0)))))*6371,
ACOS(COS(RADIANS(90-INDEX(Premises!$A$66:$F$66,1,MATCH($CB25,Premises!$A$10:$F$10,0))))*COS(RADIANS(90-INDEX(Premises!$A$66:$F$66,1,MATCH($CC25,Premises!$A$10:$F$10,0))))
+SIN(RADIANS(90-INDEX(Premises!$A$66:$F$66,1,MATCH($CB25,Premises!$A$10:$F$10,0))))*SIN(RADIANS(90-INDEX(Premises!$A$66:$F$66,1,MATCH($CC25,Premises!$A$10:$F$10,0))))*COS(RADIANS(INDEX(Premises!$A$67:$F$67,1,MATCH($CB25,Premises!$A$10:$F$10,0))-INDEX(Premises!$A$67:$F$67,1,MATCH($CC25,Premises!$A$10:$F$10,0)))))*6371))</f>
        <v>0</v>
      </c>
      <c r="CT25" s="969"/>
      <c r="CU25" s="2"/>
      <c r="CV25" s="399">
        <f>SUM(INDEX(CV:CV,ROW()+1):INDEX(CV:CV,$CE25))</f>
        <v>0.22232566660901676</v>
      </c>
      <c r="CW25" s="400">
        <f>SUM(INDEX(CW:CW,ROW()+1):INDEX(CW:CW,$CE25))</f>
        <v>2.9077461684746387E-2</v>
      </c>
      <c r="CX25" s="400">
        <f>SUM(INDEX(CX:CX,ROW()+1):INDEX(CX:CX,$CE25))</f>
        <v>9.6427062500000008E-2</v>
      </c>
      <c r="CY25" s="400">
        <f>SUM(INDEX(CY:CY,ROW()+1):INDEX(CY:CY,$CE25))</f>
        <v>0</v>
      </c>
      <c r="CZ25" s="400">
        <f>SUM(INDEX(CZ:CZ,ROW()+1):INDEX(CZ:CZ,$CE25))</f>
        <v>0</v>
      </c>
      <c r="DA25" s="400">
        <f>SUM(INDEX(DA:DA,ROW()+1):INDEX(DA:DA,$CE25))</f>
        <v>3.1875272910901679E-3</v>
      </c>
      <c r="DB25" s="400">
        <f>SUM(INDEX(DB:DB,ROW()+1):INDEX(DB:DB,$CE25))</f>
        <v>4.9878985972222338E-2</v>
      </c>
      <c r="DC25" s="400">
        <f>SUM(INDEX(DC:DC,ROW()+1):INDEX(DC:DC,$CE25))</f>
        <v>0.40089670405707567</v>
      </c>
      <c r="DD25" s="400">
        <f>SUM(INDEX(DD:DD,ROW()+1):INDEX(DD:DD,$CE25))</f>
        <v>5.303179842893095</v>
      </c>
      <c r="DE25" s="400">
        <f>SUM(INDEX(DE:DE,ROW()+1):INDEX(DE:DE,$CE25))</f>
        <v>5.3031798428930951E-2</v>
      </c>
      <c r="DF25" s="400">
        <f>SUM(INDEX(DF:DF,ROW()+1):INDEX(DF:DF,$CE25))</f>
        <v>3.581753746231358E-2</v>
      </c>
      <c r="DG25" s="400">
        <f>SUM(INDEX(DG:DG,ROW()+1):INDEX(DG:DG,$CE25))</f>
        <v>5.3920291787843393</v>
      </c>
      <c r="DH25" s="400">
        <f>SUM(INDEX(DH:DH,ROW()+1):INDEX(DH:DH,$CE25))</f>
        <v>5.7929258828414145</v>
      </c>
      <c r="DI25" s="400">
        <f>SUM(INDEX(DI:DI,ROW()+1):INDEX(DI:DI,$CE25))</f>
        <v>0</v>
      </c>
      <c r="DJ25" s="400">
        <f>SUM(INDEX(DJ:DJ,ROW()+1):INDEX(DJ:DJ,$CE25))</f>
        <v>0</v>
      </c>
      <c r="DK25" s="400">
        <f>SUM(INDEX(DK:DK,ROW()+1):INDEX(DK:DK,$CE25))</f>
        <v>0.72371729444379063</v>
      </c>
      <c r="DL25" s="400">
        <f>SUM(INDEX(DL:DL,ROW()+1):INDEX(DL:DL,$CE25))</f>
        <v>0</v>
      </c>
      <c r="DM25" s="400">
        <f>SUM(INDEX(DM:DM,ROW()+1):INDEX(DM:DM,$CE25))</f>
        <v>0</v>
      </c>
      <c r="DN25" s="400">
        <f>SUM(INDEX(DN:DN,ROW()+1):INDEX(DN:DN,$CE25))</f>
        <v>0.34205334117954483</v>
      </c>
      <c r="DO25" s="400">
        <f>SUM(INDEX(DO:DO,ROW()+1):INDEX(DO:DO,$CE25))</f>
        <v>0</v>
      </c>
      <c r="DP25" s="400">
        <f>SUM(INDEX(DP:DP,ROW()+1):INDEX(DP:DP,$CE25))</f>
        <v>6.8586965184647504</v>
      </c>
      <c r="DQ25" s="400">
        <f>SUM(INDEX(DQ:DQ,ROW()+1):INDEX(DQ:DQ,$CE25))</f>
        <v>0</v>
      </c>
      <c r="DR25" s="400">
        <f>SUM(INDEX(DR:DR,ROW()+1):INDEX(DR:DR,$CE25))</f>
        <v>0</v>
      </c>
      <c r="DS25" s="400">
        <f>SUM(INDEX(DS:DS,ROW()+1):INDEX(DS:DS,$CE25))</f>
        <v>0</v>
      </c>
      <c r="DT25" s="400">
        <f>SUM(INDEX(DT:DT,ROW()+1):INDEX(DT:DT,$CE25))</f>
        <v>0</v>
      </c>
      <c r="DU25" s="400">
        <f>SUM(INDEX(DU:DU,ROW()+1):INDEX(DU:DU,$CE25))</f>
        <v>0</v>
      </c>
      <c r="DV25" s="400">
        <f>SUM(INDEX(DV:DV,ROW()+1):INDEX(DV:DV,$CE25))</f>
        <v>6.8586965184647504</v>
      </c>
      <c r="DW25" s="400">
        <f>SUM(INDEX(DW:DW,ROW()+1):INDEX(DW:DW,$CE25))</f>
        <v>0</v>
      </c>
      <c r="DX25" s="400">
        <f>SUM(INDEX(DX:DX,ROW()+1):INDEX(DX:DX,$CE25))</f>
        <v>0</v>
      </c>
      <c r="DY25" s="400">
        <f>SUM(INDEX(DY:DY,ROW()+1):INDEX(DY:DY,$CE25))</f>
        <v>0</v>
      </c>
      <c r="DZ25" s="400">
        <f>SUM(INDEX(DZ:DZ,ROW()+1):INDEX(DZ:DZ,$CE25))</f>
        <v>0</v>
      </c>
      <c r="EA25" s="400">
        <f>SUM(INDEX(EA:EA,ROW()+1):INDEX(EA:EA,$CE25))</f>
        <v>0</v>
      </c>
      <c r="EB25" s="401">
        <f>SUM(INDEX(EB:EB,ROW()+1):INDEX(EB:EB,$CE25))</f>
        <v>6.8586965184647504</v>
      </c>
      <c r="EC25" s="805"/>
      <c r="ED25" s="399"/>
      <c r="EE25" s="400"/>
      <c r="EF25" s="1112"/>
      <c r="EG25" s="1112"/>
      <c r="EH25" s="1112"/>
      <c r="EI25" s="1112"/>
      <c r="EJ25" s="1112"/>
      <c r="EK25" s="1112"/>
      <c r="EL25" s="1112"/>
      <c r="EM25" s="1112"/>
      <c r="EN25" s="1112"/>
      <c r="EO25" s="1112"/>
      <c r="EP25" s="1112"/>
      <c r="EQ25" s="1112"/>
      <c r="ER25" s="1112"/>
      <c r="ES25" s="1112"/>
      <c r="ET25" s="1112"/>
      <c r="EU25" s="1112"/>
      <c r="EV25" s="1112"/>
      <c r="EW25" s="1112"/>
      <c r="EX25" s="1113"/>
      <c r="EY25" s="2"/>
      <c r="EZ25" s="2"/>
      <c r="FA25" s="2"/>
      <c r="FB25" s="2"/>
      <c r="FC25" s="2"/>
      <c r="FD25" s="2"/>
      <c r="FE25" s="2"/>
      <c r="FF25" s="2"/>
      <c r="FG25" s="2"/>
      <c r="FH25" s="2"/>
      <c r="FI25" s="2"/>
      <c r="FJ25" s="399"/>
      <c r="FK25" s="400"/>
      <c r="FL25" s="401"/>
      <c r="FM25" s="969"/>
    </row>
    <row r="26" spans="1:169" s="13" customFormat="1" ht="12.75" customHeight="1">
      <c r="A26" s="221"/>
      <c r="B26" s="402" t="s">
        <v>34</v>
      </c>
      <c r="C26" s="403"/>
      <c r="D26" s="646"/>
      <c r="E26" s="404"/>
      <c r="F26" s="405"/>
      <c r="G26" s="405"/>
      <c r="H26" s="405"/>
      <c r="I26" s="637" cm="1">
        <f t="array" ref="I26">IF($CI26=0,0,IFERROR(INDEX(MHR[],$CI26,MATCH($CA26,MHR!$B$4:$AY$4,0)),0))</f>
        <v>0</v>
      </c>
      <c r="J26" s="634">
        <f t="shared" ref="J26:J36" si="48">IF(COUNTBLANK($E26:$H26),0,IFERROR($F26/$H26/IF($G26="s",3600,IF($G26="min",60,IF($G26="h",1,0)))*I26,0))</f>
        <v>0</v>
      </c>
      <c r="K26" s="406"/>
      <c r="L26" s="407"/>
      <c r="M26" s="871"/>
      <c r="N26" s="407"/>
      <c r="O26" s="405"/>
      <c r="P26" s="645" cm="1">
        <f t="array" ref="P26">IF($K26=0,0,IFERROR(ROUNDUP(IF(ISNUMBER($K26),$K26,INDEX($D$1:$D26,$CD26)*INDEX(Premises!$A$13:$F$13,1,$CH26)/IF(OR($K26="T",$K26="D"),250,IF($K26="W",50,IF($K26="M",12,IF(OR($K26="HJ",$K26="HY"),2,IF(OR($K26="J",$K26="Y"),1,0)))))),0),0))</f>
        <v>0</v>
      </c>
      <c r="Q26" s="637" cm="1">
        <f t="array" ref="Q26">IF($K26=0,0,IFERROR(INDEX(Premises!$A$22:$F$22,1,$CH26)*100/INDEX(Premises!$A$16:$F$16,1,$CH26),0))</f>
        <v>0</v>
      </c>
      <c r="R26" s="634">
        <f t="shared" ref="R26:R36" si="49">IF($P26=0,0,IFERROR(($L26/60*($I26+$Q26*$M26)+($N26/60*($Q26*$O26)))/$P26,0))</f>
        <v>0</v>
      </c>
      <c r="S26" s="408"/>
      <c r="T26" s="409"/>
      <c r="U26" s="637" cm="1">
        <f t="array" ref="U26">IF(COUNTBLANK($S26:$T26),0,
IF(AND(INDEX(MHR[Schichtmodell],$CI26)&lt;&gt;0,INDEX(MHR[Schichtmodell],$CI26)&lt;&gt;INDEX(Premises!$A$20:$F$20,1,$CH26)),ExchangeRate*
IF(OR($T26="M",$T26="U"),IF(INDEX(MHR[Schichtmodell],$CI26)=1,INDEX(LOC[M1S],INDEX(Premises!$A$18:$F$18,1,$CH26+1)),IF(INDEX(MHR[Schichtmodell],$CI26)=2,INDEX(LOC[M2S],INDEX(Premises!$A$18:$F$18,1,$CH26+1),IF(INDEX(MHR[Schichtmodell],$CI26)=3,INDEX(LOC[M3S],INDEX(Premises!$A$18:$F$18,1,$CH26+1)),0)))),
IF(INDEX(MHR[Schichtmodell],$CI26)=1,INDEX(LOC[F1S],INDEX(Premises!$A$18:$F$18,1,$CH26+1)),IF(INDEX(MHR[Schichtmodell],$CI26)=2,INDEX(LOC[F2S],INDEX(Premises!$A$18:$F$18,1,$CH26+1)),IF(INDEX(MHR[Schichtmodell],$CI26)=3,INDEX(LOC[F3S],INDEX(Premises!$A$18:$F$18,1,$CH26+1)),0)))),
IF(OR($T26="M",$T26="U"),INDEX(Premises!$A$21:$F$21,1,$CH26),
IF(OR($T26="F",$T26="S"),INDEX(Premises!$A$22:$F$22,1,$CH26),0)))*100/INDEX(Premises!$A$16:$F$16,1,$CH26))</f>
        <v>0</v>
      </c>
      <c r="V26" s="631">
        <f t="shared" ref="V26:V36" si="50">IF($U26=0,0,IFERROR($F26/$H26/IF($G26="s",3600,IF($G26="min",60,IF($G26="h",1,0)))*$S26*$U26,0))</f>
        <v>0</v>
      </c>
      <c r="W26" s="410"/>
      <c r="X26" s="403"/>
      <c r="Y26" s="411"/>
      <c r="Z26" s="412"/>
      <c r="AA26" s="628">
        <f t="shared" ref="AA26:AA36" si="51">IFERROR($X26*$Z26/$Y26/MAX(1,$H26),0)</f>
        <v>0</v>
      </c>
      <c r="AB26" s="410"/>
      <c r="AC26" s="403"/>
      <c r="AD26" s="411"/>
      <c r="AE26" s="413"/>
      <c r="AF26" s="628">
        <f t="shared" ref="AF26:AF36" si="52">IFERROR($AC26*$AE26/$AD26,0)</f>
        <v>0</v>
      </c>
      <c r="AG26" s="629" cm="1">
        <f t="array" ref="AG26">IF(($J26+$V26+$AF26)=0,0,INDEX(Premises!$A$30:$F$30,1,$CH26)/100)</f>
        <v>0</v>
      </c>
      <c r="AH26" s="414"/>
      <c r="AI26" s="415"/>
      <c r="AJ26" s="416"/>
      <c r="AK26" s="630">
        <f t="shared" ref="AK26:AK36" si="53">IF(COUNTBLANK($AH26:$AI26),0,$AH26*$AI26*$AG26)</f>
        <v>0</v>
      </c>
      <c r="AL26" s="631">
        <f t="shared" ref="AL26:AL36" si="54">($AK26+$AJ26*$AG26*(1-$AH26)+($J26+$V26+$AF26)*$AG26*(1-$AH26))</f>
        <v>0</v>
      </c>
      <c r="AM26" s="632" cm="1">
        <f t="array" ref="AM26">IF($CI26=0,0,IFERROR(INDEX(MHR[],$CI26,MATCH($CA26,MHR!$B$4:$AY$4,0)+11),0))</f>
        <v>0</v>
      </c>
      <c r="AN26" s="633" cm="1">
        <f t="array" ref="AN26">IF(($J26+$V26)=0,0,IFERROR(IF(INDEX(Premises!$A$41:$F$41,1,$CH26)&lt;&gt;0,INDEX(Premises!$A$41:$F$41,1,$CH26)/100,(IFERROR(($J26/$I26)*$AM26,0)/($V26+$J26+$R26+$AL26))),0))</f>
        <v>0</v>
      </c>
      <c r="AO26" s="634">
        <f t="shared" ref="AO26:AO36" si="55">IF(($J26+$V26)=0,0,IF(IFERROR(($J26+$R26+$V26+$AL26)*$AN26,0)&lt;&gt;IFERROR(($J26/$I26)*$AM26,0),($J26+$R26+$V26+$AL26)*$AN26,IFERROR(($J26/$I26)*$AM26,0)))</f>
        <v>0</v>
      </c>
      <c r="AP26" s="635">
        <f t="shared" ref="AP26:AP36" si="56">$V26+$J26+$R26+$AA26+$AF26+$AL26+$AO26</f>
        <v>0</v>
      </c>
      <c r="AQ26" s="410" t="str">
        <f>VLOOKUP($B25,BOM,5,0)</f>
        <v>Big PCB Material</v>
      </c>
      <c r="AR26" s="409">
        <v>1</v>
      </c>
      <c r="AS26" s="636" t="str" cm="1">
        <f t="array" ref="AS26">IF($CJ26=0,0,IFERROR(INDEX(MAT[Einheit],$CJ26,1),0))</f>
        <v>pcs.</v>
      </c>
      <c r="AT26" s="637" cm="1">
        <f t="array" ref="AT26">IF($CJ26=0,0,IFERROR(INDEX(MAT[Preis],$CJ26,1),0))</f>
        <v>5.303179842893095</v>
      </c>
      <c r="AU26" s="638">
        <f t="shared" ref="AU26:AU36" si="57">$AR26*$AT26</f>
        <v>5.303179842893095</v>
      </c>
      <c r="AV26" s="639" cm="1">
        <f t="array" ref="AV26">IF($AU26&lt;=0,0,INDEX(Premises!$A$30:$F$30,1,$CH26)/100)</f>
        <v>0.01</v>
      </c>
      <c r="AW26" s="409"/>
      <c r="AX26" s="631">
        <f t="shared" ref="AX26:AX36" si="58">IF($AV26=0,0,($AU26+$AW26)*$AV26)</f>
        <v>5.3031798428930951E-2</v>
      </c>
      <c r="AY26" s="640" cm="1">
        <f t="array" ref="AY26">IF($AT26&lt;=0,0,IFERROR(IF(INDEX(Premises!$A$42:$F$42,1,$CH26)&lt;&gt;0,INDEX(Premises!$A$42:$F$42,1,$CH26)/100,(INDEX(MAT[],$CJ26,MATCH($CA26,MAT!$B$4:$AE$4,0))/($AR26*$CK26*INDEX(Premises!$A$13:$F$13,1,$CH26))+INDEX(MAT[],$CJ26,MATCH($CA26,MAT!$B$4:$AE$4,0)+7))/$AT26),0))</f>
        <v>6.6871027249911022E-3</v>
      </c>
      <c r="AZ26" s="631">
        <f t="shared" ref="AZ26:AZ36" si="59">IF($AY26=0,0,($AU26+$AX26)*$AY26)</f>
        <v>3.581753746231358E-2</v>
      </c>
      <c r="BA26" s="635">
        <f t="shared" ref="BA26:BA36" si="60">$AU26+$AX26+$AZ26</f>
        <v>5.3920291787843393</v>
      </c>
      <c r="BB26" s="635">
        <f t="shared" ref="BB26:BB36" si="61">$AP26+$BA26</f>
        <v>5.3920291787843393</v>
      </c>
      <c r="BC26" s="639" cm="1">
        <f t="array" ref="BC26">IF($BB26&lt;=0,0,IF(BC$2=-1,0,INDEX(Premises!$A$32:$F$32,1,$CH26)/100))</f>
        <v>0</v>
      </c>
      <c r="BD26" s="631">
        <f t="shared" ref="BD26:BD36" si="62">IF($AP26&lt;=0,0,($AP26-$AA26-$AL26)*$BC26)</f>
        <v>0</v>
      </c>
      <c r="BE26" s="639" cm="1">
        <f t="array" ref="BE26">IF($BB26&lt;=0,0,IF(BE$2=-1,0,INDEX(Premises!$A$33:$F$33,1,$CH26)/100))</f>
        <v>0</v>
      </c>
      <c r="BF26" s="631">
        <f t="shared" ref="BF26:BF36" si="63">IF($BA26&lt;=0,0,$BA26*$BE26)</f>
        <v>0</v>
      </c>
      <c r="BG26" s="639" cm="1">
        <f t="array" ref="BG26">IF($BB26&lt;=0,0,IF(BG$2=-1,0,INDEX(Premises!$A$31:$F$31,1,$CH26)/100))</f>
        <v>0.125</v>
      </c>
      <c r="BH26" s="631">
        <f t="shared" ref="BH26:BH36" si="64">(($AP26-$AA26-$AL26)+$BA26)*$BG26</f>
        <v>0.67400364734804241</v>
      </c>
      <c r="BI26" s="635">
        <f t="shared" ref="BI26:BI36" si="65">$BB26+$BD26+$BF26+$BH26</f>
        <v>6.0660328261323819</v>
      </c>
      <c r="BJ26" s="639" cm="1">
        <f t="array" ref="BJ26">IF($BB26&lt;=0,0,IF(BJ$2=-1,0,INDEX(Premises!$A$35:$F$35,1,$CH26)/100))</f>
        <v>0</v>
      </c>
      <c r="BK26" s="631">
        <f t="shared" ref="BK26:BK36" si="66">IF($AP26&lt;=0,0,($AP26-$AL26-$AA26)*$BJ26)</f>
        <v>0</v>
      </c>
      <c r="BL26" s="639" cm="1">
        <f t="array" ref="BL26">IF($BB26&lt;=0,0,IF(BL$2=-1,0,INDEX(Premises!$A$36:$F$36,1,$CH26)/100))</f>
        <v>0</v>
      </c>
      <c r="BM26" s="631">
        <f t="shared" ref="BM26:BM36" si="67">IF($AU26&lt;=0,0,($AR26*$AT26)*$BL26)</f>
        <v>0</v>
      </c>
      <c r="BN26" s="639" cm="1">
        <f t="array" ref="BN26">IF($BB26&lt;=0,0,IF(BN$2=-1,0,INDEX(Premises!$A$34:$F$34,1,$CH26)/100))</f>
        <v>0.06</v>
      </c>
      <c r="BO26" s="631">
        <f t="shared" ref="BO26:BO36" si="68">(($AP26-$AL26-$AA26)+($AR26*$AT26))*$BN26</f>
        <v>0.31819079057358568</v>
      </c>
      <c r="BP26" s="639" cm="1">
        <f t="array" ref="BP26">IF($BI26=0,0,INDEX(Premises!$A$37:$F$37,1,$CH26)/100)</f>
        <v>0</v>
      </c>
      <c r="BQ26" s="409"/>
      <c r="BR26" s="631">
        <f t="shared" ref="BR26:BR36" si="69">($BI26+$BK26+$BM26+$BO26)*$BP26+$BQ26</f>
        <v>0</v>
      </c>
      <c r="BS26" s="641">
        <f t="shared" ref="BS26:BS36" si="70">BI26+BK26+BM26+BO26+BR26</f>
        <v>6.3842236167059676</v>
      </c>
      <c r="BT26" s="641">
        <f t="shared" ref="BT26:BT36" si="71">IF($BS26=0,0,$CK26*$BS26)</f>
        <v>6.3842236167059676</v>
      </c>
      <c r="BU26" s="642">
        <f t="shared" ref="BU26:BU36" si="72">IF($BT26=0,0,MAX(1,$EB26/$DP26))</f>
        <v>1</v>
      </c>
      <c r="BV26" s="417"/>
      <c r="BW26" s="418"/>
      <c r="BX26" s="418"/>
      <c r="BY26" s="419"/>
      <c r="BZ26" s="968"/>
      <c r="CA26" s="280" cm="1">
        <f t="array" ref="CA26">IF($BZ26&gt;0,VALUE(LEFT($BZ26,IF(ISERROR(FIND("-",$BZ26)),LEN($BZ26),FIND("-",$BZ26)-1))),INDEX($CA$1:$CA26,MAX(1,$CD26)))</f>
        <v>1</v>
      </c>
      <c r="CB26" s="280" cm="1">
        <f t="array" ref="CB26">IF($BT26=0,0,IF(LEN($BZ26)-LEN(SUBSTITUTE($BZ26,"-",""))&gt;1,
VALUE(MID($BZ26,FIND("-",$BZ26)+1,FIND("-",$BZ26,FIND("-",$BZ26)+1)-FIND("-",$BZ26)-1)),IF($BZ26&gt;0,0,INDEX($CB$1:$CB26,MAX(1,$CD26)))))</f>
        <v>0</v>
      </c>
      <c r="CC26" s="280" cm="1">
        <f t="array" ref="CC26">IF($BT26=0,0,IF(NOT(ISERROR(FIND("-",BZ26))),
VALUE(RIGHT($BZ26,LEN($BZ26)-IF(LEN($BZ26)-LEN(SUBSTITUTE($BZ26,"-",""))=1,FIND("-",$BZ26),FIND("-",$BZ26,FIND("-",$BZ26)+1)))),
IF($BZ26&gt;0,0,INDEX($CC$1:$CC26,MAX(1,$CD26)))))</f>
        <v>0</v>
      </c>
      <c r="CD26" s="393">
        <f>MATCH(0,$CE$1:$CE26,-1)</f>
        <v>25</v>
      </c>
      <c r="CE26" s="280"/>
      <c r="CF26" s="394"/>
      <c r="CG26" s="393" cm="1">
        <f t="array" ref="CG26">INDEX($CG$1:$CG26,$CD26)</f>
        <v>5</v>
      </c>
      <c r="CH26" s="280">
        <f>MATCH($CA26,Premises!$A$10:$F$10,0)</f>
        <v>4</v>
      </c>
      <c r="CI26" s="280">
        <f>IF(ISBLANK($E26),0,IFERROR(MATCH($E26,MHR[Bezeichnung],0),0))</f>
        <v>0</v>
      </c>
      <c r="CJ26" s="394">
        <f>IF(ISBLANK($AQ26),0,IFERROR(MATCH($AQ26,MAT[Bezeichnung],0),0))</f>
        <v>7</v>
      </c>
      <c r="CK26" s="280" cm="1">
        <f t="array" ref="CK26">INDEX($D$1:$D26,$CD26)</f>
        <v>1</v>
      </c>
      <c r="CL26" s="280"/>
      <c r="CM26" s="395"/>
      <c r="CN26" s="396" cm="1">
        <f t="array" ref="CN26">IF($CB26=0,0,IF($CB26=INDEX($CB$1:$CB26,$CD26),INDEX($CN$1:$CN26,$CD26),$CP26))</f>
        <v>0</v>
      </c>
      <c r="CO26" s="395"/>
      <c r="CP26" s="396" cm="1">
        <f t="array" ref="CP26">IF($CC26=0,0,INDEX($CP$1:$CP26,$CD26))</f>
        <v>0</v>
      </c>
      <c r="CQ26" s="397"/>
      <c r="CR26" s="398"/>
      <c r="CS26" s="398"/>
      <c r="CT26" s="970"/>
      <c r="CU26" s="2"/>
      <c r="CV26" s="647">
        <f t="shared" ref="CV26:CV36" si="73">$J26*$CK26</f>
        <v>0</v>
      </c>
      <c r="CW26" s="648">
        <f t="shared" ref="CW26:CW36" si="74">$R26*$CK26</f>
        <v>0</v>
      </c>
      <c r="CX26" s="648">
        <f t="shared" ref="CX26:CX36" si="75">$V26*$CK26</f>
        <v>0</v>
      </c>
      <c r="CY26" s="648">
        <f t="shared" ref="CY26:CY36" si="76">$AA26*$CK26</f>
        <v>0</v>
      </c>
      <c r="CZ26" s="648">
        <f t="shared" ref="CZ26:CZ36" si="77">$AF26*$CK26</f>
        <v>0</v>
      </c>
      <c r="DA26" s="648">
        <f t="shared" ref="DA26:DA36" si="78">$AL26*$CK26</f>
        <v>0</v>
      </c>
      <c r="DB26" s="648">
        <f t="shared" ref="DB26:DB36" si="79">$AO26*$CK26</f>
        <v>0</v>
      </c>
      <c r="DC26" s="649">
        <f t="shared" ref="DC26:DC36" si="80">$AP26*$CK26</f>
        <v>0</v>
      </c>
      <c r="DD26" s="648">
        <f t="shared" ref="DD26:DD36" si="81">$AU26*$CK26</f>
        <v>5.303179842893095</v>
      </c>
      <c r="DE26" s="648">
        <f t="shared" ref="DE26:DE36" si="82">$AX26*$CK26</f>
        <v>5.3031798428930951E-2</v>
      </c>
      <c r="DF26" s="648">
        <f t="shared" ref="DF26:DF36" si="83">$AZ26*$CK26</f>
        <v>3.581753746231358E-2</v>
      </c>
      <c r="DG26" s="649">
        <f t="shared" ref="DG26:DG36" si="84">$BA26*$CK26</f>
        <v>5.3920291787843393</v>
      </c>
      <c r="DH26" s="649">
        <f t="shared" ref="DH26:DH36" si="85">$BB26*$CK26</f>
        <v>5.3920291787843393</v>
      </c>
      <c r="DI26" s="648">
        <f t="shared" ref="DI26:DI36" si="86">$BD26*$CK26</f>
        <v>0</v>
      </c>
      <c r="DJ26" s="648">
        <f t="shared" ref="DJ26:DJ36" si="87">$BF26*$CK26</f>
        <v>0</v>
      </c>
      <c r="DK26" s="648">
        <f t="shared" ref="DK26:DK36" si="88">$BH26*$CK26</f>
        <v>0.67400364734804241</v>
      </c>
      <c r="DL26" s="648">
        <f t="shared" ref="DL26:DL36" si="89">$BK26*$CK26</f>
        <v>0</v>
      </c>
      <c r="DM26" s="648">
        <f t="shared" ref="DM26:DM36" si="90">$BM26*$CK26</f>
        <v>0</v>
      </c>
      <c r="DN26" s="648">
        <f t="shared" ref="DN26:DN36" si="91">$BO26*$CK26</f>
        <v>0.31819079057358568</v>
      </c>
      <c r="DO26" s="648">
        <f t="shared" ref="DO26:DO36" si="92">$BR26*$CK26</f>
        <v>0</v>
      </c>
      <c r="DP26" s="651">
        <f t="shared" ref="DP26:DP36" si="93">$CK26*($BB26+$BD26+$BF26+$BH26+$BK26+$BM26+$BO26+$BR26)</f>
        <v>6.3842236167059676</v>
      </c>
      <c r="DQ26" s="951">
        <f>IF($CB26=0,0,$DP26*_xlfn.XLOOKUP($CB26,Premises!$A$10:$F$10,Premises!$A$30:$F$30)/100)</f>
        <v>0</v>
      </c>
      <c r="DR26" s="650">
        <f>IFERROR(SUM($DP26:$DQ26)*IF(INDEX(Premises!$A$42:$F$42,1,MATCH($CB26,Premises!$A$10:$F$10,0))&gt;0,INDEX(Premises!$A$42:$F$42,1,MATCH($CB26,Premises!$A$10:$F$10,0))%,$CN26),0)</f>
        <v>0</v>
      </c>
      <c r="DS26" s="650" cm="1">
        <f t="array" ref="DS26">IF($CB26=0,0,SUM($DP26:$DR26)*_xlfn.XLOOKUP($CB26,Premises!$A$10:$F$10,IF(INDEX(Settings[],MATCH(3001,Settings[ID],0),2)="B",Premises!$A$33:$F$33,Premises!$A$31:$F$31))/100)</f>
        <v>0</v>
      </c>
      <c r="DT26" s="650" cm="1">
        <f t="array" ref="DT26">IF($CB26=0,0,$DP26*_xlfn.XLOOKUP($CB26,Premises!$A$10:$F$10,IF(INDEX(Settings[],MATCH(3002,Settings[ID],0),2)="B",Premises!$A$36:$F$36,Premises!$A$34:$F$34))/100)</f>
        <v>0</v>
      </c>
      <c r="DU26" s="650">
        <f>IF($CB26=0,0,SUM($DP26:$DT26)*_xlfn.XLOOKUP($CB26,Premises!$A$10:$F$10,Premises!$A$37:$F$37)/100)</f>
        <v>0</v>
      </c>
      <c r="DV26" s="954">
        <f t="shared" ref="DV26:DV36" si="94">SUM($DP26:$DU26)</f>
        <v>6.3842236167059676</v>
      </c>
      <c r="DW26" s="951">
        <f>IF($CC26=0,0,$DV26*_xlfn.XLOOKUP($CC26,Premises!$A$10:$F$10,Premises!$A$30:$F$30)/100)</f>
        <v>0</v>
      </c>
      <c r="DX26" s="650">
        <f>IFERROR(SUM($DV26:$DW26)*IF(INDEX(Premises!$A$42:$F$42,1,MATCH($CC26,Premises!$A$10:$F$10,0))&gt;0,INDEX(Premises!$A$42:$F$42,1,MATCH($CC26,Premises!$A$10:$F$10,0))%,$CP26),0)</f>
        <v>0</v>
      </c>
      <c r="DY26" s="650" cm="1">
        <f t="array" ref="DY26">IF($CC26=0,0,SUM($DV26:$DX26)*_xlfn.XLOOKUP($CC26,Premises!$A$10:$F$10,IF(INDEX(Settings[],MATCH(3001,Settings[ID],0),2)="B",Premises!$A$33:$F$33,Premises!$A$31:$F$31))/100)</f>
        <v>0</v>
      </c>
      <c r="DZ26" s="650" cm="1">
        <f t="array" ref="DZ26">IF($CC26=0,0,$DV26*_xlfn.XLOOKUP($CC26,Premises!$A$10:$F$10,IF(INDEX(Settings[],MATCH(3002,Settings[ID],0),2)="B",Premises!$A$36:$F$36,Premises!$A$34:$F$34))/100)</f>
        <v>0</v>
      </c>
      <c r="EA26" s="650">
        <f>IF($CC26=0,0,SUM($DV26:$DZ26)*_xlfn.XLOOKUP($CC26,Premises!$A$10:$F$10,Premises!$A$37:$F$37)/100)</f>
        <v>0</v>
      </c>
      <c r="EB26" s="651">
        <f t="shared" ref="EB26:EB36" si="95">SUM($DV26:$EA26)</f>
        <v>6.3842236167059676</v>
      </c>
      <c r="EC26" s="805"/>
      <c r="ED26" s="1104"/>
      <c r="EE26" s="650"/>
      <c r="EF26" s="1110"/>
      <c r="EG26" s="1108"/>
      <c r="EH26" s="1108"/>
      <c r="EI26" s="1108"/>
      <c r="EJ26" s="1108"/>
      <c r="EK26" s="1108"/>
      <c r="EL26" s="1108"/>
      <c r="EM26" s="1110"/>
      <c r="EN26" s="1108"/>
      <c r="EO26" s="1108"/>
      <c r="EP26" s="1108"/>
      <c r="EQ26" s="1108"/>
      <c r="ER26" s="1110"/>
      <c r="ES26" s="1108"/>
      <c r="ET26" s="1108"/>
      <c r="EU26" s="1108"/>
      <c r="EV26" s="1108"/>
      <c r="EW26" s="1108"/>
      <c r="EX26" s="1111"/>
      <c r="EY26" s="2"/>
      <c r="EZ26" s="2"/>
      <c r="FA26" s="2"/>
      <c r="FB26" s="2"/>
      <c r="FC26" s="2"/>
      <c r="FD26" s="2"/>
      <c r="FE26" s="2"/>
      <c r="FF26" s="2"/>
      <c r="FG26" s="2"/>
      <c r="FH26" s="2"/>
      <c r="FI26" s="2"/>
      <c r="FJ26" s="420"/>
      <c r="FK26" s="421"/>
      <c r="FL26" s="422"/>
      <c r="FM26" s="970"/>
    </row>
    <row r="27" spans="1:169" s="13" customFormat="1" ht="12.75" customHeight="1">
      <c r="A27" s="221"/>
      <c r="B27" s="402"/>
      <c r="C27" s="403"/>
      <c r="D27" s="646"/>
      <c r="E27" s="404"/>
      <c r="F27" s="405"/>
      <c r="G27" s="405"/>
      <c r="H27" s="405"/>
      <c r="I27" s="637" cm="1">
        <f t="array" ref="I27">IF($CI27=0,0,IFERROR(INDEX(MHR[],$CI27,MATCH($CA27,MHR!$B$4:$AY$4,0)),0))</f>
        <v>0</v>
      </c>
      <c r="J27" s="634">
        <f t="shared" si="48"/>
        <v>0</v>
      </c>
      <c r="K27" s="406"/>
      <c r="L27" s="407"/>
      <c r="M27" s="871"/>
      <c r="N27" s="407"/>
      <c r="O27" s="405"/>
      <c r="P27" s="645" cm="1">
        <f t="array" ref="P27">IF($K27=0,0,IFERROR(ROUNDUP(IF(ISNUMBER($K27),$K27,INDEX($D$1:$D27,$CD27)*INDEX(Premises!$A$13:$F$13,1,$CH27)/IF(OR($K27="T",$K27="D"),250,IF($K27="W",50,IF($K27="M",12,IF(OR($K27="HJ",$K27="HY"),2,IF(OR($K27="J",$K27="Y"),1,0)))))),0),0))</f>
        <v>0</v>
      </c>
      <c r="Q27" s="637" cm="1">
        <f t="array" ref="Q27">IF($K27=0,0,IFERROR(INDEX(Premises!$A$22:$F$22,1,$CH27)*100/INDEX(Premises!$A$16:$F$16,1,$CH27),0))</f>
        <v>0</v>
      </c>
      <c r="R27" s="634">
        <f t="shared" si="49"/>
        <v>0</v>
      </c>
      <c r="S27" s="408"/>
      <c r="T27" s="409"/>
      <c r="U27" s="637" cm="1">
        <f t="array" ref="U27">IF(COUNTBLANK($S27:$T27),0,
IF(AND(INDEX(MHR[Schichtmodell],$CI27)&lt;&gt;0,INDEX(MHR[Schichtmodell],$CI27)&lt;&gt;INDEX(Premises!$A$20:$F$20,1,$CH27)),ExchangeRate*
IF(OR($T27="M",$T27="U"),IF(INDEX(MHR[Schichtmodell],$CI27)=1,INDEX(LOC[M1S],INDEX(Premises!$A$18:$F$18,1,$CH27+1)),IF(INDEX(MHR[Schichtmodell],$CI27)=2,INDEX(LOC[M2S],INDEX(Premises!$A$18:$F$18,1,$CH27+1),IF(INDEX(MHR[Schichtmodell],$CI27)=3,INDEX(LOC[M3S],INDEX(Premises!$A$18:$F$18,1,$CH27+1)),0)))),
IF(INDEX(MHR[Schichtmodell],$CI27)=1,INDEX(LOC[F1S],INDEX(Premises!$A$18:$F$18,1,$CH27+1)),IF(INDEX(MHR[Schichtmodell],$CI27)=2,INDEX(LOC[F2S],INDEX(Premises!$A$18:$F$18,1,$CH27+1)),IF(INDEX(MHR[Schichtmodell],$CI27)=3,INDEX(LOC[F3S],INDEX(Premises!$A$18:$F$18,1,$CH27+1)),0)))),
IF(OR($T27="M",$T27="U"),INDEX(Premises!$A$21:$F$21,1,$CH27),
IF(OR($T27="F",$T27="S"),INDEX(Premises!$A$22:$F$22,1,$CH27),0)))*100/INDEX(Premises!$A$16:$F$16,1,$CH27))</f>
        <v>0</v>
      </c>
      <c r="V27" s="631">
        <f t="shared" si="50"/>
        <v>0</v>
      </c>
      <c r="W27" s="410"/>
      <c r="X27" s="403"/>
      <c r="Y27" s="411"/>
      <c r="Z27" s="412"/>
      <c r="AA27" s="628">
        <f t="shared" si="51"/>
        <v>0</v>
      </c>
      <c r="AB27" s="410"/>
      <c r="AC27" s="403"/>
      <c r="AD27" s="411"/>
      <c r="AE27" s="413"/>
      <c r="AF27" s="628">
        <f t="shared" si="52"/>
        <v>0</v>
      </c>
      <c r="AG27" s="629" cm="1">
        <f t="array" ref="AG27">IF(($J27+$V27+$AF27)=0,0,INDEX(Premises!$A$30:$F$30,1,$CH27)/100)</f>
        <v>0</v>
      </c>
      <c r="AH27" s="414"/>
      <c r="AI27" s="415"/>
      <c r="AJ27" s="416"/>
      <c r="AK27" s="630">
        <f t="shared" si="53"/>
        <v>0</v>
      </c>
      <c r="AL27" s="631">
        <f t="shared" si="54"/>
        <v>0</v>
      </c>
      <c r="AM27" s="632" cm="1">
        <f t="array" ref="AM27">IF($CI27=0,0,IFERROR(INDEX(MHR[],$CI27,MATCH($CA27,MHR!$B$4:$AY$4,0)+11),0))</f>
        <v>0</v>
      </c>
      <c r="AN27" s="633" cm="1">
        <f t="array" ref="AN27">IF(($J27+$V27)=0,0,IFERROR(IF(INDEX(Premises!$A$41:$F$41,1,$CH27)&lt;&gt;0,INDEX(Premises!$A$41:$F$41,1,$CH27)/100,(IFERROR(($J27/$I27)*$AM27,0)/($V27+$J27+$R27+$AL27))),0))</f>
        <v>0</v>
      </c>
      <c r="AO27" s="634">
        <f t="shared" si="55"/>
        <v>0</v>
      </c>
      <c r="AP27" s="635">
        <f t="shared" si="56"/>
        <v>0</v>
      </c>
      <c r="AQ27" s="410"/>
      <c r="AR27" s="409"/>
      <c r="AS27" s="636" cm="1">
        <f t="array" ref="AS27">IF($CJ27=0,0,IFERROR(INDEX(MAT[Einheit],$CJ27,1),0))</f>
        <v>0</v>
      </c>
      <c r="AT27" s="637" cm="1">
        <f t="array" ref="AT27">IF($CJ27=0,0,IFERROR(INDEX(MAT[Preis],$CJ27,1),0))</f>
        <v>0</v>
      </c>
      <c r="AU27" s="638">
        <f t="shared" si="57"/>
        <v>0</v>
      </c>
      <c r="AV27" s="639" cm="1">
        <f t="array" ref="AV27">IF($AU27&lt;=0,0,INDEX(Premises!$A$30:$F$30,1,$CH27)/100)</f>
        <v>0</v>
      </c>
      <c r="AW27" s="409"/>
      <c r="AX27" s="631">
        <f t="shared" si="58"/>
        <v>0</v>
      </c>
      <c r="AY27" s="640" cm="1">
        <f t="array" ref="AY27">IF($AT27&lt;=0,0,IFERROR(IF(INDEX(Premises!$A$42:$F$42,1,$CH27)&lt;&gt;0,INDEX(Premises!$A$42:$F$42,1,$CH27)/100,(INDEX(MAT[],$CJ27,MATCH($CA27,MAT!$B$4:$AE$4,0))/($AR27*$CK27*INDEX(Premises!$A$13:$F$13,1,$CH27))+INDEX(MAT[],$CJ27,MATCH($CA27,MAT!$B$4:$AE$4,0)+7))/$AT27),0))</f>
        <v>0</v>
      </c>
      <c r="AZ27" s="631">
        <f t="shared" si="59"/>
        <v>0</v>
      </c>
      <c r="BA27" s="635">
        <f t="shared" si="60"/>
        <v>0</v>
      </c>
      <c r="BB27" s="635">
        <f t="shared" si="61"/>
        <v>0</v>
      </c>
      <c r="BC27" s="639" cm="1">
        <f t="array" ref="BC27">IF($BB27&lt;=0,0,IF(BC$2=-1,0,INDEX(Premises!$A$32:$F$32,1,$CH27)/100))</f>
        <v>0</v>
      </c>
      <c r="BD27" s="631">
        <f t="shared" si="62"/>
        <v>0</v>
      </c>
      <c r="BE27" s="639" cm="1">
        <f t="array" ref="BE27">IF($BB27&lt;=0,0,IF(BE$2=-1,0,INDEX(Premises!$A$33:$F$33,1,$CH27)/100))</f>
        <v>0</v>
      </c>
      <c r="BF27" s="631">
        <f t="shared" si="63"/>
        <v>0</v>
      </c>
      <c r="BG27" s="639" cm="1">
        <f t="array" ref="BG27">IF($BB27&lt;=0,0,IF(BG$2=-1,0,INDEX(Premises!$A$31:$F$31,1,$CH27)/100))</f>
        <v>0</v>
      </c>
      <c r="BH27" s="631">
        <f t="shared" si="64"/>
        <v>0</v>
      </c>
      <c r="BI27" s="635">
        <f t="shared" si="65"/>
        <v>0</v>
      </c>
      <c r="BJ27" s="639" cm="1">
        <f t="array" ref="BJ27">IF($BB27&lt;=0,0,IF(BJ$2=-1,0,INDEX(Premises!$A$35:$F$35,1,$CH27)/100))</f>
        <v>0</v>
      </c>
      <c r="BK27" s="631">
        <f t="shared" si="66"/>
        <v>0</v>
      </c>
      <c r="BL27" s="639" cm="1">
        <f t="array" ref="BL27">IF($BB27&lt;=0,0,IF(BL$2=-1,0,INDEX(Premises!$A$36:$F$36,1,$CH27)/100))</f>
        <v>0</v>
      </c>
      <c r="BM27" s="631">
        <f t="shared" si="67"/>
        <v>0</v>
      </c>
      <c r="BN27" s="639" cm="1">
        <f t="array" ref="BN27">IF($BB27&lt;=0,0,IF(BN$2=-1,0,INDEX(Premises!$A$34:$F$34,1,$CH27)/100))</f>
        <v>0</v>
      </c>
      <c r="BO27" s="631">
        <f t="shared" si="68"/>
        <v>0</v>
      </c>
      <c r="BP27" s="639" cm="1">
        <f t="array" ref="BP27">IF($BI27=0,0,INDEX(Premises!$A$37:$F$37,1,$CH27)/100)</f>
        <v>0</v>
      </c>
      <c r="BQ27" s="409"/>
      <c r="BR27" s="631">
        <f t="shared" si="69"/>
        <v>0</v>
      </c>
      <c r="BS27" s="641">
        <f t="shared" si="70"/>
        <v>0</v>
      </c>
      <c r="BT27" s="641">
        <f t="shared" si="71"/>
        <v>0</v>
      </c>
      <c r="BU27" s="642">
        <f t="shared" si="72"/>
        <v>0</v>
      </c>
      <c r="BV27" s="417"/>
      <c r="BW27" s="418"/>
      <c r="BX27" s="418"/>
      <c r="BY27" s="419"/>
      <c r="BZ27" s="968"/>
      <c r="CA27" s="280" cm="1">
        <f t="array" ref="CA27">IF($BZ27&gt;0,VALUE(LEFT($BZ27,IF(ISERROR(FIND("-",$BZ27)),LEN($BZ27),FIND("-",$BZ27)-1))),INDEX($CA$1:$CA27,MAX(1,$CD27)))</f>
        <v>1</v>
      </c>
      <c r="CB27" s="280" cm="1">
        <f t="array" ref="CB27">IF($BT27=0,0,IF(LEN($BZ27)-LEN(SUBSTITUTE($BZ27,"-",""))&gt;1,
VALUE(MID($BZ27,FIND("-",$BZ27)+1,FIND("-",$BZ27,FIND("-",$BZ27)+1)-FIND("-",$BZ27)-1)),IF($BZ27&gt;0,0,INDEX($CB$1:$CB27,MAX(1,$CD27)))))</f>
        <v>0</v>
      </c>
      <c r="CC27" s="280" cm="1">
        <f t="array" ref="CC27">IF($BT27=0,0,IF(NOT(ISERROR(FIND("-",BZ27))),
VALUE(RIGHT($BZ27,LEN($BZ27)-IF(LEN($BZ27)-LEN(SUBSTITUTE($BZ27,"-",""))=1,FIND("-",$BZ27),FIND("-",$BZ27,FIND("-",$BZ27)+1)))),
IF($BZ27&gt;0,0,INDEX($CC$1:$CC27,MAX(1,$CD27)))))</f>
        <v>0</v>
      </c>
      <c r="CD27" s="393">
        <f>MATCH(0,$CE$1:$CE27,-1)</f>
        <v>25</v>
      </c>
      <c r="CE27" s="280"/>
      <c r="CF27" s="394"/>
      <c r="CG27" s="393" cm="1">
        <f t="array" ref="CG27">INDEX($CG$1:$CG27,$CD27)</f>
        <v>5</v>
      </c>
      <c r="CH27" s="280">
        <f>MATCH($CA27,Premises!$A$10:$F$10,0)</f>
        <v>4</v>
      </c>
      <c r="CI27" s="280">
        <f>IF(ISBLANK($E27),0,IFERROR(MATCH($E27,MHR[Bezeichnung],0),0))</f>
        <v>0</v>
      </c>
      <c r="CJ27" s="394">
        <f>IF(ISBLANK($AQ27),0,IFERROR(MATCH($AQ27,MAT[Bezeichnung],0),0))</f>
        <v>0</v>
      </c>
      <c r="CK27" s="280" cm="1">
        <f t="array" ref="CK27">INDEX($D$1:$D27,$CD27)</f>
        <v>1</v>
      </c>
      <c r="CL27" s="280"/>
      <c r="CM27" s="395"/>
      <c r="CN27" s="396" cm="1">
        <f t="array" ref="CN27">IF($CB27=0,0,IF($CB27=INDEX($CB$1:$CB27,$CD27),INDEX($CN$1:$CN27,$CD27),$CP27))</f>
        <v>0</v>
      </c>
      <c r="CO27" s="395"/>
      <c r="CP27" s="396" cm="1">
        <f t="array" ref="CP27">IF($CC27=0,0,INDEX($CP$1:$CP27,$CD27))</f>
        <v>0</v>
      </c>
      <c r="CQ27" s="397"/>
      <c r="CR27" s="398"/>
      <c r="CS27" s="398"/>
      <c r="CT27" s="970"/>
      <c r="CU27" s="2"/>
      <c r="CV27" s="647">
        <f t="shared" si="73"/>
        <v>0</v>
      </c>
      <c r="CW27" s="648">
        <f t="shared" si="74"/>
        <v>0</v>
      </c>
      <c r="CX27" s="648">
        <f t="shared" si="75"/>
        <v>0</v>
      </c>
      <c r="CY27" s="648">
        <f t="shared" si="76"/>
        <v>0</v>
      </c>
      <c r="CZ27" s="648">
        <f t="shared" si="77"/>
        <v>0</v>
      </c>
      <c r="DA27" s="648">
        <f t="shared" si="78"/>
        <v>0</v>
      </c>
      <c r="DB27" s="648">
        <f t="shared" si="79"/>
        <v>0</v>
      </c>
      <c r="DC27" s="649">
        <f t="shared" si="80"/>
        <v>0</v>
      </c>
      <c r="DD27" s="648">
        <f t="shared" si="81"/>
        <v>0</v>
      </c>
      <c r="DE27" s="648">
        <f t="shared" si="82"/>
        <v>0</v>
      </c>
      <c r="DF27" s="648">
        <f t="shared" si="83"/>
        <v>0</v>
      </c>
      <c r="DG27" s="649">
        <f t="shared" si="84"/>
        <v>0</v>
      </c>
      <c r="DH27" s="649">
        <f t="shared" si="85"/>
        <v>0</v>
      </c>
      <c r="DI27" s="648">
        <f t="shared" si="86"/>
        <v>0</v>
      </c>
      <c r="DJ27" s="648">
        <f t="shared" si="87"/>
        <v>0</v>
      </c>
      <c r="DK27" s="648">
        <f t="shared" si="88"/>
        <v>0</v>
      </c>
      <c r="DL27" s="648">
        <f t="shared" si="89"/>
        <v>0</v>
      </c>
      <c r="DM27" s="648">
        <f t="shared" si="90"/>
        <v>0</v>
      </c>
      <c r="DN27" s="648">
        <f t="shared" si="91"/>
        <v>0</v>
      </c>
      <c r="DO27" s="648">
        <f t="shared" si="92"/>
        <v>0</v>
      </c>
      <c r="DP27" s="651">
        <f t="shared" si="93"/>
        <v>0</v>
      </c>
      <c r="DQ27" s="951">
        <f>IF($CB27=0,0,$DP27*_xlfn.XLOOKUP($CB27,Premises!$A$10:$F$10,Premises!$A$30:$F$30)/100)</f>
        <v>0</v>
      </c>
      <c r="DR27" s="650">
        <f>IFERROR(SUM($DP27:$DQ27)*IF(INDEX(Premises!$A$42:$F$42,1,MATCH($CB27,Premises!$A$10:$F$10,0))&gt;0,INDEX(Premises!$A$42:$F$42,1,MATCH($CB27,Premises!$A$10:$F$10,0))%,$CN27),0)</f>
        <v>0</v>
      </c>
      <c r="DS27" s="650" cm="1">
        <f t="array" ref="DS27">IF($CB27=0,0,SUM($DP27:$DR27)*_xlfn.XLOOKUP($CB27,Premises!$A$10:$F$10,IF(INDEX(Settings[],MATCH(3001,Settings[ID],0),2)="B",Premises!$A$33:$F$33,Premises!$A$31:$F$31))/100)</f>
        <v>0</v>
      </c>
      <c r="DT27" s="650" cm="1">
        <f t="array" ref="DT27">IF($CB27=0,0,$DP27*_xlfn.XLOOKUP($CB27,Premises!$A$10:$F$10,IF(INDEX(Settings[],MATCH(3002,Settings[ID],0),2)="B",Premises!$A$36:$F$36,Premises!$A$34:$F$34))/100)</f>
        <v>0</v>
      </c>
      <c r="DU27" s="650">
        <f>IF($CB27=0,0,SUM($DP27:$DT27)*_xlfn.XLOOKUP($CB27,Premises!$A$10:$F$10,Premises!$A$37:$F$37)/100)</f>
        <v>0</v>
      </c>
      <c r="DV27" s="954">
        <f t="shared" si="94"/>
        <v>0</v>
      </c>
      <c r="DW27" s="951">
        <f>IF($CC27=0,0,$DV27*_xlfn.XLOOKUP($CC27,Premises!$A$10:$F$10,Premises!$A$30:$F$30)/100)</f>
        <v>0</v>
      </c>
      <c r="DX27" s="650">
        <f>IFERROR(SUM($DV27:$DW27)*IF(INDEX(Premises!$A$42:$F$42,1,MATCH($CC27,Premises!$A$10:$F$10,0))&gt;0,INDEX(Premises!$A$42:$F$42,1,MATCH($CC27,Premises!$A$10:$F$10,0))%,$CP27),0)</f>
        <v>0</v>
      </c>
      <c r="DY27" s="650" cm="1">
        <f t="array" ref="DY27">IF($CC27=0,0,SUM($DV27:$DX27)*_xlfn.XLOOKUP($CC27,Premises!$A$10:$F$10,IF(INDEX(Settings[],MATCH(3001,Settings[ID],0),2)="B",Premises!$A$33:$F$33,Premises!$A$31:$F$31))/100)</f>
        <v>0</v>
      </c>
      <c r="DZ27" s="650" cm="1">
        <f t="array" ref="DZ27">IF($CC27=0,0,$DV27*_xlfn.XLOOKUP($CC27,Premises!$A$10:$F$10,IF(INDEX(Settings[],MATCH(3002,Settings[ID],0),2)="B",Premises!$A$36:$F$36,Premises!$A$34:$F$34))/100)</f>
        <v>0</v>
      </c>
      <c r="EA27" s="650">
        <f>IF($CC27=0,0,SUM($DV27:$DZ27)*_xlfn.XLOOKUP($CC27,Premises!$A$10:$F$10,Premises!$A$37:$F$37)/100)</f>
        <v>0</v>
      </c>
      <c r="EB27" s="651">
        <f t="shared" si="95"/>
        <v>0</v>
      </c>
      <c r="EC27" s="805"/>
      <c r="ED27" s="1104"/>
      <c r="EE27" s="650"/>
      <c r="EF27" s="1110"/>
      <c r="EG27" s="1108"/>
      <c r="EH27" s="1108"/>
      <c r="EI27" s="1108"/>
      <c r="EJ27" s="1108"/>
      <c r="EK27" s="1108"/>
      <c r="EL27" s="1108"/>
      <c r="EM27" s="1110"/>
      <c r="EN27" s="1108"/>
      <c r="EO27" s="1108"/>
      <c r="EP27" s="1108"/>
      <c r="EQ27" s="1108"/>
      <c r="ER27" s="1110"/>
      <c r="ES27" s="1108"/>
      <c r="ET27" s="1108"/>
      <c r="EU27" s="1108"/>
      <c r="EV27" s="1108"/>
      <c r="EW27" s="1108"/>
      <c r="EX27" s="1111"/>
      <c r="EY27" s="2"/>
      <c r="EZ27" s="2"/>
      <c r="FA27" s="2"/>
      <c r="FB27" s="2"/>
      <c r="FC27" s="2"/>
      <c r="FD27" s="2"/>
      <c r="FE27" s="2"/>
      <c r="FF27" s="2"/>
      <c r="FG27" s="2"/>
      <c r="FH27" s="2"/>
      <c r="FI27" s="2"/>
      <c r="FJ27" s="420"/>
      <c r="FK27" s="421"/>
      <c r="FL27" s="422"/>
      <c r="FM27" s="970"/>
    </row>
    <row r="28" spans="1:169" s="13" customFormat="1" ht="12.75" customHeight="1">
      <c r="A28" s="221"/>
      <c r="B28" s="1329" t="s">
        <v>4376</v>
      </c>
      <c r="C28" s="403"/>
      <c r="D28" s="646"/>
      <c r="E28" s="404"/>
      <c r="F28" s="405"/>
      <c r="G28" s="405"/>
      <c r="H28" s="405"/>
      <c r="I28" s="637" cm="1">
        <f t="array" ref="I28">IF($CI28=0,0,IFERROR(INDEX(MHR[],$CI28,MATCH($CA28,MHR!$B$4:$AY$4,0)),0))</f>
        <v>0</v>
      </c>
      <c r="J28" s="634">
        <f t="shared" si="48"/>
        <v>0</v>
      </c>
      <c r="K28" s="406"/>
      <c r="L28" s="407"/>
      <c r="M28" s="871"/>
      <c r="N28" s="407"/>
      <c r="O28" s="405"/>
      <c r="P28" s="645" cm="1">
        <f t="array" ref="P28">IF($K28=0,0,IFERROR(ROUNDUP(IF(ISNUMBER($K28),$K28,INDEX($D$1:$D28,$CD28)*INDEX(Premises!$A$13:$F$13,1,$CH28)/IF(OR($K28="T",$K28="D"),250,IF($K28="W",50,IF($K28="M",12,IF(OR($K28="HJ",$K28="HY"),2,IF(OR($K28="J",$K28="Y"),1,0)))))),0),0))</f>
        <v>0</v>
      </c>
      <c r="Q28" s="637" cm="1">
        <f t="array" ref="Q28">IF($K28=0,0,IFERROR(INDEX(Premises!$A$22:$F$22,1,$CH28)*100/INDEX(Premises!$A$16:$F$16,1,$CH28),0))</f>
        <v>0</v>
      </c>
      <c r="R28" s="634">
        <f t="shared" si="49"/>
        <v>0</v>
      </c>
      <c r="S28" s="408"/>
      <c r="T28" s="409"/>
      <c r="U28" s="637" cm="1">
        <f t="array" ref="U28">IF(COUNTBLANK($S28:$T28),0,
IF(AND(INDEX(MHR[Schichtmodell],$CI28)&lt;&gt;0,INDEX(MHR[Schichtmodell],$CI28)&lt;&gt;INDEX(Premises!$A$20:$F$20,1,$CH28)),ExchangeRate*
IF(OR($T28="M",$T28="U"),IF(INDEX(MHR[Schichtmodell],$CI28)=1,INDEX(LOC[M1S],INDEX(Premises!$A$18:$F$18,1,$CH28+1)),IF(INDEX(MHR[Schichtmodell],$CI28)=2,INDEX(LOC[M2S],INDEX(Premises!$A$18:$F$18,1,$CH28+1),IF(INDEX(MHR[Schichtmodell],$CI28)=3,INDEX(LOC[M3S],INDEX(Premises!$A$18:$F$18,1,$CH28+1)),0)))),
IF(INDEX(MHR[Schichtmodell],$CI28)=1,INDEX(LOC[F1S],INDEX(Premises!$A$18:$F$18,1,$CH28+1)),IF(INDEX(MHR[Schichtmodell],$CI28)=2,INDEX(LOC[F2S],INDEX(Premises!$A$18:$F$18,1,$CH28+1)),IF(INDEX(MHR[Schichtmodell],$CI28)=3,INDEX(LOC[F3S],INDEX(Premises!$A$18:$F$18,1,$CH28+1)),0)))),
IF(OR($T28="M",$T28="U"),INDEX(Premises!$A$21:$F$21,1,$CH28),
IF(OR($T28="F",$T28="S"),INDEX(Premises!$A$22:$F$22,1,$CH28),0)))*100/INDEX(Premises!$A$16:$F$16,1,$CH28))</f>
        <v>0</v>
      </c>
      <c r="V28" s="631">
        <f t="shared" si="50"/>
        <v>0</v>
      </c>
      <c r="W28" s="410"/>
      <c r="X28" s="403"/>
      <c r="Y28" s="411"/>
      <c r="Z28" s="412"/>
      <c r="AA28" s="628">
        <f t="shared" si="51"/>
        <v>0</v>
      </c>
      <c r="AB28" s="410"/>
      <c r="AC28" s="403"/>
      <c r="AD28" s="411"/>
      <c r="AE28" s="413"/>
      <c r="AF28" s="628">
        <f t="shared" si="52"/>
        <v>0</v>
      </c>
      <c r="AG28" s="629" cm="1">
        <f t="array" ref="AG28">IF(($J28+$V28+$AF28)=0,0,INDEX(Premises!$A$30:$F$30,1,$CH28)/100)</f>
        <v>0</v>
      </c>
      <c r="AH28" s="414"/>
      <c r="AI28" s="415"/>
      <c r="AJ28" s="416"/>
      <c r="AK28" s="630">
        <f t="shared" si="53"/>
        <v>0</v>
      </c>
      <c r="AL28" s="631">
        <f t="shared" si="54"/>
        <v>0</v>
      </c>
      <c r="AM28" s="632" cm="1">
        <f t="array" ref="AM28">IF($CI28=0,0,IFERROR(INDEX(MHR[],$CI28,MATCH($CA28,MHR!$B$4:$AY$4,0)+11),0))</f>
        <v>0</v>
      </c>
      <c r="AN28" s="633" cm="1">
        <f t="array" ref="AN28">IF(($J28+$V28)=0,0,IFERROR(IF(INDEX(Premises!$A$41:$F$41,1,$CH28)&lt;&gt;0,INDEX(Premises!$A$41:$F$41,1,$CH28)/100,(IFERROR(($J28/$I28)*$AM28,0)/($V28+$J28+$R28+$AL28))),0))</f>
        <v>0</v>
      </c>
      <c r="AO28" s="634">
        <f t="shared" si="55"/>
        <v>0</v>
      </c>
      <c r="AP28" s="635">
        <f t="shared" si="56"/>
        <v>0</v>
      </c>
      <c r="AQ28" s="410"/>
      <c r="AR28" s="409"/>
      <c r="AS28" s="636" cm="1">
        <f t="array" ref="AS28">IF($CJ28=0,0,IFERROR(INDEX(MAT[Einheit],$CJ28,1),0))</f>
        <v>0</v>
      </c>
      <c r="AT28" s="637" cm="1">
        <f t="array" ref="AT28">IF($CJ28=0,0,IFERROR(INDEX(MAT[Preis],$CJ28,1),0))</f>
        <v>0</v>
      </c>
      <c r="AU28" s="638">
        <f t="shared" si="57"/>
        <v>0</v>
      </c>
      <c r="AV28" s="639" cm="1">
        <f t="array" ref="AV28">IF($AU28&lt;=0,0,INDEX(Premises!$A$30:$F$30,1,$CH28)/100)</f>
        <v>0</v>
      </c>
      <c r="AW28" s="409"/>
      <c r="AX28" s="631">
        <f t="shared" si="58"/>
        <v>0</v>
      </c>
      <c r="AY28" s="640" cm="1">
        <f t="array" ref="AY28">IF($AT28&lt;=0,0,IFERROR(IF(INDEX(Premises!$A$42:$F$42,1,$CH28)&lt;&gt;0,INDEX(Premises!$A$42:$F$42,1,$CH28)/100,(INDEX(MAT[],$CJ28,MATCH($CA28,MAT!$B$4:$AE$4,0))/($AR28*$CK28*INDEX(Premises!$A$13:$F$13,1,$CH28))+INDEX(MAT[],$CJ28,MATCH($CA28,MAT!$B$4:$AE$4,0)+7))/$AT28),0))</f>
        <v>0</v>
      </c>
      <c r="AZ28" s="631">
        <f t="shared" si="59"/>
        <v>0</v>
      </c>
      <c r="BA28" s="635">
        <f t="shared" si="60"/>
        <v>0</v>
      </c>
      <c r="BB28" s="635">
        <f t="shared" si="61"/>
        <v>0</v>
      </c>
      <c r="BC28" s="639" cm="1">
        <f t="array" ref="BC28">IF($BB28&lt;=0,0,IF(BC$2=-1,0,INDEX(Premises!$A$32:$F$32,1,$CH28)/100))</f>
        <v>0</v>
      </c>
      <c r="BD28" s="631">
        <f t="shared" si="62"/>
        <v>0</v>
      </c>
      <c r="BE28" s="639" cm="1">
        <f t="array" ref="BE28">IF($BB28&lt;=0,0,IF(BE$2=-1,0,INDEX(Premises!$A$33:$F$33,1,$CH28)/100))</f>
        <v>0</v>
      </c>
      <c r="BF28" s="631">
        <f t="shared" si="63"/>
        <v>0</v>
      </c>
      <c r="BG28" s="639" cm="1">
        <f t="array" ref="BG28">IF($BB28&lt;=0,0,IF(BG$2=-1,0,INDEX(Premises!$A$31:$F$31,1,$CH28)/100))</f>
        <v>0</v>
      </c>
      <c r="BH28" s="631">
        <f t="shared" si="64"/>
        <v>0</v>
      </c>
      <c r="BI28" s="635">
        <f t="shared" si="65"/>
        <v>0</v>
      </c>
      <c r="BJ28" s="639" cm="1">
        <f t="array" ref="BJ28">IF($BB28&lt;=0,0,IF(BJ$2=-1,0,INDEX(Premises!$A$35:$F$35,1,$CH28)/100))</f>
        <v>0</v>
      </c>
      <c r="BK28" s="631">
        <f t="shared" si="66"/>
        <v>0</v>
      </c>
      <c r="BL28" s="639" cm="1">
        <f t="array" ref="BL28">IF($BB28&lt;=0,0,IF(BL$2=-1,0,INDEX(Premises!$A$36:$F$36,1,$CH28)/100))</f>
        <v>0</v>
      </c>
      <c r="BM28" s="631">
        <f t="shared" si="67"/>
        <v>0</v>
      </c>
      <c r="BN28" s="639" cm="1">
        <f t="array" ref="BN28">IF($BB28&lt;=0,0,IF(BN$2=-1,0,INDEX(Premises!$A$34:$F$34,1,$CH28)/100))</f>
        <v>0</v>
      </c>
      <c r="BO28" s="631">
        <f t="shared" si="68"/>
        <v>0</v>
      </c>
      <c r="BP28" s="639" cm="1">
        <f t="array" ref="BP28">IF($BI28=0,0,INDEX(Premises!$A$37:$F$37,1,$CH28)/100)</f>
        <v>0</v>
      </c>
      <c r="BQ28" s="409"/>
      <c r="BR28" s="631">
        <f t="shared" si="69"/>
        <v>0</v>
      </c>
      <c r="BS28" s="641">
        <f t="shared" si="70"/>
        <v>0</v>
      </c>
      <c r="BT28" s="641">
        <f t="shared" si="71"/>
        <v>0</v>
      </c>
      <c r="BU28" s="642">
        <f t="shared" si="72"/>
        <v>0</v>
      </c>
      <c r="BV28" s="1147"/>
      <c r="BW28" s="418"/>
      <c r="BX28" s="418"/>
      <c r="BY28" s="419"/>
      <c r="BZ28" s="968"/>
      <c r="CA28" s="280" cm="1">
        <f t="array" ref="CA28">IF($BZ28&gt;0,VALUE(LEFT($BZ28,IF(ISERROR(FIND("-",$BZ28)),LEN($BZ28),FIND("-",$BZ28)-1))),INDEX($CA$1:$CA28,MAX(1,$CD28)))</f>
        <v>1</v>
      </c>
      <c r="CB28" s="280" cm="1">
        <f t="array" ref="CB28">IF($BT28=0,0,IF(LEN($BZ28)-LEN(SUBSTITUTE($BZ28,"-",""))&gt;1,
VALUE(MID($BZ28,FIND("-",$BZ28)+1,FIND("-",$BZ28,FIND("-",$BZ28)+1)-FIND("-",$BZ28)-1)),IF($BZ28&gt;0,0,INDEX($CB$1:$CB28,MAX(1,$CD28)))))</f>
        <v>0</v>
      </c>
      <c r="CC28" s="280" cm="1">
        <f t="array" ref="CC28">IF($BT28=0,0,IF(NOT(ISERROR(FIND("-",BZ28))),
VALUE(RIGHT($BZ28,LEN($BZ28)-IF(LEN($BZ28)-LEN(SUBSTITUTE($BZ28,"-",""))=1,FIND("-",$BZ28),FIND("-",$BZ28,FIND("-",$BZ28)+1)))),
IF($BZ28&gt;0,0,INDEX($CC$1:$CC28,MAX(1,$CD28)))))</f>
        <v>0</v>
      </c>
      <c r="CD28" s="393">
        <f>MATCH(0,$CE$1:$CE28,-1)</f>
        <v>25</v>
      </c>
      <c r="CE28" s="280"/>
      <c r="CF28" s="394"/>
      <c r="CG28" s="393" cm="1">
        <f t="array" ref="CG28">INDEX($CG$1:$CG28,$CD28)</f>
        <v>5</v>
      </c>
      <c r="CH28" s="280">
        <f>MATCH($CA28,Premises!$A$10:$F$10,0)</f>
        <v>4</v>
      </c>
      <c r="CI28" s="280">
        <f>IF(ISBLANK($E28),0,IFERROR(MATCH($E28,MHR[Bezeichnung],0),0))</f>
        <v>0</v>
      </c>
      <c r="CJ28" s="394">
        <f>IF(ISBLANK($AQ28),0,IFERROR(MATCH($AQ28,MAT[Bezeichnung],0),0))</f>
        <v>0</v>
      </c>
      <c r="CK28" s="280" cm="1">
        <f t="array" ref="CK28">INDEX($D$1:$D28,$CD28)</f>
        <v>1</v>
      </c>
      <c r="CL28" s="280"/>
      <c r="CM28" s="395"/>
      <c r="CN28" s="396" cm="1">
        <f t="array" ref="CN28">IF($CB28=0,0,IF($CB28=INDEX($CB$1:$CB28,$CD28),INDEX($CN$1:$CN28,$CD28),$CP28))</f>
        <v>0</v>
      </c>
      <c r="CO28" s="395"/>
      <c r="CP28" s="396" cm="1">
        <f t="array" ref="CP28">IF($CC28=0,0,INDEX($CP$1:$CP28,$CD28))</f>
        <v>0</v>
      </c>
      <c r="CQ28" s="397"/>
      <c r="CR28" s="398"/>
      <c r="CS28" s="398"/>
      <c r="CT28" s="1152"/>
      <c r="CU28" s="1149"/>
      <c r="CV28" s="647">
        <f t="shared" si="73"/>
        <v>0</v>
      </c>
      <c r="CW28" s="648">
        <f t="shared" si="74"/>
        <v>0</v>
      </c>
      <c r="CX28" s="648">
        <f t="shared" si="75"/>
        <v>0</v>
      </c>
      <c r="CY28" s="648">
        <f t="shared" si="76"/>
        <v>0</v>
      </c>
      <c r="CZ28" s="648">
        <f t="shared" si="77"/>
        <v>0</v>
      </c>
      <c r="DA28" s="648">
        <f t="shared" si="78"/>
        <v>0</v>
      </c>
      <c r="DB28" s="648">
        <f t="shared" si="79"/>
        <v>0</v>
      </c>
      <c r="DC28" s="649">
        <f t="shared" si="80"/>
        <v>0</v>
      </c>
      <c r="DD28" s="648">
        <f t="shared" si="81"/>
        <v>0</v>
      </c>
      <c r="DE28" s="648">
        <f t="shared" si="82"/>
        <v>0</v>
      </c>
      <c r="DF28" s="648">
        <f t="shared" si="83"/>
        <v>0</v>
      </c>
      <c r="DG28" s="649">
        <f t="shared" si="84"/>
        <v>0</v>
      </c>
      <c r="DH28" s="649">
        <f t="shared" si="85"/>
        <v>0</v>
      </c>
      <c r="DI28" s="648">
        <f t="shared" si="86"/>
        <v>0</v>
      </c>
      <c r="DJ28" s="648">
        <f t="shared" si="87"/>
        <v>0</v>
      </c>
      <c r="DK28" s="648">
        <f t="shared" si="88"/>
        <v>0</v>
      </c>
      <c r="DL28" s="648">
        <f t="shared" si="89"/>
        <v>0</v>
      </c>
      <c r="DM28" s="648">
        <f t="shared" si="90"/>
        <v>0</v>
      </c>
      <c r="DN28" s="648">
        <f t="shared" si="91"/>
        <v>0</v>
      </c>
      <c r="DO28" s="648">
        <f t="shared" si="92"/>
        <v>0</v>
      </c>
      <c r="DP28" s="651">
        <f t="shared" si="93"/>
        <v>0</v>
      </c>
      <c r="DQ28" s="951">
        <f>IF($CB28=0,0,$DP28*_xlfn.XLOOKUP($CB28,Premises!$A$10:$F$10,Premises!$A$30:$F$30)/100)</f>
        <v>0</v>
      </c>
      <c r="DR28" s="650">
        <f>IFERROR(SUM($DP28:$DQ28)*IF(INDEX(Premises!$A$42:$F$42,1,MATCH($CB28,Premises!$A$10:$F$10,0))&gt;0,INDEX(Premises!$A$42:$F$42,1,MATCH($CB28,Premises!$A$10:$F$10,0))%,$CN28),0)</f>
        <v>0</v>
      </c>
      <c r="DS28" s="650" cm="1">
        <f t="array" ref="DS28">IF($CB28=0,0,SUM($DP28:$DR28)*_xlfn.XLOOKUP($CB28,Premises!$A$10:$F$10,IF(INDEX(Settings[],MATCH(3001,Settings[ID],0),2)="B",Premises!$A$33:$F$33,Premises!$A$31:$F$31))/100)</f>
        <v>0</v>
      </c>
      <c r="DT28" s="650" cm="1">
        <f t="array" ref="DT28">IF($CB28=0,0,$DP28*_xlfn.XLOOKUP($CB28,Premises!$A$10:$F$10,IF(INDEX(Settings[],MATCH(3002,Settings[ID],0),2)="B",Premises!$A$36:$F$36,Premises!$A$34:$F$34))/100)</f>
        <v>0</v>
      </c>
      <c r="DU28" s="650">
        <f>IF($CB28=0,0,SUM($DP28:$DT28)*_xlfn.XLOOKUP($CB28,Premises!$A$10:$F$10,Premises!$A$37:$F$37)/100)</f>
        <v>0</v>
      </c>
      <c r="DV28" s="954">
        <f t="shared" si="94"/>
        <v>0</v>
      </c>
      <c r="DW28" s="951">
        <f>IF($CC28=0,0,$DV28*_xlfn.XLOOKUP($CC28,Premises!$A$10:$F$10,Premises!$A$30:$F$30)/100)</f>
        <v>0</v>
      </c>
      <c r="DX28" s="650">
        <f>IFERROR(SUM($DV28:$DW28)*IF(INDEX(Premises!$A$42:$F$42,1,MATCH($CC28,Premises!$A$10:$F$10,0))&gt;0,INDEX(Premises!$A$42:$F$42,1,MATCH($CC28,Premises!$A$10:$F$10,0))%,$CP28),0)</f>
        <v>0</v>
      </c>
      <c r="DY28" s="650" cm="1">
        <f t="array" ref="DY28">IF($CC28=0,0,SUM($DV28:$DX28)*_xlfn.XLOOKUP($CC28,Premises!$A$10:$F$10,IF(INDEX(Settings[],MATCH(3001,Settings[ID],0),2)="B",Premises!$A$33:$F$33,Premises!$A$31:$F$31))/100)</f>
        <v>0</v>
      </c>
      <c r="DZ28" s="650" cm="1">
        <f t="array" ref="DZ28">IF($CC28=0,0,$DV28*_xlfn.XLOOKUP($CC28,Premises!$A$10:$F$10,IF(INDEX(Settings[],MATCH(3002,Settings[ID],0),2)="B",Premises!$A$36:$F$36,Premises!$A$34:$F$34))/100)</f>
        <v>0</v>
      </c>
      <c r="EA28" s="650">
        <f>IF($CC28=0,0,SUM($DV28:$DZ28)*_xlfn.XLOOKUP($CC28,Premises!$A$10:$F$10,Premises!$A$37:$F$37)/100)</f>
        <v>0</v>
      </c>
      <c r="EB28" s="651">
        <f t="shared" si="95"/>
        <v>0</v>
      </c>
      <c r="EC28" s="805"/>
      <c r="ED28" s="1104"/>
      <c r="EE28" s="650"/>
      <c r="EF28" s="1110"/>
      <c r="EG28" s="1108"/>
      <c r="EH28" s="1108"/>
      <c r="EI28" s="1108"/>
      <c r="EJ28" s="1108"/>
      <c r="EK28" s="1108"/>
      <c r="EL28" s="1108"/>
      <c r="EM28" s="1110"/>
      <c r="EN28" s="1108"/>
      <c r="EO28" s="1108"/>
      <c r="EP28" s="1108"/>
      <c r="EQ28" s="1108"/>
      <c r="ER28" s="1110"/>
      <c r="ES28" s="1108"/>
      <c r="ET28" s="1108"/>
      <c r="EU28" s="1108"/>
      <c r="EV28" s="1108"/>
      <c r="EW28" s="1108"/>
      <c r="EX28" s="1111"/>
      <c r="EY28" s="2"/>
      <c r="EZ28" s="2"/>
      <c r="FA28" s="2"/>
      <c r="FB28" s="2"/>
      <c r="FC28" s="2"/>
      <c r="FD28" s="2"/>
      <c r="FE28" s="2"/>
      <c r="FF28" s="2"/>
      <c r="FG28" s="2"/>
      <c r="FH28" s="2"/>
      <c r="FI28" s="2"/>
      <c r="FJ28" s="420"/>
      <c r="FK28" s="421"/>
      <c r="FL28" s="422"/>
      <c r="FM28" s="1153"/>
    </row>
    <row r="29" spans="1:169" s="13" customFormat="1" ht="12.75" customHeight="1">
      <c r="A29" s="221"/>
      <c r="B29" s="402" t="s">
        <v>4321</v>
      </c>
      <c r="C29" s="403"/>
      <c r="D29" s="646"/>
      <c r="E29" s="404" t="s">
        <v>4331</v>
      </c>
      <c r="F29" s="405">
        <f>7.86</f>
        <v>7.86</v>
      </c>
      <c r="G29" s="405" t="s">
        <v>93</v>
      </c>
      <c r="H29" s="405">
        <v>1</v>
      </c>
      <c r="I29" s="637" cm="1">
        <f t="array" ref="I29">IF($CI29=0,0,IFERROR(INDEX(MHR[],$CI29,MATCH($CA29,MHR!$B$4:$AY$4,0)),0))</f>
        <v>53.32486055555556</v>
      </c>
      <c r="J29" s="634">
        <f>IF(COUNTBLANK($E29:$H29),0,IFERROR($F29/$H29/IF($G29="s",3600,IF($G29="min",60,IF($G29="h",1,0)))*I29,0))</f>
        <v>0.11642594554629632</v>
      </c>
      <c r="K29" s="406" t="s">
        <v>49</v>
      </c>
      <c r="L29" s="407">
        <v>30</v>
      </c>
      <c r="M29" s="871">
        <v>3</v>
      </c>
      <c r="N29" s="407"/>
      <c r="O29" s="405"/>
      <c r="P29" s="645" cm="1">
        <f t="array" ref="P29">IF($K29=0,0,IFERROR(ROUNDUP(IF(ISNUMBER($K29),$K29,INDEX($D$1:$D29,$CD29)*INDEX(Premises!$A$13:$F$13,1,$CH29)/IF(OR($K29="T",$K29="D"),250,IF($K29="W",50,IF($K29="M",12,IF(OR($K29="HJ",$K29="HY"),2,IF(OR($K29="J",$K29="Y"),1,0)))))),0),0))</f>
        <v>3334</v>
      </c>
      <c r="Q29" s="637" cm="1">
        <f t="array" ref="Q29">IF($K29=0,0,IFERROR(INDEX(Premises!$A$22:$F$22,1,$CH29)*100/INDEX(Premises!$A$16:$F$16,1,$CH29),0))</f>
        <v>16.925000000000001</v>
      </c>
      <c r="R29" s="634">
        <f>IF($P29=0,0,IFERROR(($L29/60*($I29+$Q29*$M29)+($N29/60*($Q29*$O29)))/$P29,0))</f>
        <v>1.5611856711990937E-2</v>
      </c>
      <c r="S29" s="408">
        <v>2</v>
      </c>
      <c r="T29" s="409" t="s">
        <v>275</v>
      </c>
      <c r="U29" s="637" cm="1">
        <f t="array" ref="U29">IF(COUNTBLANK($S29:$T29),0,
IF(AND(INDEX(MHR[Schichtmodell],$CI29)&lt;&gt;0,INDEX(MHR[Schichtmodell],$CI29)&lt;&gt;INDEX(Premises!$A$20:$F$20,1,$CH29)),ExchangeRate*
IF(OR($T29="M",$T29="U"),IF(INDEX(MHR[Schichtmodell],$CI29)=1,INDEX(LOC[M1S],INDEX(Premises!$A$18:$F$18,1,$CH29+1)),IF(INDEX(MHR[Schichtmodell],$CI29)=2,INDEX(LOC[M2S],INDEX(Premises!$A$18:$F$18,1,$CH29+1),IF(INDEX(MHR[Schichtmodell],$CI29)=3,INDEX(LOC[M3S],INDEX(Premises!$A$18:$F$18,1,$CH29+1)),0)))),
IF(INDEX(MHR[Schichtmodell],$CI29)=1,INDEX(LOC[F1S],INDEX(Premises!$A$18:$F$18,1,$CH29+1)),IF(INDEX(MHR[Schichtmodell],$CI29)=2,INDEX(LOC[F2S],INDEX(Premises!$A$18:$F$18,1,$CH29+1)),IF(INDEX(MHR[Schichtmodell],$CI29)=3,INDEX(LOC[F3S],INDEX(Premises!$A$18:$F$18,1,$CH29+1)),0)))),
IF(OR($T29="M",$T29="U"),INDEX(Premises!$A$21:$F$21,1,$CH29),
IF(OR($T29="F",$T29="S"),INDEX(Premises!$A$22:$F$22,1,$CH29),0)))*100/INDEX(Premises!$A$16:$F$16,1,$CH29))</f>
        <v>12.037500000000001</v>
      </c>
      <c r="V29" s="631">
        <f>IF($U29=0,0,IFERROR($F29/$H29/IF($G29="s",3600,IF($G29="min",60,IF($G29="h",1,0)))*$S29*$U29,0))</f>
        <v>5.2563750000000013E-2</v>
      </c>
      <c r="W29" s="410"/>
      <c r="X29" s="403"/>
      <c r="Y29" s="411"/>
      <c r="Z29" s="412"/>
      <c r="AA29" s="628">
        <f>IFERROR($X29*$Z29/$Y29/MAX(1,$H29),0)</f>
        <v>0</v>
      </c>
      <c r="AB29" s="410"/>
      <c r="AC29" s="403"/>
      <c r="AD29" s="411"/>
      <c r="AE29" s="413"/>
      <c r="AF29" s="628">
        <f>IFERROR($AC29*$AE29/$AD29,0)</f>
        <v>0</v>
      </c>
      <c r="AG29" s="629" cm="1">
        <f t="array" ref="AG29">IF(($J29+$V29+$AF29)=0,0,INDEX(Premises!$A$30:$F$30,1,$CH29)/100)</f>
        <v>0.01</v>
      </c>
      <c r="AH29" s="414"/>
      <c r="AI29" s="415"/>
      <c r="AJ29" s="416"/>
      <c r="AK29" s="630">
        <f>IF(COUNTBLANK($AH29:$AI29),0,$AH29*$AI29*$AG29)</f>
        <v>0</v>
      </c>
      <c r="AL29" s="631">
        <f>($AK29+$AJ29*$AG29*(1-$AH29)+($J29+$V29+$AF29)*$AG29*(1-$AH29))</f>
        <v>1.6898969554629635E-3</v>
      </c>
      <c r="AM29" s="632" cm="1">
        <f t="array" ref="AM29">IF($CI29=0,0,IFERROR(INDEX(MHR[],$CI29,MATCH($CA29,MHR!$B$4:$AY$4,0)+11),0))</f>
        <v>10.405203261471994</v>
      </c>
      <c r="AN29" s="633" cm="1">
        <f t="array" ref="AN29">IF(($J29+$V29)=0,0,IFERROR(IF(INDEX(Premises!$A$41:$F$41,1,$CH29)&lt;&gt;0,INDEX(Premises!$A$41:$F$41,1,$CH29)/100,(IFERROR(($J29/$I29)*$AM29,0)/($V29+$J29+$R29+$AL29))),0))</f>
        <v>0.12194884530000047</v>
      </c>
      <c r="AO29" s="634">
        <f>IF(($J29+$V29)=0,0,IF(IFERROR(($J29+$R29+$V29+$AL29)*$AN29,0)&lt;&gt;IFERROR(($J29/$I29)*$AM29,0),($J29+$R29+$V29+$AL29)*$AN29,IFERROR(($J29/$I29)*$AM29,0)))</f>
        <v>2.2718027120880523E-2</v>
      </c>
      <c r="AP29" s="635">
        <f>$V29+$J29+$R29+$AA29+$AF29+$AL29+$AO29</f>
        <v>0.20900947633463077</v>
      </c>
      <c r="AQ29" s="410"/>
      <c r="AR29" s="409"/>
      <c r="AS29" s="636" cm="1">
        <f t="array" ref="AS29">IF($CJ29=0,0,IFERROR(INDEX(MAT[Einheit],$CJ29,1),0))</f>
        <v>0</v>
      </c>
      <c r="AT29" s="637" cm="1">
        <f t="array" ref="AT29">IF($CJ29=0,0,IFERROR(INDEX(MAT[Preis],$CJ29,1),0))</f>
        <v>0</v>
      </c>
      <c r="AU29" s="638">
        <f>$AR29*$AT29</f>
        <v>0</v>
      </c>
      <c r="AV29" s="639" cm="1">
        <f t="array" ref="AV29">IF($AU29&lt;=0,0,INDEX(Premises!$A$30:$F$30,1,$CH29)/100)</f>
        <v>0</v>
      </c>
      <c r="AW29" s="409"/>
      <c r="AX29" s="631">
        <f>IF($AV29=0,0,($AU29+$AW29)*$AV29)</f>
        <v>0</v>
      </c>
      <c r="AY29" s="640" cm="1">
        <f t="array" ref="AY29">IF($AT29&lt;=0,0,IFERROR(IF(INDEX(Premises!$A$42:$F$42,1,$CH29)&lt;&gt;0,INDEX(Premises!$A$42:$F$42,1,$CH29)/100,(INDEX(MAT[],$CJ29,MATCH($CA29,MAT!$B$4:$AE$4,0))/($AR29*$CK29*INDEX(Premises!$A$13:$F$13,1,$CH29))+INDEX(MAT[],$CJ29,MATCH($CA29,MAT!$B$4:$AE$4,0)+7))/$AT29),0))</f>
        <v>0</v>
      </c>
      <c r="AZ29" s="631">
        <f>IF($AY29=0,0,($AU29+$AX29)*$AY29)</f>
        <v>0</v>
      </c>
      <c r="BA29" s="635">
        <f>$AU29+$AX29+$AZ29</f>
        <v>0</v>
      </c>
      <c r="BB29" s="635">
        <f>$AP29+$BA29</f>
        <v>0.20900947633463077</v>
      </c>
      <c r="BC29" s="639" cm="1">
        <f t="array" ref="BC29">IF($BB29&lt;=0,0,IF(BC$2=-1,0,INDEX(Premises!$A$32:$F$32,1,$CH29)/100))</f>
        <v>0</v>
      </c>
      <c r="BD29" s="631">
        <f>IF($AP29&lt;=0,0,($AP29-$AA29-$AL29)*$BC29)</f>
        <v>0</v>
      </c>
      <c r="BE29" s="639" cm="1">
        <f t="array" ref="BE29">IF($BB29&lt;=0,0,IF(BE$2=-1,0,INDEX(Premises!$A$33:$F$33,1,$CH29)/100))</f>
        <v>0</v>
      </c>
      <c r="BF29" s="631">
        <f>IF($BA29&lt;=0,0,$BA29*$BE29)</f>
        <v>0</v>
      </c>
      <c r="BG29" s="639" cm="1">
        <f t="array" ref="BG29">IF($BB29&lt;=0,0,IF(BG$2=-1,0,INDEX(Premises!$A$31:$F$31,1,$CH29)/100))</f>
        <v>0.125</v>
      </c>
      <c r="BH29" s="631">
        <f>(($AP29-$AA29-$AL29)+$BA29)*$BG29</f>
        <v>2.5914947422395977E-2</v>
      </c>
      <c r="BI29" s="635">
        <f>$BB29+$BD29+$BF29+$BH29</f>
        <v>0.23492442375702674</v>
      </c>
      <c r="BJ29" s="639" cm="1">
        <f t="array" ref="BJ29">IF($BB29&lt;=0,0,IF(BJ$2=-1,0,INDEX(Premises!$A$35:$F$35,1,$CH29)/100))</f>
        <v>0</v>
      </c>
      <c r="BK29" s="631">
        <f>IF($AP29&lt;=0,0,($AP29-$AL29-$AA29)*$BJ29)</f>
        <v>0</v>
      </c>
      <c r="BL29" s="639" cm="1">
        <f t="array" ref="BL29">IF($BB29&lt;=0,0,IF(BL$2=-1,0,INDEX(Premises!$A$36:$F$36,1,$CH29)/100))</f>
        <v>0</v>
      </c>
      <c r="BM29" s="631">
        <f>IF($AU29&lt;=0,0,($AR29*$AT29)*$BL29)</f>
        <v>0</v>
      </c>
      <c r="BN29" s="639" cm="1">
        <f t="array" ref="BN29">IF($BB29&lt;=0,0,IF(BN$2=-1,0,INDEX(Premises!$A$34:$F$34,1,$CH29)/100))</f>
        <v>0.06</v>
      </c>
      <c r="BO29" s="631">
        <f>(($AP29-$AL29-$AA29)+($AR29*$AT29))*$BN29</f>
        <v>1.2439174762750069E-2</v>
      </c>
      <c r="BP29" s="639" cm="1">
        <f t="array" ref="BP29">IF($BI29=0,0,INDEX(Premises!$A$37:$F$37,1,$CH29)/100)</f>
        <v>0</v>
      </c>
      <c r="BQ29" s="409"/>
      <c r="BR29" s="631">
        <f>($BI29+$BK29+$BM29+$BO29)*$BP29+$BQ29</f>
        <v>0</v>
      </c>
      <c r="BS29" s="641">
        <f>BI29+BK29+BM29+BO29+BR29</f>
        <v>0.2473635985197768</v>
      </c>
      <c r="BT29" s="641">
        <f>IF($BS29=0,0,$CK29*$BS29)</f>
        <v>0.2473635985197768</v>
      </c>
      <c r="BU29" s="642">
        <f>IF($BT29=0,0,MAX(1,$EB29/$DP29))</f>
        <v>1</v>
      </c>
      <c r="BV29" s="1147"/>
      <c r="BW29" s="418"/>
      <c r="BX29" s="418"/>
      <c r="BY29" s="419"/>
      <c r="BZ29" s="968"/>
      <c r="CA29" s="280" cm="1">
        <f t="array" ref="CA29">IF($BZ29&gt;0,VALUE(LEFT($BZ29,IF(ISERROR(FIND("-",$BZ29)),LEN($BZ29),FIND("-",$BZ29)-1))),INDEX($CA$1:$CA29,MAX(1,$CD29)))</f>
        <v>1</v>
      </c>
      <c r="CB29" s="280" cm="1">
        <f t="array" ref="CB29">IF($BT29=0,0,IF(LEN($BZ29)-LEN(SUBSTITUTE($BZ29,"-",""))&gt;1,
VALUE(MID($BZ29,FIND("-",$BZ29)+1,FIND("-",$BZ29,FIND("-",$BZ29)+1)-FIND("-",$BZ29)-1)),IF($BZ29&gt;0,0,INDEX($CB$1:$CB29,MAX(1,$CD29)))))</f>
        <v>0</v>
      </c>
      <c r="CC29" s="280" cm="1">
        <f t="array" ref="CC29">IF($BT29=0,0,IF(NOT(ISERROR(FIND("-",BZ29))),
VALUE(RIGHT($BZ29,LEN($BZ29)-IF(LEN($BZ29)-LEN(SUBSTITUTE($BZ29,"-",""))=1,FIND("-",$BZ29),FIND("-",$BZ29,FIND("-",$BZ29)+1)))),
IF($BZ29&gt;0,0,INDEX($CC$1:$CC29,MAX(1,$CD29)))))</f>
        <v>0</v>
      </c>
      <c r="CD29" s="393">
        <f>MATCH(0,$CE$1:$CE29,-1)</f>
        <v>25</v>
      </c>
      <c r="CE29" s="280"/>
      <c r="CF29" s="394"/>
      <c r="CG29" s="393" cm="1">
        <f t="array" ref="CG29">INDEX($CG$1:$CG29,$CD29)</f>
        <v>5</v>
      </c>
      <c r="CH29" s="280">
        <f>MATCH($CA29,Premises!$A$10:$F$10,0)</f>
        <v>4</v>
      </c>
      <c r="CI29" s="280">
        <f>IF(ISBLANK($E29),0,IFERROR(MATCH($E29,MHR[Bezeichnung],0),0))</f>
        <v>4</v>
      </c>
      <c r="CJ29" s="394">
        <f>IF(ISBLANK($AQ29),0,IFERROR(MATCH($AQ29,MAT[Bezeichnung],0),0))</f>
        <v>0</v>
      </c>
      <c r="CK29" s="280" cm="1">
        <f t="array" ref="CK29">INDEX($D$1:$D29,$CD29)</f>
        <v>1</v>
      </c>
      <c r="CL29" s="280"/>
      <c r="CM29" s="395"/>
      <c r="CN29" s="396" cm="1">
        <f t="array" ref="CN29">IF($CB29=0,0,IF($CB29=INDEX($CB$1:$CB29,$CD29),INDEX($CN$1:$CN29,$CD29),$CP29))</f>
        <v>0</v>
      </c>
      <c r="CO29" s="395"/>
      <c r="CP29" s="396" cm="1">
        <f t="array" ref="CP29">IF($CC29=0,0,INDEX($CP$1:$CP29,$CD29))</f>
        <v>0</v>
      </c>
      <c r="CQ29" s="397"/>
      <c r="CR29" s="398"/>
      <c r="CS29" s="398"/>
      <c r="CT29" s="1152"/>
      <c r="CU29" s="1149"/>
      <c r="CV29" s="647">
        <f>$J29*$CK29</f>
        <v>0.11642594554629632</v>
      </c>
      <c r="CW29" s="648">
        <f>$R29*$CK29</f>
        <v>1.5611856711990937E-2</v>
      </c>
      <c r="CX29" s="648">
        <f>$V29*$CK29</f>
        <v>5.2563750000000013E-2</v>
      </c>
      <c r="CY29" s="648">
        <f>$AA29*$CK29</f>
        <v>0</v>
      </c>
      <c r="CZ29" s="648">
        <f>$AF29*$CK29</f>
        <v>0</v>
      </c>
      <c r="DA29" s="648">
        <f>$AL29*$CK29</f>
        <v>1.6898969554629635E-3</v>
      </c>
      <c r="DB29" s="648">
        <f>$AO29*$CK29</f>
        <v>2.2718027120880523E-2</v>
      </c>
      <c r="DC29" s="649">
        <f>$AP29*$CK29</f>
        <v>0.20900947633463077</v>
      </c>
      <c r="DD29" s="648">
        <f>$AU29*$CK29</f>
        <v>0</v>
      </c>
      <c r="DE29" s="648">
        <f>$AX29*$CK29</f>
        <v>0</v>
      </c>
      <c r="DF29" s="648">
        <f>$AZ29*$CK29</f>
        <v>0</v>
      </c>
      <c r="DG29" s="649">
        <f>$BA29*$CK29</f>
        <v>0</v>
      </c>
      <c r="DH29" s="649">
        <f>$BB29*$CK29</f>
        <v>0.20900947633463077</v>
      </c>
      <c r="DI29" s="648">
        <f>$BD29*$CK29</f>
        <v>0</v>
      </c>
      <c r="DJ29" s="648">
        <f>$BF29*$CK29</f>
        <v>0</v>
      </c>
      <c r="DK29" s="648">
        <f>$BH29*$CK29</f>
        <v>2.5914947422395977E-2</v>
      </c>
      <c r="DL29" s="648">
        <f>$BK29*$CK29</f>
        <v>0</v>
      </c>
      <c r="DM29" s="648">
        <f>$BM29*$CK29</f>
        <v>0</v>
      </c>
      <c r="DN29" s="648">
        <f>$BO29*$CK29</f>
        <v>1.2439174762750069E-2</v>
      </c>
      <c r="DO29" s="648">
        <f>$BR29*$CK29</f>
        <v>0</v>
      </c>
      <c r="DP29" s="651">
        <f>$CK29*($BB29+$BD29+$BF29+$BH29+$BK29+$BM29+$BO29+$BR29)</f>
        <v>0.2473635985197768</v>
      </c>
      <c r="DQ29" s="951">
        <f>IF($CB29=0,0,$DP29*_xlfn.XLOOKUP($CB29,Premises!$A$10:$F$10,Premises!$A$30:$F$30)/100)</f>
        <v>0</v>
      </c>
      <c r="DR29" s="650">
        <f>IFERROR(SUM($DP29:$DQ29)*IF(INDEX(Premises!$A$42:$F$42,1,MATCH($CB29,Premises!$A$10:$F$10,0))&gt;0,INDEX(Premises!$A$42:$F$42,1,MATCH($CB29,Premises!$A$10:$F$10,0))%,$CN29),0)</f>
        <v>0</v>
      </c>
      <c r="DS29" s="650" cm="1">
        <f t="array" ref="DS29">IF($CB29=0,0,SUM($DP29:$DR29)*_xlfn.XLOOKUP($CB29,Premises!$A$10:$F$10,IF(INDEX(Settings[],MATCH(3001,Settings[ID],0),2)="B",Premises!$A$33:$F$33,Premises!$A$31:$F$31))/100)</f>
        <v>0</v>
      </c>
      <c r="DT29" s="650" cm="1">
        <f t="array" ref="DT29">IF($CB29=0,0,$DP29*_xlfn.XLOOKUP($CB29,Premises!$A$10:$F$10,IF(INDEX(Settings[],MATCH(3002,Settings[ID],0),2)="B",Premises!$A$36:$F$36,Premises!$A$34:$F$34))/100)</f>
        <v>0</v>
      </c>
      <c r="DU29" s="650">
        <f>IF($CB29=0,0,SUM($DP29:$DT29)*_xlfn.XLOOKUP($CB29,Premises!$A$10:$F$10,Premises!$A$37:$F$37)/100)</f>
        <v>0</v>
      </c>
      <c r="DV29" s="954">
        <f>SUM($DP29:$DU29)</f>
        <v>0.2473635985197768</v>
      </c>
      <c r="DW29" s="951">
        <f>IF($CC29=0,0,$DV29*_xlfn.XLOOKUP($CC29,Premises!$A$10:$F$10,Premises!$A$30:$F$30)/100)</f>
        <v>0</v>
      </c>
      <c r="DX29" s="650">
        <f>IFERROR(SUM($DV29:$DW29)*IF(INDEX(Premises!$A$42:$F$42,1,MATCH($CC29,Premises!$A$10:$F$10,0))&gt;0,INDEX(Premises!$A$42:$F$42,1,MATCH($CC29,Premises!$A$10:$F$10,0))%,$CP29),0)</f>
        <v>0</v>
      </c>
      <c r="DY29" s="650" cm="1">
        <f t="array" ref="DY29">IF($CC29=0,0,SUM($DV29:$DX29)*_xlfn.XLOOKUP($CC29,Premises!$A$10:$F$10,IF(INDEX(Settings[],MATCH(3001,Settings[ID],0),2)="B",Premises!$A$33:$F$33,Premises!$A$31:$F$31))/100)</f>
        <v>0</v>
      </c>
      <c r="DZ29" s="650" cm="1">
        <f t="array" ref="DZ29">IF($CC29=0,0,$DV29*_xlfn.XLOOKUP($CC29,Premises!$A$10:$F$10,IF(INDEX(Settings[],MATCH(3002,Settings[ID],0),2)="B",Premises!$A$36:$F$36,Premises!$A$34:$F$34))/100)</f>
        <v>0</v>
      </c>
      <c r="EA29" s="650">
        <f>IF($CC29=0,0,SUM($DV29:$DZ29)*_xlfn.XLOOKUP($CC29,Premises!$A$10:$F$10,Premises!$A$37:$F$37)/100)</f>
        <v>0</v>
      </c>
      <c r="EB29" s="651">
        <f>SUM($DV29:$EA29)</f>
        <v>0.2473635985197768</v>
      </c>
      <c r="EC29" s="805"/>
      <c r="ED29" s="1104"/>
      <c r="EE29" s="650"/>
      <c r="EF29" s="1110"/>
      <c r="EG29" s="1108"/>
      <c r="EH29" s="1108"/>
      <c r="EI29" s="1108"/>
      <c r="EJ29" s="1108"/>
      <c r="EK29" s="1108"/>
      <c r="EL29" s="1108"/>
      <c r="EM29" s="1110"/>
      <c r="EN29" s="1108"/>
      <c r="EO29" s="1108"/>
      <c r="EP29" s="1108"/>
      <c r="EQ29" s="1108"/>
      <c r="ER29" s="1110"/>
      <c r="ES29" s="1108"/>
      <c r="ET29" s="1108"/>
      <c r="EU29" s="1108"/>
      <c r="EV29" s="1108"/>
      <c r="EW29" s="1108"/>
      <c r="EX29" s="1111"/>
      <c r="EY29" s="2"/>
      <c r="EZ29" s="2"/>
      <c r="FA29" s="2"/>
      <c r="FB29" s="2"/>
      <c r="FC29" s="2"/>
      <c r="FD29" s="2"/>
      <c r="FE29" s="2"/>
      <c r="FF29" s="2"/>
      <c r="FG29" s="2"/>
      <c r="FH29" s="2"/>
      <c r="FI29" s="2"/>
      <c r="FJ29" s="420"/>
      <c r="FK29" s="421"/>
      <c r="FL29" s="422"/>
      <c r="FM29" s="1153"/>
    </row>
    <row r="30" spans="1:169" s="13" customFormat="1" ht="12.75" customHeight="1">
      <c r="A30" s="221"/>
      <c r="B30" s="402" t="s">
        <v>4322</v>
      </c>
      <c r="C30" s="403"/>
      <c r="D30" s="646"/>
      <c r="E30" s="404" t="s">
        <v>4331</v>
      </c>
      <c r="F30" s="405">
        <f>2.96</f>
        <v>2.96</v>
      </c>
      <c r="G30" s="405" t="s">
        <v>93</v>
      </c>
      <c r="H30" s="405">
        <v>1</v>
      </c>
      <c r="I30" s="637" cm="1">
        <f t="array" ref="I30">IF($CI30=0,0,IFERROR(INDEX(MHR[],$CI30,MATCH($CA30,MHR!$B$4:$AY$4,0)),0))</f>
        <v>53.32486055555556</v>
      </c>
      <c r="J30" s="634">
        <f>IF(COUNTBLANK($E30:$H30),0,IFERROR($F30/$H30/IF($G30="s",3600,IF($G30="min",60,IF($G30="h",1,0)))*I30,0))</f>
        <v>4.3844885345679013E-2</v>
      </c>
      <c r="K30" s="406" t="s">
        <v>49</v>
      </c>
      <c r="L30" s="407">
        <v>30</v>
      </c>
      <c r="M30" s="871">
        <v>1</v>
      </c>
      <c r="N30" s="407"/>
      <c r="O30" s="405"/>
      <c r="P30" s="645" cm="1">
        <f t="array" ref="P30">IF($K30=0,0,IFERROR(ROUNDUP(IF(ISNUMBER($K30),$K30,INDEX($D$1:$D30,$CD30)*INDEX(Premises!$A$13:$F$13,1,$CH30)/IF(OR($K30="T",$K30="D"),250,IF($K30="W",50,IF($K30="M",12,IF(OR($K30="HJ",$K30="HY"),2,IF(OR($K30="J",$K30="Y"),1,0)))))),0),0))</f>
        <v>3334</v>
      </c>
      <c r="Q30" s="637" cm="1">
        <f t="array" ref="Q30">IF($K30=0,0,IFERROR(INDEX(Premises!$A$22:$F$22,1,$CH30)*100/INDEX(Premises!$A$16:$F$16,1,$CH30),0))</f>
        <v>16.925000000000001</v>
      </c>
      <c r="R30" s="634">
        <f>IF($P30=0,0,IFERROR(($L30/60*($I30+$Q30*$M30)+($N30/60*($Q30*$O30)))/$P30,0))</f>
        <v>1.0535372008931548E-2</v>
      </c>
      <c r="S30" s="408">
        <v>0.5</v>
      </c>
      <c r="T30" s="409" t="s">
        <v>275</v>
      </c>
      <c r="U30" s="637" cm="1">
        <f t="array" ref="U30">IF(COUNTBLANK($S30:$T30),0,
IF(AND(INDEX(MHR[Schichtmodell],$CI30)&lt;&gt;0,INDEX(MHR[Schichtmodell],$CI30)&lt;&gt;INDEX(Premises!$A$20:$F$20,1,$CH30)),ExchangeRate*
IF(OR($T30="M",$T30="U"),IF(INDEX(MHR[Schichtmodell],$CI30)=1,INDEX(LOC[M1S],INDEX(Premises!$A$18:$F$18,1,$CH30+1)),IF(INDEX(MHR[Schichtmodell],$CI30)=2,INDEX(LOC[M2S],INDEX(Premises!$A$18:$F$18,1,$CH30+1),IF(INDEX(MHR[Schichtmodell],$CI30)=3,INDEX(LOC[M3S],INDEX(Premises!$A$18:$F$18,1,$CH30+1)),0)))),
IF(INDEX(MHR[Schichtmodell],$CI30)=1,INDEX(LOC[F1S],INDEX(Premises!$A$18:$F$18,1,$CH30+1)),IF(INDEX(MHR[Schichtmodell],$CI30)=2,INDEX(LOC[F2S],INDEX(Premises!$A$18:$F$18,1,$CH30+1)),IF(INDEX(MHR[Schichtmodell],$CI30)=3,INDEX(LOC[F3S],INDEX(Premises!$A$18:$F$18,1,$CH30+1)),0)))),
IF(OR($T30="M",$T30="U"),INDEX(Premises!$A$21:$F$21,1,$CH30),
IF(OR($T30="F",$T30="S"),INDEX(Premises!$A$22:$F$22,1,$CH30),0)))*100/INDEX(Premises!$A$16:$F$16,1,$CH30))</f>
        <v>12.037500000000001</v>
      </c>
      <c r="V30" s="631">
        <f>IF($U30=0,0,IFERROR($F30/$H30/IF($G30="s",3600,IF($G30="min",60,IF($G30="h",1,0)))*$S30*$U30,0))</f>
        <v>4.9487500000000009E-3</v>
      </c>
      <c r="W30" s="410"/>
      <c r="X30" s="403"/>
      <c r="Y30" s="411"/>
      <c r="Z30" s="412"/>
      <c r="AA30" s="628">
        <f>IFERROR($X30*$Z30/$Y30/MAX(1,$H30),0)</f>
        <v>0</v>
      </c>
      <c r="AB30" s="410"/>
      <c r="AC30" s="403"/>
      <c r="AD30" s="411"/>
      <c r="AE30" s="413"/>
      <c r="AF30" s="628">
        <f>IFERROR($AC30*$AE30/$AD30,0)</f>
        <v>0</v>
      </c>
      <c r="AG30" s="629" cm="1">
        <f t="array" ref="AG30">IF(($J30+$V30+$AF30)=0,0,INDEX(Premises!$A$30:$F$30,1,$CH30)/100)</f>
        <v>0.01</v>
      </c>
      <c r="AH30" s="414"/>
      <c r="AI30" s="415"/>
      <c r="AJ30" s="416"/>
      <c r="AK30" s="630">
        <f>IF(COUNTBLANK($AH30:$AI30),0,$AH30*$AI30*$AG30)</f>
        <v>0</v>
      </c>
      <c r="AL30" s="631">
        <f>($AK30+$AJ30*$AG30*(1-$AH30)+($J30+$V30+$AF30)*$AG30*(1-$AH30))</f>
        <v>4.8793635345679016E-4</v>
      </c>
      <c r="AM30" s="632" cm="1">
        <f t="array" ref="AM30">IF($CI30=0,0,IFERROR(INDEX(MHR[],$CI30,MATCH($CA30,MHR!$B$4:$AY$4,0)+11),0))</f>
        <v>10.405203261471994</v>
      </c>
      <c r="AN30" s="633" cm="1">
        <f t="array" ref="AN30">IF(($J30+$V30)=0,0,IFERROR(IF(INDEX(Premises!$A$41:$F$41,1,$CH30)&lt;&gt;0,INDEX(Premises!$A$41:$F$41,1,$CH30)/100,(IFERROR(($J30/$I30)*$AM30,0)/($V30+$J30+$R30+$AL30))),0))</f>
        <v>0.14302618652794147</v>
      </c>
      <c r="AO30" s="634">
        <f>IF(($J30+$V30)=0,0,IF(IFERROR(($J30+$R30+$V30+$AL30)*$AN30,0)&lt;&gt;IFERROR(($J30/$I30)*$AM30,0),($J30+$R30+$V30+$AL30)*$AN30,IFERROR(($J30/$I30)*$AM30,0)))</f>
        <v>8.5553893483214169E-3</v>
      </c>
      <c r="AP30" s="635">
        <f>$V30+$J30+$R30+$AA30+$AF30+$AL30+$AO30</f>
        <v>6.8372333056388776E-2</v>
      </c>
      <c r="AQ30" s="410"/>
      <c r="AR30" s="409"/>
      <c r="AS30" s="636" cm="1">
        <f t="array" ref="AS30">IF($CJ30=0,0,IFERROR(INDEX(MAT[Einheit],$CJ30,1),0))</f>
        <v>0</v>
      </c>
      <c r="AT30" s="637" cm="1">
        <f t="array" ref="AT30">IF($CJ30=0,0,IFERROR(INDEX(MAT[Preis],$CJ30,1),0))</f>
        <v>0</v>
      </c>
      <c r="AU30" s="638">
        <f>$AR30*$AT30</f>
        <v>0</v>
      </c>
      <c r="AV30" s="639" cm="1">
        <f t="array" ref="AV30">IF($AU30&lt;=0,0,INDEX(Premises!$A$30:$F$30,1,$CH30)/100)</f>
        <v>0</v>
      </c>
      <c r="AW30" s="409"/>
      <c r="AX30" s="631">
        <f>IF($AV30=0,0,($AU30+$AW30)*$AV30)</f>
        <v>0</v>
      </c>
      <c r="AY30" s="640" cm="1">
        <f t="array" ref="AY30">IF($AT30&lt;=0,0,IFERROR(IF(INDEX(Premises!$A$42:$F$42,1,$CH30)&lt;&gt;0,INDEX(Premises!$A$42:$F$42,1,$CH30)/100,(INDEX(MAT[],$CJ30,MATCH($CA30,MAT!$B$4:$AE$4,0))/($AR30*$CK30*INDEX(Premises!$A$13:$F$13,1,$CH30))+INDEX(MAT[],$CJ30,MATCH($CA30,MAT!$B$4:$AE$4,0)+7))/$AT30),0))</f>
        <v>0</v>
      </c>
      <c r="AZ30" s="631">
        <f>IF($AY30=0,0,($AU30+$AX30)*$AY30)</f>
        <v>0</v>
      </c>
      <c r="BA30" s="635">
        <f>$AU30+$AX30+$AZ30</f>
        <v>0</v>
      </c>
      <c r="BB30" s="635">
        <f>$AP30+$BA30</f>
        <v>6.8372333056388776E-2</v>
      </c>
      <c r="BC30" s="639" cm="1">
        <f t="array" ref="BC30">IF($BB30&lt;=0,0,IF(BC$2=-1,0,INDEX(Premises!$A$32:$F$32,1,$CH30)/100))</f>
        <v>0</v>
      </c>
      <c r="BD30" s="631">
        <f>IF($AP30&lt;=0,0,($AP30-$AA30-$AL30)*$BC30)</f>
        <v>0</v>
      </c>
      <c r="BE30" s="639" cm="1">
        <f t="array" ref="BE30">IF($BB30&lt;=0,0,IF(BE$2=-1,0,INDEX(Premises!$A$33:$F$33,1,$CH30)/100))</f>
        <v>0</v>
      </c>
      <c r="BF30" s="631">
        <f>IF($BA30&lt;=0,0,$BA30*$BE30)</f>
        <v>0</v>
      </c>
      <c r="BG30" s="639" cm="1">
        <f t="array" ref="BG30">IF($BB30&lt;=0,0,IF(BG$2=-1,0,INDEX(Premises!$A$31:$F$31,1,$CH30)/100))</f>
        <v>0.125</v>
      </c>
      <c r="BH30" s="631">
        <f>(($AP30-$AA30-$AL30)+$BA30)*$BG30</f>
        <v>8.4855495878664988E-3</v>
      </c>
      <c r="BI30" s="635">
        <f>$BB30+$BD30+$BF30+$BH30</f>
        <v>7.6857882644255276E-2</v>
      </c>
      <c r="BJ30" s="639" cm="1">
        <f t="array" ref="BJ30">IF($BB30&lt;=0,0,IF(BJ$2=-1,0,INDEX(Premises!$A$35:$F$35,1,$CH30)/100))</f>
        <v>0</v>
      </c>
      <c r="BK30" s="631">
        <f>IF($AP30&lt;=0,0,($AP30-$AL30-$AA30)*$BJ30)</f>
        <v>0</v>
      </c>
      <c r="BL30" s="639" cm="1">
        <f t="array" ref="BL30">IF($BB30&lt;=0,0,IF(BL$2=-1,0,INDEX(Premises!$A$36:$F$36,1,$CH30)/100))</f>
        <v>0</v>
      </c>
      <c r="BM30" s="631">
        <f>IF($AU30&lt;=0,0,($AR30*$AT30)*$BL30)</f>
        <v>0</v>
      </c>
      <c r="BN30" s="639" cm="1">
        <f t="array" ref="BN30">IF($BB30&lt;=0,0,IF(BN$2=-1,0,INDEX(Premises!$A$34:$F$34,1,$CH30)/100))</f>
        <v>0.06</v>
      </c>
      <c r="BO30" s="631">
        <f>(($AP30-$AL30-$AA30)+($AR30*$AT30))*$BN30</f>
        <v>4.0730638021759195E-3</v>
      </c>
      <c r="BP30" s="639" cm="1">
        <f t="array" ref="BP30">IF($BI30=0,0,INDEX(Premises!$A$37:$F$37,1,$CH30)/100)</f>
        <v>0</v>
      </c>
      <c r="BQ30" s="409"/>
      <c r="BR30" s="631">
        <f>($BI30+$BK30+$BM30+$BO30)*$BP30+$BQ30</f>
        <v>0</v>
      </c>
      <c r="BS30" s="641">
        <f>BI30+BK30+BM30+BO30+BR30</f>
        <v>8.0930946446431201E-2</v>
      </c>
      <c r="BT30" s="641">
        <f>IF($BS30=0,0,$CK30*$BS30)</f>
        <v>8.0930946446431201E-2</v>
      </c>
      <c r="BU30" s="642">
        <f>IF($BT30=0,0,MAX(1,$EB30/$DP30))</f>
        <v>1</v>
      </c>
      <c r="BV30" s="1147"/>
      <c r="BW30" s="418"/>
      <c r="BX30" s="418"/>
      <c r="BY30" s="419"/>
      <c r="BZ30" s="968"/>
      <c r="CA30" s="280" cm="1">
        <f t="array" ref="CA30">IF($BZ30&gt;0,VALUE(LEFT($BZ30,IF(ISERROR(FIND("-",$BZ30)),LEN($BZ30),FIND("-",$BZ30)-1))),INDEX($CA$1:$CA30,MAX(1,$CD30)))</f>
        <v>1</v>
      </c>
      <c r="CB30" s="280" cm="1">
        <f t="array" ref="CB30">IF($BT30=0,0,IF(LEN($BZ30)-LEN(SUBSTITUTE($BZ30,"-",""))&gt;1,
VALUE(MID($BZ30,FIND("-",$BZ30)+1,FIND("-",$BZ30,FIND("-",$BZ30)+1)-FIND("-",$BZ30)-1)),IF($BZ30&gt;0,0,INDEX($CB$1:$CB30,MAX(1,$CD30)))))</f>
        <v>0</v>
      </c>
      <c r="CC30" s="280" cm="1">
        <f t="array" ref="CC30">IF($BT30=0,0,IF(NOT(ISERROR(FIND("-",BZ30))),
VALUE(RIGHT($BZ30,LEN($BZ30)-IF(LEN($BZ30)-LEN(SUBSTITUTE($BZ30,"-",""))=1,FIND("-",$BZ30),FIND("-",$BZ30,FIND("-",$BZ30)+1)))),
IF($BZ30&gt;0,0,INDEX($CC$1:$CC30,MAX(1,$CD30)))))</f>
        <v>0</v>
      </c>
      <c r="CD30" s="393">
        <f>MATCH(0,$CE$1:$CE30,-1)</f>
        <v>25</v>
      </c>
      <c r="CE30" s="280"/>
      <c r="CF30" s="394"/>
      <c r="CG30" s="393" cm="1">
        <f t="array" ref="CG30">INDEX($CG$1:$CG30,$CD30)</f>
        <v>5</v>
      </c>
      <c r="CH30" s="280">
        <f>MATCH($CA30,Premises!$A$10:$F$10,0)</f>
        <v>4</v>
      </c>
      <c r="CI30" s="280">
        <f>IF(ISBLANK($E30),0,IFERROR(MATCH($E30,MHR[Bezeichnung],0),0))</f>
        <v>4</v>
      </c>
      <c r="CJ30" s="394">
        <f>IF(ISBLANK($AQ30),0,IFERROR(MATCH($AQ30,MAT[Bezeichnung],0),0))</f>
        <v>0</v>
      </c>
      <c r="CK30" s="280" cm="1">
        <f t="array" ref="CK30">INDEX($D$1:$D30,$CD30)</f>
        <v>1</v>
      </c>
      <c r="CL30" s="280"/>
      <c r="CM30" s="395"/>
      <c r="CN30" s="396" cm="1">
        <f t="array" ref="CN30">IF($CB30=0,0,IF($CB30=INDEX($CB$1:$CB30,$CD30),INDEX($CN$1:$CN30,$CD30),$CP30))</f>
        <v>0</v>
      </c>
      <c r="CO30" s="395"/>
      <c r="CP30" s="396" cm="1">
        <f t="array" ref="CP30">IF($CC30=0,0,INDEX($CP$1:$CP30,$CD30))</f>
        <v>0</v>
      </c>
      <c r="CQ30" s="397"/>
      <c r="CR30" s="398"/>
      <c r="CS30" s="398"/>
      <c r="CT30" s="1152"/>
      <c r="CU30" s="1149"/>
      <c r="CV30" s="647">
        <f>$J30*$CK30</f>
        <v>4.3844885345679013E-2</v>
      </c>
      <c r="CW30" s="648">
        <f>$R30*$CK30</f>
        <v>1.0535372008931548E-2</v>
      </c>
      <c r="CX30" s="648">
        <f>$V30*$CK30</f>
        <v>4.9487500000000009E-3</v>
      </c>
      <c r="CY30" s="648">
        <f>$AA30*$CK30</f>
        <v>0</v>
      </c>
      <c r="CZ30" s="648">
        <f>$AF30*$CK30</f>
        <v>0</v>
      </c>
      <c r="DA30" s="648">
        <f>$AL30*$CK30</f>
        <v>4.8793635345679016E-4</v>
      </c>
      <c r="DB30" s="648">
        <f>$AO30*$CK30</f>
        <v>8.5553893483214169E-3</v>
      </c>
      <c r="DC30" s="649">
        <f>$AP30*$CK30</f>
        <v>6.8372333056388776E-2</v>
      </c>
      <c r="DD30" s="648">
        <f>$AU30*$CK30</f>
        <v>0</v>
      </c>
      <c r="DE30" s="648">
        <f>$AX30*$CK30</f>
        <v>0</v>
      </c>
      <c r="DF30" s="648">
        <f>$AZ30*$CK30</f>
        <v>0</v>
      </c>
      <c r="DG30" s="649">
        <f>$BA30*$CK30</f>
        <v>0</v>
      </c>
      <c r="DH30" s="649">
        <f>$BB30*$CK30</f>
        <v>6.8372333056388776E-2</v>
      </c>
      <c r="DI30" s="648">
        <f>$BD30*$CK30</f>
        <v>0</v>
      </c>
      <c r="DJ30" s="648">
        <f>$BF30*$CK30</f>
        <v>0</v>
      </c>
      <c r="DK30" s="648">
        <f>$BH30*$CK30</f>
        <v>8.4855495878664988E-3</v>
      </c>
      <c r="DL30" s="648">
        <f>$BK30*$CK30</f>
        <v>0</v>
      </c>
      <c r="DM30" s="648">
        <f>$BM30*$CK30</f>
        <v>0</v>
      </c>
      <c r="DN30" s="648">
        <f>$BO30*$CK30</f>
        <v>4.0730638021759195E-3</v>
      </c>
      <c r="DO30" s="648">
        <f>$BR30*$CK30</f>
        <v>0</v>
      </c>
      <c r="DP30" s="651">
        <f>$CK30*($BB30+$BD30+$BF30+$BH30+$BK30+$BM30+$BO30+$BR30)</f>
        <v>8.0930946446431201E-2</v>
      </c>
      <c r="DQ30" s="951">
        <f>IF($CB30=0,0,$DP30*_xlfn.XLOOKUP($CB30,Premises!$A$10:$F$10,Premises!$A$30:$F$30)/100)</f>
        <v>0</v>
      </c>
      <c r="DR30" s="650">
        <f>IFERROR(SUM($DP30:$DQ30)*IF(INDEX(Premises!$A$42:$F$42,1,MATCH($CB30,Premises!$A$10:$F$10,0))&gt;0,INDEX(Premises!$A$42:$F$42,1,MATCH($CB30,Premises!$A$10:$F$10,0))%,$CN30),0)</f>
        <v>0</v>
      </c>
      <c r="DS30" s="650" cm="1">
        <f t="array" ref="DS30">IF($CB30=0,0,SUM($DP30:$DR30)*_xlfn.XLOOKUP($CB30,Premises!$A$10:$F$10,IF(INDEX(Settings[],MATCH(3001,Settings[ID],0),2)="B",Premises!$A$33:$F$33,Premises!$A$31:$F$31))/100)</f>
        <v>0</v>
      </c>
      <c r="DT30" s="650" cm="1">
        <f t="array" ref="DT30">IF($CB30=0,0,$DP30*_xlfn.XLOOKUP($CB30,Premises!$A$10:$F$10,IF(INDEX(Settings[],MATCH(3002,Settings[ID],0),2)="B",Premises!$A$36:$F$36,Premises!$A$34:$F$34))/100)</f>
        <v>0</v>
      </c>
      <c r="DU30" s="650">
        <f>IF($CB30=0,0,SUM($DP30:$DT30)*_xlfn.XLOOKUP($CB30,Premises!$A$10:$F$10,Premises!$A$37:$F$37)/100)</f>
        <v>0</v>
      </c>
      <c r="DV30" s="954">
        <f>SUM($DP30:$DU30)</f>
        <v>8.0930946446431201E-2</v>
      </c>
      <c r="DW30" s="951">
        <f>IF($CC30=0,0,$DV30*_xlfn.XLOOKUP($CC30,Premises!$A$10:$F$10,Premises!$A$30:$F$30)/100)</f>
        <v>0</v>
      </c>
      <c r="DX30" s="650">
        <f>IFERROR(SUM($DV30:$DW30)*IF(INDEX(Premises!$A$42:$F$42,1,MATCH($CC30,Premises!$A$10:$F$10,0))&gt;0,INDEX(Premises!$A$42:$F$42,1,MATCH($CC30,Premises!$A$10:$F$10,0))%,$CP30),0)</f>
        <v>0</v>
      </c>
      <c r="DY30" s="650" cm="1">
        <f t="array" ref="DY30">IF($CC30=0,0,SUM($DV30:$DX30)*_xlfn.XLOOKUP($CC30,Premises!$A$10:$F$10,IF(INDEX(Settings[],MATCH(3001,Settings[ID],0),2)="B",Premises!$A$33:$F$33,Premises!$A$31:$F$31))/100)</f>
        <v>0</v>
      </c>
      <c r="DZ30" s="650" cm="1">
        <f t="array" ref="DZ30">IF($CC30=0,0,$DV30*_xlfn.XLOOKUP($CC30,Premises!$A$10:$F$10,IF(INDEX(Settings[],MATCH(3002,Settings[ID],0),2)="B",Premises!$A$36:$F$36,Premises!$A$34:$F$34))/100)</f>
        <v>0</v>
      </c>
      <c r="EA30" s="650">
        <f>IF($CC30=0,0,SUM($DV30:$DZ30)*_xlfn.XLOOKUP($CC30,Premises!$A$10:$F$10,Premises!$A$37:$F$37)/100)</f>
        <v>0</v>
      </c>
      <c r="EB30" s="651">
        <f>SUM($DV30:$EA30)</f>
        <v>8.0930946446431201E-2</v>
      </c>
      <c r="EC30" s="805"/>
      <c r="ED30" s="1104"/>
      <c r="EE30" s="650"/>
      <c r="EF30" s="1110"/>
      <c r="EG30" s="1108"/>
      <c r="EH30" s="1108"/>
      <c r="EI30" s="1108"/>
      <c r="EJ30" s="1108"/>
      <c r="EK30" s="1108"/>
      <c r="EL30" s="1108"/>
      <c r="EM30" s="1110"/>
      <c r="EN30" s="1108"/>
      <c r="EO30" s="1108"/>
      <c r="EP30" s="1108"/>
      <c r="EQ30" s="1108"/>
      <c r="ER30" s="1110"/>
      <c r="ES30" s="1108"/>
      <c r="ET30" s="1108"/>
      <c r="EU30" s="1108"/>
      <c r="EV30" s="1108"/>
      <c r="EW30" s="1108"/>
      <c r="EX30" s="1111"/>
      <c r="EY30" s="2"/>
      <c r="EZ30" s="2"/>
      <c r="FA30" s="2"/>
      <c r="FB30" s="2"/>
      <c r="FC30" s="2"/>
      <c r="FD30" s="2"/>
      <c r="FE30" s="2"/>
      <c r="FF30" s="2"/>
      <c r="FG30" s="2"/>
      <c r="FH30" s="2"/>
      <c r="FI30" s="2"/>
      <c r="FJ30" s="420"/>
      <c r="FK30" s="421"/>
      <c r="FL30" s="422"/>
      <c r="FM30" s="1153"/>
    </row>
    <row r="31" spans="1:169" s="13" customFormat="1" ht="12.75" customHeight="1">
      <c r="A31" s="221"/>
      <c r="B31" s="402"/>
      <c r="C31" s="403"/>
      <c r="D31" s="646"/>
      <c r="E31" s="404"/>
      <c r="F31" s="405"/>
      <c r="G31" s="405"/>
      <c r="H31" s="405"/>
      <c r="I31" s="637" cm="1">
        <f t="array" ref="I31">IF($CI31=0,0,IFERROR(INDEX(MHR[],$CI31,MATCH($CA31,MHR!$B$4:$AY$4,0)),0))</f>
        <v>0</v>
      </c>
      <c r="J31" s="634">
        <f>IF(COUNTBLANK($E31:$H31),0,IFERROR($F31/$H31/IF($G31="s",3600,IF($G31="min",60,IF($G31="h",1,0)))*I31,0))</f>
        <v>0</v>
      </c>
      <c r="K31" s="406"/>
      <c r="L31" s="407"/>
      <c r="M31" s="871"/>
      <c r="N31" s="407"/>
      <c r="O31" s="405"/>
      <c r="P31" s="645" cm="1">
        <f t="array" ref="P31">IF($K31=0,0,IFERROR(ROUNDUP(IF(ISNUMBER($K31),$K31,INDEX($D$1:$D31,$CD31)*INDEX(Premises!$A$13:$F$13,1,$CH31)/IF(OR($K31="T",$K31="D"),250,IF($K31="W",50,IF($K31="M",12,IF(OR($K31="HJ",$K31="HY"),2,IF(OR($K31="J",$K31="Y"),1,0)))))),0),0))</f>
        <v>0</v>
      </c>
      <c r="Q31" s="637" cm="1">
        <f t="array" ref="Q31">IF($K31=0,0,IFERROR(INDEX(Premises!$A$22:$F$22,1,$CH31)*100/INDEX(Premises!$A$16:$F$16,1,$CH31),0))</f>
        <v>0</v>
      </c>
      <c r="R31" s="634">
        <f>IF($P31=0,0,IFERROR(($L31/60*($I31+$Q31*$M31)+($N31/60*($Q31*$O31)))/$P31,0))</f>
        <v>0</v>
      </c>
      <c r="S31" s="408"/>
      <c r="T31" s="409"/>
      <c r="U31" s="637" cm="1">
        <f t="array" ref="U31">IF(COUNTBLANK($S31:$T31),0,
IF(AND(INDEX(MHR[Schichtmodell],$CI31)&lt;&gt;0,INDEX(MHR[Schichtmodell],$CI31)&lt;&gt;INDEX(Premises!$A$20:$F$20,1,$CH31)),ExchangeRate*
IF(OR($T31="M",$T31="U"),IF(INDEX(MHR[Schichtmodell],$CI31)=1,INDEX(LOC[M1S],INDEX(Premises!$A$18:$F$18,1,$CH31+1)),IF(INDEX(MHR[Schichtmodell],$CI31)=2,INDEX(LOC[M2S],INDEX(Premises!$A$18:$F$18,1,$CH31+1),IF(INDEX(MHR[Schichtmodell],$CI31)=3,INDEX(LOC[M3S],INDEX(Premises!$A$18:$F$18,1,$CH31+1)),0)))),
IF(INDEX(MHR[Schichtmodell],$CI31)=1,INDEX(LOC[F1S],INDEX(Premises!$A$18:$F$18,1,$CH31+1)),IF(INDEX(MHR[Schichtmodell],$CI31)=2,INDEX(LOC[F2S],INDEX(Premises!$A$18:$F$18,1,$CH31+1)),IF(INDEX(MHR[Schichtmodell],$CI31)=3,INDEX(LOC[F3S],INDEX(Premises!$A$18:$F$18,1,$CH31+1)),0)))),
IF(OR($T31="M",$T31="U"),INDEX(Premises!$A$21:$F$21,1,$CH31),
IF(OR($T31="F",$T31="S"),INDEX(Premises!$A$22:$F$22,1,$CH31),0)))*100/INDEX(Premises!$A$16:$F$16,1,$CH31))</f>
        <v>0</v>
      </c>
      <c r="V31" s="631">
        <f>IF($U31=0,0,IFERROR($F31/$H31/IF($G31="s",3600,IF($G31="min",60,IF($G31="h",1,0)))*$S31*$U31,0))</f>
        <v>0</v>
      </c>
      <c r="W31" s="410"/>
      <c r="X31" s="403"/>
      <c r="Y31" s="411"/>
      <c r="Z31" s="412"/>
      <c r="AA31" s="628">
        <f>IFERROR($X31*$Z31/$Y31/MAX(1,$H31),0)</f>
        <v>0</v>
      </c>
      <c r="AB31" s="410"/>
      <c r="AC31" s="403"/>
      <c r="AD31" s="411"/>
      <c r="AE31" s="413"/>
      <c r="AF31" s="628">
        <f>IFERROR($AC31*$AE31/$AD31,0)</f>
        <v>0</v>
      </c>
      <c r="AG31" s="629" cm="1">
        <f t="array" ref="AG31">IF(($J31+$V31+$AF31)=0,0,INDEX(Premises!$A$30:$F$30,1,$CH31)/100)</f>
        <v>0</v>
      </c>
      <c r="AH31" s="414"/>
      <c r="AI31" s="415"/>
      <c r="AJ31" s="416"/>
      <c r="AK31" s="630">
        <f>IF(COUNTBLANK($AH31:$AI31),0,$AH31*$AI31*$AG31)</f>
        <v>0</v>
      </c>
      <c r="AL31" s="631">
        <f>($AK31+$AJ31*$AG31*(1-$AH31)+($J31+$V31+$AF31)*$AG31*(1-$AH31))</f>
        <v>0</v>
      </c>
      <c r="AM31" s="632" cm="1">
        <f t="array" ref="AM31">IF($CI31=0,0,IFERROR(INDEX(MHR[],$CI31,MATCH($CA31,MHR!$B$4:$AY$4,0)+11),0))</f>
        <v>0</v>
      </c>
      <c r="AN31" s="633" cm="1">
        <f t="array" ref="AN31">IF(($J31+$V31)=0,0,IFERROR(IF(INDEX(Premises!$A$41:$F$41,1,$CH31)&lt;&gt;0,INDEX(Premises!$A$41:$F$41,1,$CH31)/100,(IFERROR(($J31/$I31)*$AM31,0)/($V31+$J31+$R31+$AL31))),0))</f>
        <v>0</v>
      </c>
      <c r="AO31" s="634">
        <f>IF(($J31+$V31)=0,0,IF(IFERROR(($J31+$R31+$V31+$AL31)*$AN31,0)&lt;&gt;IFERROR(($J31/$I31)*$AM31,0),($J31+$R31+$V31+$AL31)*$AN31,IFERROR(($J31/$I31)*$AM31,0)))</f>
        <v>0</v>
      </c>
      <c r="AP31" s="635">
        <f>$V31+$J31+$R31+$AA31+$AF31+$AL31+$AO31</f>
        <v>0</v>
      </c>
      <c r="AQ31" s="410"/>
      <c r="AR31" s="409"/>
      <c r="AS31" s="636" cm="1">
        <f t="array" ref="AS31">IF($CJ31=0,0,IFERROR(INDEX(MAT[Einheit],$CJ31,1),0))</f>
        <v>0</v>
      </c>
      <c r="AT31" s="637" cm="1">
        <f t="array" ref="AT31">IF($CJ31=0,0,IFERROR(INDEX(MAT[Preis],$CJ31,1),0))</f>
        <v>0</v>
      </c>
      <c r="AU31" s="638">
        <f>$AR31*$AT31</f>
        <v>0</v>
      </c>
      <c r="AV31" s="639" cm="1">
        <f t="array" ref="AV31">IF($AU31&lt;=0,0,INDEX(Premises!$A$30:$F$30,1,$CH31)/100)</f>
        <v>0</v>
      </c>
      <c r="AW31" s="409"/>
      <c r="AX31" s="631">
        <f>IF($AV31=0,0,($AU31+$AW31)*$AV31)</f>
        <v>0</v>
      </c>
      <c r="AY31" s="640" cm="1">
        <f t="array" ref="AY31">IF($AT31&lt;=0,0,IFERROR(IF(INDEX(Premises!$A$42:$F$42,1,$CH31)&lt;&gt;0,INDEX(Premises!$A$42:$F$42,1,$CH31)/100,(INDEX(MAT[],$CJ31,MATCH($CA31,MAT!$B$4:$AE$4,0))/($AR31*$CK31*INDEX(Premises!$A$13:$F$13,1,$CH31))+INDEX(MAT[],$CJ31,MATCH($CA31,MAT!$B$4:$AE$4,0)+7))/$AT31),0))</f>
        <v>0</v>
      </c>
      <c r="AZ31" s="631">
        <f>IF($AY31=0,0,($AU31+$AX31)*$AY31)</f>
        <v>0</v>
      </c>
      <c r="BA31" s="635">
        <f>$AU31+$AX31+$AZ31</f>
        <v>0</v>
      </c>
      <c r="BB31" s="635">
        <f>$AP31+$BA31</f>
        <v>0</v>
      </c>
      <c r="BC31" s="639" cm="1">
        <f t="array" ref="BC31">IF($BB31&lt;=0,0,IF(BC$2=-1,0,INDEX(Premises!$A$32:$F$32,1,$CH31)/100))</f>
        <v>0</v>
      </c>
      <c r="BD31" s="631">
        <f>IF($AP31&lt;=0,0,($AP31-$AA31-$AL31)*$BC31)</f>
        <v>0</v>
      </c>
      <c r="BE31" s="639" cm="1">
        <f t="array" ref="BE31">IF($BB31&lt;=0,0,IF(BE$2=-1,0,INDEX(Premises!$A$33:$F$33,1,$CH31)/100))</f>
        <v>0</v>
      </c>
      <c r="BF31" s="631">
        <f>IF($BA31&lt;=0,0,$BA31*$BE31)</f>
        <v>0</v>
      </c>
      <c r="BG31" s="639" cm="1">
        <f t="array" ref="BG31">IF($BB31&lt;=0,0,IF(BG$2=-1,0,INDEX(Premises!$A$31:$F$31,1,$CH31)/100))</f>
        <v>0</v>
      </c>
      <c r="BH31" s="631">
        <f>(($AP31-$AA31-$AL31)+$BA31)*$BG31</f>
        <v>0</v>
      </c>
      <c r="BI31" s="635">
        <f>$BB31+$BD31+$BF31+$BH31</f>
        <v>0</v>
      </c>
      <c r="BJ31" s="639" cm="1">
        <f t="array" ref="BJ31">IF($BB31&lt;=0,0,IF(BJ$2=-1,0,INDEX(Premises!$A$35:$F$35,1,$CH31)/100))</f>
        <v>0</v>
      </c>
      <c r="BK31" s="631">
        <f>IF($AP31&lt;=0,0,($AP31-$AL31-$AA31)*$BJ31)</f>
        <v>0</v>
      </c>
      <c r="BL31" s="639" cm="1">
        <f t="array" ref="BL31">IF($BB31&lt;=0,0,IF(BL$2=-1,0,INDEX(Premises!$A$36:$F$36,1,$CH31)/100))</f>
        <v>0</v>
      </c>
      <c r="BM31" s="631">
        <f>IF($AU31&lt;=0,0,($AR31*$AT31)*$BL31)</f>
        <v>0</v>
      </c>
      <c r="BN31" s="639" cm="1">
        <f t="array" ref="BN31">IF($BB31&lt;=0,0,IF(BN$2=-1,0,INDEX(Premises!$A$34:$F$34,1,$CH31)/100))</f>
        <v>0</v>
      </c>
      <c r="BO31" s="631">
        <f>(($AP31-$AL31-$AA31)+($AR31*$AT31))*$BN31</f>
        <v>0</v>
      </c>
      <c r="BP31" s="639" cm="1">
        <f t="array" ref="BP31">IF($BI31=0,0,INDEX(Premises!$A$37:$F$37,1,$CH31)/100)</f>
        <v>0</v>
      </c>
      <c r="BQ31" s="409"/>
      <c r="BR31" s="631">
        <f>($BI31+$BK31+$BM31+$BO31)*$BP31+$BQ31</f>
        <v>0</v>
      </c>
      <c r="BS31" s="641">
        <f>BI31+BK31+BM31+BO31+BR31</f>
        <v>0</v>
      </c>
      <c r="BT31" s="641">
        <f>IF($BS31=0,0,$CK31*$BS31)</f>
        <v>0</v>
      </c>
      <c r="BU31" s="642">
        <f>IF($BT31=0,0,MAX(1,$EB31/$DP31))</f>
        <v>0</v>
      </c>
      <c r="BV31" s="1147"/>
      <c r="BW31" s="418"/>
      <c r="BX31" s="418"/>
      <c r="BY31" s="419"/>
      <c r="BZ31" s="968"/>
      <c r="CA31" s="280" cm="1">
        <f t="array" ref="CA31">IF($BZ31&gt;0,VALUE(LEFT($BZ31,IF(ISERROR(FIND("-",$BZ31)),LEN($BZ31),FIND("-",$BZ31)-1))),INDEX($CA$1:$CA31,MAX(1,$CD31)))</f>
        <v>1</v>
      </c>
      <c r="CB31" s="280" cm="1">
        <f t="array" ref="CB31">IF($BT31=0,0,IF(LEN($BZ31)-LEN(SUBSTITUTE($BZ31,"-",""))&gt;1,
VALUE(MID($BZ31,FIND("-",$BZ31)+1,FIND("-",$BZ31,FIND("-",$BZ31)+1)-FIND("-",$BZ31)-1)),IF($BZ31&gt;0,0,INDEX($CB$1:$CB31,MAX(1,$CD31)))))</f>
        <v>0</v>
      </c>
      <c r="CC31" s="280" cm="1">
        <f t="array" ref="CC31">IF($BT31=0,0,IF(NOT(ISERROR(FIND("-",BZ31))),
VALUE(RIGHT($BZ31,LEN($BZ31)-IF(LEN($BZ31)-LEN(SUBSTITUTE($BZ31,"-",""))=1,FIND("-",$BZ31),FIND("-",$BZ31,FIND("-",$BZ31)+1)))),
IF($BZ31&gt;0,0,INDEX($CC$1:$CC31,MAX(1,$CD31)))))</f>
        <v>0</v>
      </c>
      <c r="CD31" s="393">
        <f>MATCH(0,$CE$1:$CE31,-1)</f>
        <v>25</v>
      </c>
      <c r="CE31" s="280"/>
      <c r="CF31" s="394"/>
      <c r="CG31" s="393" cm="1">
        <f t="array" ref="CG31">INDEX($CG$1:$CG31,$CD31)</f>
        <v>5</v>
      </c>
      <c r="CH31" s="280">
        <f>MATCH($CA31,Premises!$A$10:$F$10,0)</f>
        <v>4</v>
      </c>
      <c r="CI31" s="280">
        <f>IF(ISBLANK($E31),0,IFERROR(MATCH($E31,MHR[Bezeichnung],0),0))</f>
        <v>0</v>
      </c>
      <c r="CJ31" s="394">
        <f>IF(ISBLANK($AQ31),0,IFERROR(MATCH($AQ31,MAT[Bezeichnung],0),0))</f>
        <v>0</v>
      </c>
      <c r="CK31" s="280" cm="1">
        <f t="array" ref="CK31">INDEX($D$1:$D31,$CD31)</f>
        <v>1</v>
      </c>
      <c r="CL31" s="280"/>
      <c r="CM31" s="395"/>
      <c r="CN31" s="396" cm="1">
        <f t="array" ref="CN31">IF($CB31=0,0,IF($CB31=INDEX($CB$1:$CB31,$CD31),INDEX($CN$1:$CN31,$CD31),$CP31))</f>
        <v>0</v>
      </c>
      <c r="CO31" s="395"/>
      <c r="CP31" s="396" cm="1">
        <f t="array" ref="CP31">IF($CC31=0,0,INDEX($CP$1:$CP31,$CD31))</f>
        <v>0</v>
      </c>
      <c r="CQ31" s="397"/>
      <c r="CR31" s="398"/>
      <c r="CS31" s="398"/>
      <c r="CT31" s="1152"/>
      <c r="CU31" s="1149"/>
      <c r="CV31" s="647">
        <f>$J31*$CK31</f>
        <v>0</v>
      </c>
      <c r="CW31" s="648">
        <f>$R31*$CK31</f>
        <v>0</v>
      </c>
      <c r="CX31" s="648">
        <f>$V31*$CK31</f>
        <v>0</v>
      </c>
      <c r="CY31" s="648">
        <f>$AA31*$CK31</f>
        <v>0</v>
      </c>
      <c r="CZ31" s="648">
        <f>$AF31*$CK31</f>
        <v>0</v>
      </c>
      <c r="DA31" s="648">
        <f>$AL31*$CK31</f>
        <v>0</v>
      </c>
      <c r="DB31" s="648">
        <f>$AO31*$CK31</f>
        <v>0</v>
      </c>
      <c r="DC31" s="649">
        <f>$AP31*$CK31</f>
        <v>0</v>
      </c>
      <c r="DD31" s="648">
        <f>$AU31*$CK31</f>
        <v>0</v>
      </c>
      <c r="DE31" s="648">
        <f>$AX31*$CK31</f>
        <v>0</v>
      </c>
      <c r="DF31" s="648">
        <f>$AZ31*$CK31</f>
        <v>0</v>
      </c>
      <c r="DG31" s="649">
        <f>$BA31*$CK31</f>
        <v>0</v>
      </c>
      <c r="DH31" s="649">
        <f>$BB31*$CK31</f>
        <v>0</v>
      </c>
      <c r="DI31" s="648">
        <f>$BD31*$CK31</f>
        <v>0</v>
      </c>
      <c r="DJ31" s="648">
        <f>$BF31*$CK31</f>
        <v>0</v>
      </c>
      <c r="DK31" s="648">
        <f>$BH31*$CK31</f>
        <v>0</v>
      </c>
      <c r="DL31" s="648">
        <f>$BK31*$CK31</f>
        <v>0</v>
      </c>
      <c r="DM31" s="648">
        <f>$BM31*$CK31</f>
        <v>0</v>
      </c>
      <c r="DN31" s="648">
        <f>$BO31*$CK31</f>
        <v>0</v>
      </c>
      <c r="DO31" s="648">
        <f>$BR31*$CK31</f>
        <v>0</v>
      </c>
      <c r="DP31" s="651">
        <f>$CK31*($BB31+$BD31+$BF31+$BH31+$BK31+$BM31+$BO31+$BR31)</f>
        <v>0</v>
      </c>
      <c r="DQ31" s="951">
        <f>IF($CB31=0,0,$DP31*_xlfn.XLOOKUP($CB31,Premises!$A$10:$F$10,Premises!$A$30:$F$30)/100)</f>
        <v>0</v>
      </c>
      <c r="DR31" s="650">
        <f>IFERROR(SUM($DP31:$DQ31)*IF(INDEX(Premises!$A$42:$F$42,1,MATCH($CB31,Premises!$A$10:$F$10,0))&gt;0,INDEX(Premises!$A$42:$F$42,1,MATCH($CB31,Premises!$A$10:$F$10,0))%,$CN31),0)</f>
        <v>0</v>
      </c>
      <c r="DS31" s="650" cm="1">
        <f t="array" ref="DS31">IF($CB31=0,0,SUM($DP31:$DR31)*_xlfn.XLOOKUP($CB31,Premises!$A$10:$F$10,IF(INDEX(Settings[],MATCH(3001,Settings[ID],0),2)="B",Premises!$A$33:$F$33,Premises!$A$31:$F$31))/100)</f>
        <v>0</v>
      </c>
      <c r="DT31" s="650" cm="1">
        <f t="array" ref="DT31">IF($CB31=0,0,$DP31*_xlfn.XLOOKUP($CB31,Premises!$A$10:$F$10,IF(INDEX(Settings[],MATCH(3002,Settings[ID],0),2)="B",Premises!$A$36:$F$36,Premises!$A$34:$F$34))/100)</f>
        <v>0</v>
      </c>
      <c r="DU31" s="650">
        <f>IF($CB31=0,0,SUM($DP31:$DT31)*_xlfn.XLOOKUP($CB31,Premises!$A$10:$F$10,Premises!$A$37:$F$37)/100)</f>
        <v>0</v>
      </c>
      <c r="DV31" s="954">
        <f>SUM($DP31:$DU31)</f>
        <v>0</v>
      </c>
      <c r="DW31" s="951">
        <f>IF($CC31=0,0,$DV31*_xlfn.XLOOKUP($CC31,Premises!$A$10:$F$10,Premises!$A$30:$F$30)/100)</f>
        <v>0</v>
      </c>
      <c r="DX31" s="650">
        <f>IFERROR(SUM($DV31:$DW31)*IF(INDEX(Premises!$A$42:$F$42,1,MATCH($CC31,Premises!$A$10:$F$10,0))&gt;0,INDEX(Premises!$A$42:$F$42,1,MATCH($CC31,Premises!$A$10:$F$10,0))%,$CP31),0)</f>
        <v>0</v>
      </c>
      <c r="DY31" s="650" cm="1">
        <f t="array" ref="DY31">IF($CC31=0,0,SUM($DV31:$DX31)*_xlfn.XLOOKUP($CC31,Premises!$A$10:$F$10,IF(INDEX(Settings[],MATCH(3001,Settings[ID],0),2)="B",Premises!$A$33:$F$33,Premises!$A$31:$F$31))/100)</f>
        <v>0</v>
      </c>
      <c r="DZ31" s="650" cm="1">
        <f t="array" ref="DZ31">IF($CC31=0,0,$DV31*_xlfn.XLOOKUP($CC31,Premises!$A$10:$F$10,IF(INDEX(Settings[],MATCH(3002,Settings[ID],0),2)="B",Premises!$A$36:$F$36,Premises!$A$34:$F$34))/100)</f>
        <v>0</v>
      </c>
      <c r="EA31" s="650">
        <f>IF($CC31=0,0,SUM($DV31:$DZ31)*_xlfn.XLOOKUP($CC31,Premises!$A$10:$F$10,Premises!$A$37:$F$37)/100)</f>
        <v>0</v>
      </c>
      <c r="EB31" s="651">
        <f>SUM($DV31:$EA31)</f>
        <v>0</v>
      </c>
      <c r="EC31" s="805"/>
      <c r="ED31" s="1104"/>
      <c r="EE31" s="650"/>
      <c r="EF31" s="1110"/>
      <c r="EG31" s="1108"/>
      <c r="EH31" s="1108"/>
      <c r="EI31" s="1108"/>
      <c r="EJ31" s="1108"/>
      <c r="EK31" s="1108"/>
      <c r="EL31" s="1108"/>
      <c r="EM31" s="1110"/>
      <c r="EN31" s="1108"/>
      <c r="EO31" s="1108"/>
      <c r="EP31" s="1108"/>
      <c r="EQ31" s="1108"/>
      <c r="ER31" s="1110"/>
      <c r="ES31" s="1108"/>
      <c r="ET31" s="1108"/>
      <c r="EU31" s="1108"/>
      <c r="EV31" s="1108"/>
      <c r="EW31" s="1108"/>
      <c r="EX31" s="1111"/>
      <c r="EY31" s="2"/>
      <c r="EZ31" s="2"/>
      <c r="FA31" s="2"/>
      <c r="FB31" s="2"/>
      <c r="FC31" s="2"/>
      <c r="FD31" s="2"/>
      <c r="FE31" s="2"/>
      <c r="FF31" s="2"/>
      <c r="FG31" s="2"/>
      <c r="FH31" s="2"/>
      <c r="FI31" s="2"/>
      <c r="FJ31" s="420"/>
      <c r="FK31" s="421"/>
      <c r="FL31" s="422"/>
      <c r="FM31" s="1153"/>
    </row>
    <row r="32" spans="1:169" s="13" customFormat="1" ht="12.75" customHeight="1">
      <c r="A32" s="221"/>
      <c r="B32" s="1329" t="s">
        <v>4323</v>
      </c>
      <c r="C32" s="403"/>
      <c r="D32" s="646"/>
      <c r="E32" s="404"/>
      <c r="F32" s="405"/>
      <c r="G32" s="405"/>
      <c r="H32" s="405"/>
      <c r="I32" s="637" cm="1">
        <f t="array" ref="I32">IF($CI32=0,0,IFERROR(INDEX(MHR[],$CI32,MATCH($CA32,MHR!$B$4:$AY$4,0)),0))</f>
        <v>0</v>
      </c>
      <c r="J32" s="634">
        <f t="shared" si="48"/>
        <v>0</v>
      </c>
      <c r="K32" s="406"/>
      <c r="L32" s="407"/>
      <c r="M32" s="871"/>
      <c r="N32" s="407"/>
      <c r="O32" s="405"/>
      <c r="P32" s="645" cm="1">
        <f t="array" ref="P32">IF($K32=0,0,IFERROR(ROUNDUP(IF(ISNUMBER($K32),$K32,INDEX($D$1:$D32,$CD32)*INDEX(Premises!$A$13:$F$13,1,$CH32)/IF(OR($K32="T",$K32="D"),250,IF($K32="W",50,IF($K32="M",12,IF(OR($K32="HJ",$K32="HY"),2,IF(OR($K32="J",$K32="Y"),1,0)))))),0),0))</f>
        <v>0</v>
      </c>
      <c r="Q32" s="637" cm="1">
        <f t="array" ref="Q32">IF($K32=0,0,IFERROR(INDEX(Premises!$A$22:$F$22,1,$CH32)*100/INDEX(Premises!$A$16:$F$16,1,$CH32),0))</f>
        <v>0</v>
      </c>
      <c r="R32" s="634">
        <f t="shared" si="49"/>
        <v>0</v>
      </c>
      <c r="S32" s="408"/>
      <c r="T32" s="409"/>
      <c r="U32" s="637" cm="1">
        <f t="array" ref="U32">IF(COUNTBLANK($S32:$T32),0,
IF(AND(INDEX(MHR[Schichtmodell],$CI32)&lt;&gt;0,INDEX(MHR[Schichtmodell],$CI32)&lt;&gt;INDEX(Premises!$A$20:$F$20,1,$CH32)),ExchangeRate*
IF(OR($T32="M",$T32="U"),IF(INDEX(MHR[Schichtmodell],$CI32)=1,INDEX(LOC[M1S],INDEX(Premises!$A$18:$F$18,1,$CH32+1)),IF(INDEX(MHR[Schichtmodell],$CI32)=2,INDEX(LOC[M2S],INDEX(Premises!$A$18:$F$18,1,$CH32+1),IF(INDEX(MHR[Schichtmodell],$CI32)=3,INDEX(LOC[M3S],INDEX(Premises!$A$18:$F$18,1,$CH32+1)),0)))),
IF(INDEX(MHR[Schichtmodell],$CI32)=1,INDEX(LOC[F1S],INDEX(Premises!$A$18:$F$18,1,$CH32+1)),IF(INDEX(MHR[Schichtmodell],$CI32)=2,INDEX(LOC[F2S],INDEX(Premises!$A$18:$F$18,1,$CH32+1)),IF(INDEX(MHR[Schichtmodell],$CI32)=3,INDEX(LOC[F3S],INDEX(Premises!$A$18:$F$18,1,$CH32+1)),0)))),
IF(OR($T32="M",$T32="U"),INDEX(Premises!$A$21:$F$21,1,$CH32),
IF(OR($T32="F",$T32="S"),INDEX(Premises!$A$22:$F$22,1,$CH32),0)))*100/INDEX(Premises!$A$16:$F$16,1,$CH32))</f>
        <v>0</v>
      </c>
      <c r="V32" s="631">
        <f t="shared" si="50"/>
        <v>0</v>
      </c>
      <c r="W32" s="410"/>
      <c r="X32" s="403"/>
      <c r="Y32" s="411"/>
      <c r="Z32" s="412"/>
      <c r="AA32" s="628">
        <f t="shared" si="51"/>
        <v>0</v>
      </c>
      <c r="AB32" s="410"/>
      <c r="AC32" s="403"/>
      <c r="AD32" s="411"/>
      <c r="AE32" s="413"/>
      <c r="AF32" s="628">
        <f t="shared" si="52"/>
        <v>0</v>
      </c>
      <c r="AG32" s="629" cm="1">
        <f t="array" ref="AG32">IF(($J32+$V32+$AF32)=0,0,INDEX(Premises!$A$30:$F$30,1,$CH32)/100)</f>
        <v>0</v>
      </c>
      <c r="AH32" s="414"/>
      <c r="AI32" s="415"/>
      <c r="AJ32" s="416"/>
      <c r="AK32" s="630">
        <f t="shared" si="53"/>
        <v>0</v>
      </c>
      <c r="AL32" s="631">
        <f t="shared" si="54"/>
        <v>0</v>
      </c>
      <c r="AM32" s="632" cm="1">
        <f t="array" ref="AM32">IF($CI32=0,0,IFERROR(INDEX(MHR[],$CI32,MATCH($CA32,MHR!$B$4:$AY$4,0)+11),0))</f>
        <v>0</v>
      </c>
      <c r="AN32" s="633" cm="1">
        <f t="array" ref="AN32">IF(($J32+$V32)=0,0,IFERROR(IF(INDEX(Premises!$A$41:$F$41,1,$CH32)&lt;&gt;0,INDEX(Premises!$A$41:$F$41,1,$CH32)/100,(IFERROR(($J32/$I32)*$AM32,0)/($V32+$J32+$R32+$AL32))),0))</f>
        <v>0</v>
      </c>
      <c r="AO32" s="634">
        <f t="shared" si="55"/>
        <v>0</v>
      </c>
      <c r="AP32" s="635">
        <f t="shared" si="56"/>
        <v>0</v>
      </c>
      <c r="AQ32" s="410"/>
      <c r="AR32" s="409"/>
      <c r="AS32" s="636" cm="1">
        <f t="array" ref="AS32">IF($CJ32=0,0,IFERROR(INDEX(MAT[Einheit],$CJ32,1),0))</f>
        <v>0</v>
      </c>
      <c r="AT32" s="637" cm="1">
        <f t="array" ref="AT32">IF($CJ32=0,0,IFERROR(INDEX(MAT[Preis],$CJ32,1),0))</f>
        <v>0</v>
      </c>
      <c r="AU32" s="638">
        <f t="shared" si="57"/>
        <v>0</v>
      </c>
      <c r="AV32" s="639" cm="1">
        <f t="array" ref="AV32">IF($AU32&lt;=0,0,INDEX(Premises!$A$30:$F$30,1,$CH32)/100)</f>
        <v>0</v>
      </c>
      <c r="AW32" s="409"/>
      <c r="AX32" s="631">
        <f t="shared" si="58"/>
        <v>0</v>
      </c>
      <c r="AY32" s="640" cm="1">
        <f t="array" ref="AY32">IF($AT32&lt;=0,0,IFERROR(IF(INDEX(Premises!$A$42:$F$42,1,$CH32)&lt;&gt;0,INDEX(Premises!$A$42:$F$42,1,$CH32)/100,(INDEX(MAT[],$CJ32,MATCH($CA32,MAT!$B$4:$AE$4,0))/($AR32*$CK32*INDEX(Premises!$A$13:$F$13,1,$CH32))+INDEX(MAT[],$CJ32,MATCH($CA32,MAT!$B$4:$AE$4,0)+7))/$AT32),0))</f>
        <v>0</v>
      </c>
      <c r="AZ32" s="631">
        <f t="shared" si="59"/>
        <v>0</v>
      </c>
      <c r="BA32" s="635">
        <f t="shared" si="60"/>
        <v>0</v>
      </c>
      <c r="BB32" s="635">
        <f t="shared" si="61"/>
        <v>0</v>
      </c>
      <c r="BC32" s="639" cm="1">
        <f t="array" ref="BC32">IF($BB32&lt;=0,0,IF(BC$2=-1,0,INDEX(Premises!$A$32:$F$32,1,$CH32)/100))</f>
        <v>0</v>
      </c>
      <c r="BD32" s="631">
        <f t="shared" si="62"/>
        <v>0</v>
      </c>
      <c r="BE32" s="639" cm="1">
        <f t="array" ref="BE32">IF($BB32&lt;=0,0,IF(BE$2=-1,0,INDEX(Premises!$A$33:$F$33,1,$CH32)/100))</f>
        <v>0</v>
      </c>
      <c r="BF32" s="631">
        <f t="shared" si="63"/>
        <v>0</v>
      </c>
      <c r="BG32" s="639" cm="1">
        <f t="array" ref="BG32">IF($BB32&lt;=0,0,IF(BG$2=-1,0,INDEX(Premises!$A$31:$F$31,1,$CH32)/100))</f>
        <v>0</v>
      </c>
      <c r="BH32" s="631">
        <f t="shared" si="64"/>
        <v>0</v>
      </c>
      <c r="BI32" s="635">
        <f t="shared" si="65"/>
        <v>0</v>
      </c>
      <c r="BJ32" s="639" cm="1">
        <f t="array" ref="BJ32">IF($BB32&lt;=0,0,IF(BJ$2=-1,0,INDEX(Premises!$A$35:$F$35,1,$CH32)/100))</f>
        <v>0</v>
      </c>
      <c r="BK32" s="631">
        <f t="shared" si="66"/>
        <v>0</v>
      </c>
      <c r="BL32" s="639" cm="1">
        <f t="array" ref="BL32">IF($BB32&lt;=0,0,IF(BL$2=-1,0,INDEX(Premises!$A$36:$F$36,1,$CH32)/100))</f>
        <v>0</v>
      </c>
      <c r="BM32" s="631">
        <f t="shared" si="67"/>
        <v>0</v>
      </c>
      <c r="BN32" s="639" cm="1">
        <f t="array" ref="BN32">IF($BB32&lt;=0,0,IF(BN$2=-1,0,INDEX(Premises!$A$34:$F$34,1,$CH32)/100))</f>
        <v>0</v>
      </c>
      <c r="BO32" s="631">
        <f t="shared" si="68"/>
        <v>0</v>
      </c>
      <c r="BP32" s="639" cm="1">
        <f t="array" ref="BP32">IF($BI32=0,0,INDEX(Premises!$A$37:$F$37,1,$CH32)/100)</f>
        <v>0</v>
      </c>
      <c r="BQ32" s="409"/>
      <c r="BR32" s="631">
        <f t="shared" si="69"/>
        <v>0</v>
      </c>
      <c r="BS32" s="641">
        <f t="shared" si="70"/>
        <v>0</v>
      </c>
      <c r="BT32" s="641">
        <f t="shared" si="71"/>
        <v>0</v>
      </c>
      <c r="BU32" s="642">
        <f t="shared" si="72"/>
        <v>0</v>
      </c>
      <c r="BV32" s="1147"/>
      <c r="BW32" s="418"/>
      <c r="BX32" s="418"/>
      <c r="BY32" s="419"/>
      <c r="BZ32" s="968"/>
      <c r="CA32" s="280" cm="1">
        <f t="array" ref="CA32">IF($BZ32&gt;0,VALUE(LEFT($BZ32,IF(ISERROR(FIND("-",$BZ32)),LEN($BZ32),FIND("-",$BZ32)-1))),INDEX($CA$1:$CA32,MAX(1,$CD32)))</f>
        <v>1</v>
      </c>
      <c r="CB32" s="280" cm="1">
        <f t="array" ref="CB32">IF($BT32=0,0,IF(LEN($BZ32)-LEN(SUBSTITUTE($BZ32,"-",""))&gt;1,
VALUE(MID($BZ32,FIND("-",$BZ32)+1,FIND("-",$BZ32,FIND("-",$BZ32)+1)-FIND("-",$BZ32)-1)),IF($BZ32&gt;0,0,INDEX($CB$1:$CB32,MAX(1,$CD32)))))</f>
        <v>0</v>
      </c>
      <c r="CC32" s="280" cm="1">
        <f t="array" ref="CC32">IF($BT32=0,0,IF(NOT(ISERROR(FIND("-",BZ32))),
VALUE(RIGHT($BZ32,LEN($BZ32)-IF(LEN($BZ32)-LEN(SUBSTITUTE($BZ32,"-",""))=1,FIND("-",$BZ32),FIND("-",$BZ32,FIND("-",$BZ32)+1)))),
IF($BZ32&gt;0,0,INDEX($CC$1:$CC32,MAX(1,$CD32)))))</f>
        <v>0</v>
      </c>
      <c r="CD32" s="393">
        <f>MATCH(0,$CE$1:$CE32,-1)</f>
        <v>25</v>
      </c>
      <c r="CE32" s="280"/>
      <c r="CF32" s="394"/>
      <c r="CG32" s="393" cm="1">
        <f t="array" ref="CG32">INDEX($CG$1:$CG32,$CD32)</f>
        <v>5</v>
      </c>
      <c r="CH32" s="280">
        <f>MATCH($CA32,Premises!$A$10:$F$10,0)</f>
        <v>4</v>
      </c>
      <c r="CI32" s="280">
        <f>IF(ISBLANK($E32),0,IFERROR(MATCH($E32,MHR[Bezeichnung],0),0))</f>
        <v>0</v>
      </c>
      <c r="CJ32" s="394">
        <f>IF(ISBLANK($AQ32),0,IFERROR(MATCH($AQ32,MAT[Bezeichnung],0),0))</f>
        <v>0</v>
      </c>
      <c r="CK32" s="280" cm="1">
        <f t="array" ref="CK32">INDEX($D$1:$D32,$CD32)</f>
        <v>1</v>
      </c>
      <c r="CL32" s="280"/>
      <c r="CM32" s="395"/>
      <c r="CN32" s="396" cm="1">
        <f t="array" ref="CN32">IF($CB32=0,0,IF($CB32=INDEX($CB$1:$CB32,$CD32),INDEX($CN$1:$CN32,$CD32),$CP32))</f>
        <v>0</v>
      </c>
      <c r="CO32" s="395"/>
      <c r="CP32" s="396" cm="1">
        <f t="array" ref="CP32">IF($CC32=0,0,INDEX($CP$1:$CP32,$CD32))</f>
        <v>0</v>
      </c>
      <c r="CQ32" s="397"/>
      <c r="CR32" s="398"/>
      <c r="CS32" s="398"/>
      <c r="CT32" s="1152"/>
      <c r="CU32" s="1149"/>
      <c r="CV32" s="647">
        <f t="shared" si="73"/>
        <v>0</v>
      </c>
      <c r="CW32" s="648">
        <f t="shared" si="74"/>
        <v>0</v>
      </c>
      <c r="CX32" s="648">
        <f t="shared" si="75"/>
        <v>0</v>
      </c>
      <c r="CY32" s="648">
        <f t="shared" si="76"/>
        <v>0</v>
      </c>
      <c r="CZ32" s="648">
        <f t="shared" si="77"/>
        <v>0</v>
      </c>
      <c r="DA32" s="648">
        <f t="shared" si="78"/>
        <v>0</v>
      </c>
      <c r="DB32" s="648">
        <f t="shared" si="79"/>
        <v>0</v>
      </c>
      <c r="DC32" s="649">
        <f t="shared" si="80"/>
        <v>0</v>
      </c>
      <c r="DD32" s="648">
        <f t="shared" si="81"/>
        <v>0</v>
      </c>
      <c r="DE32" s="648">
        <f t="shared" si="82"/>
        <v>0</v>
      </c>
      <c r="DF32" s="648">
        <f t="shared" si="83"/>
        <v>0</v>
      </c>
      <c r="DG32" s="649">
        <f t="shared" si="84"/>
        <v>0</v>
      </c>
      <c r="DH32" s="649">
        <f t="shared" si="85"/>
        <v>0</v>
      </c>
      <c r="DI32" s="648">
        <f t="shared" si="86"/>
        <v>0</v>
      </c>
      <c r="DJ32" s="648">
        <f t="shared" si="87"/>
        <v>0</v>
      </c>
      <c r="DK32" s="648">
        <f t="shared" si="88"/>
        <v>0</v>
      </c>
      <c r="DL32" s="648">
        <f t="shared" si="89"/>
        <v>0</v>
      </c>
      <c r="DM32" s="648">
        <f t="shared" si="90"/>
        <v>0</v>
      </c>
      <c r="DN32" s="648">
        <f t="shared" si="91"/>
        <v>0</v>
      </c>
      <c r="DO32" s="648">
        <f t="shared" si="92"/>
        <v>0</v>
      </c>
      <c r="DP32" s="651">
        <f t="shared" si="93"/>
        <v>0</v>
      </c>
      <c r="DQ32" s="951">
        <f>IF($CB32=0,0,$DP32*_xlfn.XLOOKUP($CB32,Premises!$A$10:$F$10,Premises!$A$30:$F$30)/100)</f>
        <v>0</v>
      </c>
      <c r="DR32" s="650">
        <f>IFERROR(SUM($DP32:$DQ32)*IF(INDEX(Premises!$A$42:$F$42,1,MATCH($CB32,Premises!$A$10:$F$10,0))&gt;0,INDEX(Premises!$A$42:$F$42,1,MATCH($CB32,Premises!$A$10:$F$10,0))%,$CN32),0)</f>
        <v>0</v>
      </c>
      <c r="DS32" s="650" cm="1">
        <f t="array" ref="DS32">IF($CB32=0,0,SUM($DP32:$DR32)*_xlfn.XLOOKUP($CB32,Premises!$A$10:$F$10,IF(INDEX(Settings[],MATCH(3001,Settings[ID],0),2)="B",Premises!$A$33:$F$33,Premises!$A$31:$F$31))/100)</f>
        <v>0</v>
      </c>
      <c r="DT32" s="650" cm="1">
        <f t="array" ref="DT32">IF($CB32=0,0,$DP32*_xlfn.XLOOKUP($CB32,Premises!$A$10:$F$10,IF(INDEX(Settings[],MATCH(3002,Settings[ID],0),2)="B",Premises!$A$36:$F$36,Premises!$A$34:$F$34))/100)</f>
        <v>0</v>
      </c>
      <c r="DU32" s="650">
        <f>IF($CB32=0,0,SUM($DP32:$DT32)*_xlfn.XLOOKUP($CB32,Premises!$A$10:$F$10,Premises!$A$37:$F$37)/100)</f>
        <v>0</v>
      </c>
      <c r="DV32" s="954">
        <f t="shared" si="94"/>
        <v>0</v>
      </c>
      <c r="DW32" s="951">
        <f>IF($CC32=0,0,$DV32*_xlfn.XLOOKUP($CC32,Premises!$A$10:$F$10,Premises!$A$30:$F$30)/100)</f>
        <v>0</v>
      </c>
      <c r="DX32" s="650">
        <f>IFERROR(SUM($DV32:$DW32)*IF(INDEX(Premises!$A$42:$F$42,1,MATCH($CC32,Premises!$A$10:$F$10,0))&gt;0,INDEX(Premises!$A$42:$F$42,1,MATCH($CC32,Premises!$A$10:$F$10,0))%,$CP32),0)</f>
        <v>0</v>
      </c>
      <c r="DY32" s="650" cm="1">
        <f t="array" ref="DY32">IF($CC32=0,0,SUM($DV32:$DX32)*_xlfn.XLOOKUP($CC32,Premises!$A$10:$F$10,IF(INDEX(Settings[],MATCH(3001,Settings[ID],0),2)="B",Premises!$A$33:$F$33,Premises!$A$31:$F$31))/100)</f>
        <v>0</v>
      </c>
      <c r="DZ32" s="650" cm="1">
        <f t="array" ref="DZ32">IF($CC32=0,0,$DV32*_xlfn.XLOOKUP($CC32,Premises!$A$10:$F$10,IF(INDEX(Settings[],MATCH(3002,Settings[ID],0),2)="B",Premises!$A$36:$F$36,Premises!$A$34:$F$34))/100)</f>
        <v>0</v>
      </c>
      <c r="EA32" s="650">
        <f>IF($CC32=0,0,SUM($DV32:$DZ32)*_xlfn.XLOOKUP($CC32,Premises!$A$10:$F$10,Premises!$A$37:$F$37)/100)</f>
        <v>0</v>
      </c>
      <c r="EB32" s="651">
        <f t="shared" si="95"/>
        <v>0</v>
      </c>
      <c r="EC32" s="805"/>
      <c r="ED32" s="1104"/>
      <c r="EE32" s="650"/>
      <c r="EF32" s="1110"/>
      <c r="EG32" s="1108"/>
      <c r="EH32" s="1108"/>
      <c r="EI32" s="1108"/>
      <c r="EJ32" s="1108"/>
      <c r="EK32" s="1108"/>
      <c r="EL32" s="1108"/>
      <c r="EM32" s="1110"/>
      <c r="EN32" s="1108"/>
      <c r="EO32" s="1108"/>
      <c r="EP32" s="1108"/>
      <c r="EQ32" s="1108"/>
      <c r="ER32" s="1110"/>
      <c r="ES32" s="1108"/>
      <c r="ET32" s="1108"/>
      <c r="EU32" s="1108"/>
      <c r="EV32" s="1108"/>
      <c r="EW32" s="1108"/>
      <c r="EX32" s="1111"/>
      <c r="EY32" s="2"/>
      <c r="EZ32" s="2"/>
      <c r="FA32" s="2"/>
      <c r="FB32" s="2"/>
      <c r="FC32" s="2"/>
      <c r="FD32" s="2"/>
      <c r="FE32" s="2"/>
      <c r="FF32" s="2"/>
      <c r="FG32" s="2"/>
      <c r="FH32" s="2"/>
      <c r="FI32" s="2"/>
      <c r="FJ32" s="420"/>
      <c r="FK32" s="421"/>
      <c r="FL32" s="422"/>
      <c r="FM32" s="1153"/>
    </row>
    <row r="33" spans="1:169" s="13" customFormat="1" ht="12.75" customHeight="1">
      <c r="A33" s="221"/>
      <c r="B33" s="402" t="s">
        <v>4330</v>
      </c>
      <c r="C33" s="403"/>
      <c r="D33" s="646"/>
      <c r="E33" s="404" t="s">
        <v>4328</v>
      </c>
      <c r="F33" s="405">
        <v>15.69</v>
      </c>
      <c r="G33" s="405" t="s">
        <v>93</v>
      </c>
      <c r="H33" s="405">
        <v>1</v>
      </c>
      <c r="I33" s="637" cm="1">
        <f t="array" ref="I33">IF($CI33=0,0,IFERROR(INDEX(MHR[],$CI33,MATCH($CA33,MHR!$B$4:$AY$4,0)),0))</f>
        <v>8.8645982142857136</v>
      </c>
      <c r="J33" s="634">
        <f>IF(COUNTBLANK($E33:$H33),0,IFERROR($F33/$H33/IF($G33="s",3600,IF($G33="min",60,IF($G33="h",1,0)))*I33,0))</f>
        <v>3.8634873883928562E-2</v>
      </c>
      <c r="K33" s="406" t="s">
        <v>49</v>
      </c>
      <c r="L33" s="407">
        <v>10</v>
      </c>
      <c r="M33" s="871">
        <v>1</v>
      </c>
      <c r="N33" s="407"/>
      <c r="O33" s="405"/>
      <c r="P33" s="645" cm="1">
        <f t="array" ref="P33">IF($K33=0,0,IFERROR(ROUNDUP(IF(ISNUMBER($K33),$K33,INDEX($D$1:$D33,$CD33)*INDEX(Premises!$A$13:$F$13,1,$CH33)/IF(OR($K33="T",$K33="D"),250,IF($K33="W",50,IF($K33="M",12,IF(OR($K33="HJ",$K33="HY"),2,IF(OR($K33="J",$K33="Y"),1,0)))))),0),0))</f>
        <v>3334</v>
      </c>
      <c r="Q33" s="637" cm="1">
        <f t="array" ref="Q33">IF($K33=0,0,IFERROR(INDEX(Premises!$A$22:$F$22,1,$CH33)*100/INDEX(Premises!$A$16:$F$16,1,$CH33),0))</f>
        <v>16.925000000000001</v>
      </c>
      <c r="R33" s="634">
        <f>IF($P33=0,0,IFERROR(($L33/60*($I33+$Q33*$M33)+($N33/60*($Q33*$O33)))/$P33,0))</f>
        <v>1.2892220663010255E-3</v>
      </c>
      <c r="S33" s="408">
        <v>0.2</v>
      </c>
      <c r="T33" s="409" t="s">
        <v>275</v>
      </c>
      <c r="U33" s="637" cm="1">
        <f t="array" ref="U33">IF(COUNTBLANK($S33:$T33),0,
IF(AND(INDEX(MHR[Schichtmodell],$CI33)&lt;&gt;0,INDEX(MHR[Schichtmodell],$CI33)&lt;&gt;INDEX(Premises!$A$20:$F$20,1,$CH33)),ExchangeRate*
IF(OR($T33="M",$T33="U"),IF(INDEX(MHR[Schichtmodell],$CI33)=1,INDEX(LOC[M1S],INDEX(Premises!$A$18:$F$18,1,$CH33+1)),IF(INDEX(MHR[Schichtmodell],$CI33)=2,INDEX(LOC[M2S],INDEX(Premises!$A$18:$F$18,1,$CH33+1),IF(INDEX(MHR[Schichtmodell],$CI33)=3,INDEX(LOC[M3S],INDEX(Premises!$A$18:$F$18,1,$CH33+1)),0)))),
IF(INDEX(MHR[Schichtmodell],$CI33)=1,INDEX(LOC[F1S],INDEX(Premises!$A$18:$F$18,1,$CH33+1)),IF(INDEX(MHR[Schichtmodell],$CI33)=2,INDEX(LOC[F2S],INDEX(Premises!$A$18:$F$18,1,$CH33+1)),IF(INDEX(MHR[Schichtmodell],$CI33)=3,INDEX(LOC[F3S],INDEX(Premises!$A$18:$F$18,1,$CH33+1)),0)))),
IF(OR($T33="M",$T33="U"),INDEX(Premises!$A$21:$F$21,1,$CH33),
IF(OR($T33="F",$T33="S"),INDEX(Premises!$A$22:$F$22,1,$CH33),0)))*100/INDEX(Premises!$A$16:$F$16,1,$CH33))</f>
        <v>12.037500000000001</v>
      </c>
      <c r="V33" s="631">
        <f>IF($U33=0,0,IFERROR($F33/$H33/IF($G33="s",3600,IF($G33="min",60,IF($G33="h",1,0)))*$S33*$U33,0))</f>
        <v>1.04926875E-2</v>
      </c>
      <c r="W33" s="410"/>
      <c r="X33" s="403"/>
      <c r="Y33" s="411"/>
      <c r="Z33" s="412"/>
      <c r="AA33" s="628">
        <f>IFERROR($X33*$Z33/$Y33/MAX(1,$H33),0)</f>
        <v>0</v>
      </c>
      <c r="AB33" s="410"/>
      <c r="AC33" s="403"/>
      <c r="AD33" s="411"/>
      <c r="AE33" s="413"/>
      <c r="AF33" s="628">
        <f>IFERROR($AC33*$AE33/$AD33,0)</f>
        <v>0</v>
      </c>
      <c r="AG33" s="629" cm="1">
        <f t="array" ref="AG33">IF(($J33+$V33+$AF33)=0,0,INDEX(Premises!$A$30:$F$30,1,$CH33)/100)</f>
        <v>0.01</v>
      </c>
      <c r="AH33" s="414"/>
      <c r="AI33" s="415"/>
      <c r="AJ33" s="416"/>
      <c r="AK33" s="630">
        <f>IF(COUNTBLANK($AH33:$AI33),0,$AH33*$AI33*$AG33)</f>
        <v>0</v>
      </c>
      <c r="AL33" s="631">
        <f>($AK33+$AJ33*$AG33*(1-$AH33)+($J33+$V33+$AF33)*$AG33*(1-$AH33))</f>
        <v>4.9127561383928561E-4</v>
      </c>
      <c r="AM33" s="632" cm="1">
        <f t="array" ref="AM33">IF($CI33=0,0,IFERROR(INDEX(MHR[],$CI33,MATCH($CA33,MHR!$B$4:$AY$4,0)+11),0))</f>
        <v>2.4753275148630598</v>
      </c>
      <c r="AN33" s="633" cm="1">
        <f t="array" ref="AN33">IF(($J33+$V33)=0,0,IFERROR(IF(INDEX(Premises!$A$41:$F$41,1,$CH33)&lt;&gt;0,INDEX(Premises!$A$41:$F$41,1,$CH33)/100,(IFERROR(($J33/$I33)*$AM33,0)/($V33+$J33+$R33+$AL33))),0))</f>
        <v>0.21191737845215289</v>
      </c>
      <c r="AO33" s="634">
        <f>IF(($J33+$V33)=0,0,IF(IFERROR(($J33+$R33+$V33+$AL33)*$AN33,0)&lt;&gt;IFERROR(($J33/$I33)*$AM33,0),($J33+$R33+$V33+$AL33)*$AN33,IFERROR(($J33/$I33)*$AM33,0)))</f>
        <v>1.0788302418944835E-2</v>
      </c>
      <c r="AP33" s="635">
        <f>$V33+$J33+$R33+$AA33+$AF33+$AL33+$AO33</f>
        <v>6.1696361483013711E-2</v>
      </c>
      <c r="AQ33" s="410"/>
      <c r="AR33" s="409"/>
      <c r="AS33" s="636" cm="1">
        <f t="array" ref="AS33">IF($CJ33=0,0,IFERROR(INDEX(MAT[Einheit],$CJ33,1),0))</f>
        <v>0</v>
      </c>
      <c r="AT33" s="637" cm="1">
        <f t="array" ref="AT33">IF($CJ33=0,0,IFERROR(INDEX(MAT[Preis],$CJ33,1),0))</f>
        <v>0</v>
      </c>
      <c r="AU33" s="638">
        <f>$AR33*$AT33</f>
        <v>0</v>
      </c>
      <c r="AV33" s="639" cm="1">
        <f t="array" ref="AV33">IF($AU33&lt;=0,0,INDEX(Premises!$A$30:$F$30,1,$CH33)/100)</f>
        <v>0</v>
      </c>
      <c r="AW33" s="409"/>
      <c r="AX33" s="631">
        <f>IF($AV33=0,0,($AU33+$AW33)*$AV33)</f>
        <v>0</v>
      </c>
      <c r="AY33" s="640" cm="1">
        <f t="array" ref="AY33">IF($AT33&lt;=0,0,IFERROR(IF(INDEX(Premises!$A$42:$F$42,1,$CH33)&lt;&gt;0,INDEX(Premises!$A$42:$F$42,1,$CH33)/100,(INDEX(MAT[],$CJ33,MATCH($CA33,MAT!$B$4:$AE$4,0))/($AR33*$CK33*INDEX(Premises!$A$13:$F$13,1,$CH33))+INDEX(MAT[],$CJ33,MATCH($CA33,MAT!$B$4:$AE$4,0)+7))/$AT33),0))</f>
        <v>0</v>
      </c>
      <c r="AZ33" s="631">
        <f>IF($AY33=0,0,($AU33+$AX33)*$AY33)</f>
        <v>0</v>
      </c>
      <c r="BA33" s="635">
        <f>$AU33+$AX33+$AZ33</f>
        <v>0</v>
      </c>
      <c r="BB33" s="635">
        <f>$AP33+$BA33</f>
        <v>6.1696361483013711E-2</v>
      </c>
      <c r="BC33" s="639" cm="1">
        <f t="array" ref="BC33">IF($BB33&lt;=0,0,IF(BC$2=-1,0,INDEX(Premises!$A$32:$F$32,1,$CH33)/100))</f>
        <v>0</v>
      </c>
      <c r="BD33" s="631">
        <f>IF($AP33&lt;=0,0,($AP33-$AA33-$AL33)*$BC33)</f>
        <v>0</v>
      </c>
      <c r="BE33" s="639" cm="1">
        <f t="array" ref="BE33">IF($BB33&lt;=0,0,IF(BE$2=-1,0,INDEX(Premises!$A$33:$F$33,1,$CH33)/100))</f>
        <v>0</v>
      </c>
      <c r="BF33" s="631">
        <f>IF($BA33&lt;=0,0,$BA33*$BE33)</f>
        <v>0</v>
      </c>
      <c r="BG33" s="639" cm="1">
        <f t="array" ref="BG33">IF($BB33&lt;=0,0,IF(BG$2=-1,0,INDEX(Premises!$A$31:$F$31,1,$CH33)/100))</f>
        <v>0.125</v>
      </c>
      <c r="BH33" s="631">
        <f>(($AP33-$AA33-$AL33)+$BA33)*$BG33</f>
        <v>7.6506357336468033E-3</v>
      </c>
      <c r="BI33" s="635">
        <f>$BB33+$BD33+$BF33+$BH33</f>
        <v>6.9346997216660516E-2</v>
      </c>
      <c r="BJ33" s="639" cm="1">
        <f t="array" ref="BJ33">IF($BB33&lt;=0,0,IF(BJ$2=-1,0,INDEX(Premises!$A$35:$F$35,1,$CH33)/100))</f>
        <v>0</v>
      </c>
      <c r="BK33" s="631">
        <f>IF($AP33&lt;=0,0,($AP33-$AL33-$AA33)*$BJ33)</f>
        <v>0</v>
      </c>
      <c r="BL33" s="639" cm="1">
        <f t="array" ref="BL33">IF($BB33&lt;=0,0,IF(BL$2=-1,0,INDEX(Premises!$A$36:$F$36,1,$CH33)/100))</f>
        <v>0</v>
      </c>
      <c r="BM33" s="631">
        <f>IF($AU33&lt;=0,0,($AR33*$AT33)*$BL33)</f>
        <v>0</v>
      </c>
      <c r="BN33" s="639" cm="1">
        <f t="array" ref="BN33">IF($BB33&lt;=0,0,IF(BN$2=-1,0,INDEX(Premises!$A$34:$F$34,1,$CH33)/100))</f>
        <v>0.06</v>
      </c>
      <c r="BO33" s="631">
        <f>(($AP33-$AL33-$AA33)+($AR33*$AT33))*$BN33</f>
        <v>3.6723051521504652E-3</v>
      </c>
      <c r="BP33" s="639" cm="1">
        <f t="array" ref="BP33">IF($BI33=0,0,INDEX(Premises!$A$37:$F$37,1,$CH33)/100)</f>
        <v>0</v>
      </c>
      <c r="BQ33" s="409"/>
      <c r="BR33" s="631">
        <f>($BI33+$BK33+$BM33+$BO33)*$BP33+$BQ33</f>
        <v>0</v>
      </c>
      <c r="BS33" s="641">
        <f>BI33+BK33+BM33+BO33+BR33</f>
        <v>7.3019302368810976E-2</v>
      </c>
      <c r="BT33" s="641">
        <f>IF($BS33=0,0,$CK33*$BS33)</f>
        <v>7.3019302368810976E-2</v>
      </c>
      <c r="BU33" s="642">
        <f>IF($BT33=0,0,MAX(1,$EB33/$DP33))</f>
        <v>1</v>
      </c>
      <c r="BV33" s="1147"/>
      <c r="BW33" s="418"/>
      <c r="BX33" s="418"/>
      <c r="BY33" s="419"/>
      <c r="BZ33" s="968"/>
      <c r="CA33" s="280" cm="1">
        <f t="array" ref="CA33">IF($BZ33&gt;0,VALUE(LEFT($BZ33,IF(ISERROR(FIND("-",$BZ33)),LEN($BZ33),FIND("-",$BZ33)-1))),INDEX($CA$1:$CA33,MAX(1,$CD33)))</f>
        <v>1</v>
      </c>
      <c r="CB33" s="280" cm="1">
        <f t="array" ref="CB33">IF($BT33=0,0,IF(LEN($BZ33)-LEN(SUBSTITUTE($BZ33,"-",""))&gt;1,
VALUE(MID($BZ33,FIND("-",$BZ33)+1,FIND("-",$BZ33,FIND("-",$BZ33)+1)-FIND("-",$BZ33)-1)),IF($BZ33&gt;0,0,INDEX($CB$1:$CB33,MAX(1,$CD33)))))</f>
        <v>0</v>
      </c>
      <c r="CC33" s="280" cm="1">
        <f t="array" ref="CC33">IF($BT33=0,0,IF(NOT(ISERROR(FIND("-",BZ33))),
VALUE(RIGHT($BZ33,LEN($BZ33)-IF(LEN($BZ33)-LEN(SUBSTITUTE($BZ33,"-",""))=1,FIND("-",$BZ33),FIND("-",$BZ33,FIND("-",$BZ33)+1)))),
IF($BZ33&gt;0,0,INDEX($CC$1:$CC33,MAX(1,$CD33)))))</f>
        <v>0</v>
      </c>
      <c r="CD33" s="393">
        <f>MATCH(0,$CE$1:$CE33,-1)</f>
        <v>25</v>
      </c>
      <c r="CE33" s="280"/>
      <c r="CF33" s="394"/>
      <c r="CG33" s="393" cm="1">
        <f t="array" ref="CG33">INDEX($CG$1:$CG33,$CD33)</f>
        <v>5</v>
      </c>
      <c r="CH33" s="280">
        <f>MATCH($CA33,Premises!$A$10:$F$10,0)</f>
        <v>4</v>
      </c>
      <c r="CI33" s="280">
        <f>IF(ISBLANK($E33),0,IFERROR(MATCH($E33,MHR[Bezeichnung],0),0))</f>
        <v>3</v>
      </c>
      <c r="CJ33" s="394">
        <f>IF(ISBLANK($AQ33),0,IFERROR(MATCH($AQ33,MAT[Bezeichnung],0),0))</f>
        <v>0</v>
      </c>
      <c r="CK33" s="280" cm="1">
        <f t="array" ref="CK33">INDEX($D$1:$D33,$CD33)</f>
        <v>1</v>
      </c>
      <c r="CL33" s="280"/>
      <c r="CM33" s="395"/>
      <c r="CN33" s="396" cm="1">
        <f t="array" ref="CN33">IF($CB33=0,0,IF($CB33=INDEX($CB$1:$CB33,$CD33),INDEX($CN$1:$CN33,$CD33),$CP33))</f>
        <v>0</v>
      </c>
      <c r="CO33" s="395"/>
      <c r="CP33" s="396" cm="1">
        <f t="array" ref="CP33">IF($CC33=0,0,INDEX($CP$1:$CP33,$CD33))</f>
        <v>0</v>
      </c>
      <c r="CQ33" s="397"/>
      <c r="CR33" s="398"/>
      <c r="CS33" s="398"/>
      <c r="CT33" s="1152"/>
      <c r="CU33" s="1149"/>
      <c r="CV33" s="647">
        <f>$J33*$CK33</f>
        <v>3.8634873883928562E-2</v>
      </c>
      <c r="CW33" s="648">
        <f>$R33*$CK33</f>
        <v>1.2892220663010255E-3</v>
      </c>
      <c r="CX33" s="648">
        <f>$V33*$CK33</f>
        <v>1.04926875E-2</v>
      </c>
      <c r="CY33" s="648">
        <f>$AA33*$CK33</f>
        <v>0</v>
      </c>
      <c r="CZ33" s="648">
        <f>$AF33*$CK33</f>
        <v>0</v>
      </c>
      <c r="DA33" s="648">
        <f>$AL33*$CK33</f>
        <v>4.9127561383928561E-4</v>
      </c>
      <c r="DB33" s="648">
        <f>$AO33*$CK33</f>
        <v>1.0788302418944835E-2</v>
      </c>
      <c r="DC33" s="649">
        <f>$AP33*$CK33</f>
        <v>6.1696361483013711E-2</v>
      </c>
      <c r="DD33" s="648">
        <f>$AU33*$CK33</f>
        <v>0</v>
      </c>
      <c r="DE33" s="648">
        <f>$AX33*$CK33</f>
        <v>0</v>
      </c>
      <c r="DF33" s="648">
        <f>$AZ33*$CK33</f>
        <v>0</v>
      </c>
      <c r="DG33" s="649">
        <f>$BA33*$CK33</f>
        <v>0</v>
      </c>
      <c r="DH33" s="649">
        <f>$BB33*$CK33</f>
        <v>6.1696361483013711E-2</v>
      </c>
      <c r="DI33" s="648">
        <f>$BD33*$CK33</f>
        <v>0</v>
      </c>
      <c r="DJ33" s="648">
        <f>$BF33*$CK33</f>
        <v>0</v>
      </c>
      <c r="DK33" s="648">
        <f>$BH33*$CK33</f>
        <v>7.6506357336468033E-3</v>
      </c>
      <c r="DL33" s="648">
        <f>$BK33*$CK33</f>
        <v>0</v>
      </c>
      <c r="DM33" s="648">
        <f>$BM33*$CK33</f>
        <v>0</v>
      </c>
      <c r="DN33" s="648">
        <f>$BO33*$CK33</f>
        <v>3.6723051521504652E-3</v>
      </c>
      <c r="DO33" s="648">
        <f>$BR33*$CK33</f>
        <v>0</v>
      </c>
      <c r="DP33" s="651">
        <f>$CK33*($BB33+$BD33+$BF33+$BH33+$BK33+$BM33+$BO33+$BR33)</f>
        <v>7.3019302368810976E-2</v>
      </c>
      <c r="DQ33" s="951">
        <f>IF($CB33=0,0,$DP33*_xlfn.XLOOKUP($CB33,Premises!$A$10:$F$10,Premises!$A$30:$F$30)/100)</f>
        <v>0</v>
      </c>
      <c r="DR33" s="650">
        <f>IFERROR(SUM($DP33:$DQ33)*IF(INDEX(Premises!$A$42:$F$42,1,MATCH($CB33,Premises!$A$10:$F$10,0))&gt;0,INDEX(Premises!$A$42:$F$42,1,MATCH($CB33,Premises!$A$10:$F$10,0))%,$CN33),0)</f>
        <v>0</v>
      </c>
      <c r="DS33" s="650" cm="1">
        <f t="array" ref="DS33">IF($CB33=0,0,SUM($DP33:$DR33)*_xlfn.XLOOKUP($CB33,Premises!$A$10:$F$10,IF(INDEX(Settings[],MATCH(3001,Settings[ID],0),2)="B",Premises!$A$33:$F$33,Premises!$A$31:$F$31))/100)</f>
        <v>0</v>
      </c>
      <c r="DT33" s="650" cm="1">
        <f t="array" ref="DT33">IF($CB33=0,0,$DP33*_xlfn.XLOOKUP($CB33,Premises!$A$10:$F$10,IF(INDEX(Settings[],MATCH(3002,Settings[ID],0),2)="B",Premises!$A$36:$F$36,Premises!$A$34:$F$34))/100)</f>
        <v>0</v>
      </c>
      <c r="DU33" s="650">
        <f>IF($CB33=0,0,SUM($DP33:$DT33)*_xlfn.XLOOKUP($CB33,Premises!$A$10:$F$10,Premises!$A$37:$F$37)/100)</f>
        <v>0</v>
      </c>
      <c r="DV33" s="954">
        <f>SUM($DP33:$DU33)</f>
        <v>7.3019302368810976E-2</v>
      </c>
      <c r="DW33" s="951">
        <f>IF($CC33=0,0,$DV33*_xlfn.XLOOKUP($CC33,Premises!$A$10:$F$10,Premises!$A$30:$F$30)/100)</f>
        <v>0</v>
      </c>
      <c r="DX33" s="650">
        <f>IFERROR(SUM($DV33:$DW33)*IF(INDEX(Premises!$A$42:$F$42,1,MATCH($CC33,Premises!$A$10:$F$10,0))&gt;0,INDEX(Premises!$A$42:$F$42,1,MATCH($CC33,Premises!$A$10:$F$10,0))%,$CP33),0)</f>
        <v>0</v>
      </c>
      <c r="DY33" s="650" cm="1">
        <f t="array" ref="DY33">IF($CC33=0,0,SUM($DV33:$DX33)*_xlfn.XLOOKUP($CC33,Premises!$A$10:$F$10,IF(INDEX(Settings[],MATCH(3001,Settings[ID],0),2)="B",Premises!$A$33:$F$33,Premises!$A$31:$F$31))/100)</f>
        <v>0</v>
      </c>
      <c r="DZ33" s="650" cm="1">
        <f t="array" ref="DZ33">IF($CC33=0,0,$DV33*_xlfn.XLOOKUP($CC33,Premises!$A$10:$F$10,IF(INDEX(Settings[],MATCH(3002,Settings[ID],0),2)="B",Premises!$A$36:$F$36,Premises!$A$34:$F$34))/100)</f>
        <v>0</v>
      </c>
      <c r="EA33" s="650">
        <f>IF($CC33=0,0,SUM($DV33:$DZ33)*_xlfn.XLOOKUP($CC33,Premises!$A$10:$F$10,Premises!$A$37:$F$37)/100)</f>
        <v>0</v>
      </c>
      <c r="EB33" s="651">
        <f>SUM($DV33:$EA33)</f>
        <v>7.3019302368810976E-2</v>
      </c>
      <c r="EC33" s="805"/>
      <c r="ED33" s="1104"/>
      <c r="EE33" s="650"/>
      <c r="EF33" s="1110"/>
      <c r="EG33" s="1108"/>
      <c r="EH33" s="1108"/>
      <c r="EI33" s="1108"/>
      <c r="EJ33" s="1108"/>
      <c r="EK33" s="1108"/>
      <c r="EL33" s="1108"/>
      <c r="EM33" s="1110"/>
      <c r="EN33" s="1108"/>
      <c r="EO33" s="1108"/>
      <c r="EP33" s="1108"/>
      <c r="EQ33" s="1108"/>
      <c r="ER33" s="1110"/>
      <c r="ES33" s="1108"/>
      <c r="ET33" s="1108"/>
      <c r="EU33" s="1108"/>
      <c r="EV33" s="1108"/>
      <c r="EW33" s="1108"/>
      <c r="EX33" s="1111"/>
      <c r="EY33" s="2"/>
      <c r="EZ33" s="2"/>
      <c r="FA33" s="2"/>
      <c r="FB33" s="2"/>
      <c r="FC33" s="2"/>
      <c r="FD33" s="2"/>
      <c r="FE33" s="2"/>
      <c r="FF33" s="2"/>
      <c r="FG33" s="2"/>
      <c r="FH33" s="2"/>
      <c r="FI33" s="2"/>
      <c r="FJ33" s="420"/>
      <c r="FK33" s="421"/>
      <c r="FL33" s="422"/>
      <c r="FM33" s="1153"/>
    </row>
    <row r="34" spans="1:169" s="13" customFormat="1" ht="12.75" customHeight="1">
      <c r="A34" s="221"/>
      <c r="B34" s="402"/>
      <c r="C34" s="403"/>
      <c r="D34" s="646"/>
      <c r="E34" s="404"/>
      <c r="F34" s="405"/>
      <c r="G34" s="405"/>
      <c r="H34" s="405"/>
      <c r="I34" s="637" cm="1">
        <f t="array" ref="I34">IF($CI34=0,0,IFERROR(INDEX(MHR[],$CI34,MATCH($CA34,MHR!$B$4:$AY$4,0)),0))</f>
        <v>0</v>
      </c>
      <c r="J34" s="634">
        <f t="shared" si="48"/>
        <v>0</v>
      </c>
      <c r="K34" s="406"/>
      <c r="L34" s="407"/>
      <c r="M34" s="871"/>
      <c r="N34" s="407"/>
      <c r="O34" s="405"/>
      <c r="P34" s="645" cm="1">
        <f t="array" ref="P34">IF($K34=0,0,IFERROR(ROUNDUP(IF(ISNUMBER($K34),$K34,INDEX($D$1:$D34,$CD34)*INDEX(Premises!$A$13:$F$13,1,$CH34)/IF(OR($K34="T",$K34="D"),250,IF($K34="W",50,IF($K34="M",12,IF(OR($K34="HJ",$K34="HY"),2,IF(OR($K34="J",$K34="Y"),1,0)))))),0),0))</f>
        <v>0</v>
      </c>
      <c r="Q34" s="637" cm="1">
        <f t="array" ref="Q34">IF($K34=0,0,IFERROR(INDEX(Premises!$A$22:$F$22,1,$CH34)*100/INDEX(Premises!$A$16:$F$16,1,$CH34),0))</f>
        <v>0</v>
      </c>
      <c r="R34" s="634">
        <f t="shared" si="49"/>
        <v>0</v>
      </c>
      <c r="S34" s="408"/>
      <c r="T34" s="409"/>
      <c r="U34" s="637" cm="1">
        <f t="array" ref="U34">IF(COUNTBLANK($S34:$T34),0,
IF(AND(INDEX(MHR[Schichtmodell],$CI34)&lt;&gt;0,INDEX(MHR[Schichtmodell],$CI34)&lt;&gt;INDEX(Premises!$A$20:$F$20,1,$CH34)),ExchangeRate*
IF(OR($T34="M",$T34="U"),IF(INDEX(MHR[Schichtmodell],$CI34)=1,INDEX(LOC[M1S],INDEX(Premises!$A$18:$F$18,1,$CH34+1)),IF(INDEX(MHR[Schichtmodell],$CI34)=2,INDEX(LOC[M2S],INDEX(Premises!$A$18:$F$18,1,$CH34+1),IF(INDEX(MHR[Schichtmodell],$CI34)=3,INDEX(LOC[M3S],INDEX(Premises!$A$18:$F$18,1,$CH34+1)),0)))),
IF(INDEX(MHR[Schichtmodell],$CI34)=1,INDEX(LOC[F1S],INDEX(Premises!$A$18:$F$18,1,$CH34+1)),IF(INDEX(MHR[Schichtmodell],$CI34)=2,INDEX(LOC[F2S],INDEX(Premises!$A$18:$F$18,1,$CH34+1)),IF(INDEX(MHR[Schichtmodell],$CI34)=3,INDEX(LOC[F3S],INDEX(Premises!$A$18:$F$18,1,$CH34+1)),0)))),
IF(OR($T34="M",$T34="U"),INDEX(Premises!$A$21:$F$21,1,$CH34),
IF(OR($T34="F",$T34="S"),INDEX(Premises!$A$22:$F$22,1,$CH34),0)))*100/INDEX(Premises!$A$16:$F$16,1,$CH34))</f>
        <v>0</v>
      </c>
      <c r="V34" s="631">
        <f t="shared" si="50"/>
        <v>0</v>
      </c>
      <c r="W34" s="410"/>
      <c r="X34" s="403"/>
      <c r="Y34" s="411"/>
      <c r="Z34" s="412"/>
      <c r="AA34" s="628">
        <f t="shared" si="51"/>
        <v>0</v>
      </c>
      <c r="AB34" s="410"/>
      <c r="AC34" s="403"/>
      <c r="AD34" s="411"/>
      <c r="AE34" s="413"/>
      <c r="AF34" s="628">
        <f t="shared" si="52"/>
        <v>0</v>
      </c>
      <c r="AG34" s="629" cm="1">
        <f t="array" ref="AG34">IF(($J34+$V34+$AF34)=0,0,INDEX(Premises!$A$30:$F$30,1,$CH34)/100)</f>
        <v>0</v>
      </c>
      <c r="AH34" s="414"/>
      <c r="AI34" s="415"/>
      <c r="AJ34" s="416"/>
      <c r="AK34" s="630">
        <f t="shared" si="53"/>
        <v>0</v>
      </c>
      <c r="AL34" s="631">
        <f t="shared" si="54"/>
        <v>0</v>
      </c>
      <c r="AM34" s="632" cm="1">
        <f t="array" ref="AM34">IF($CI34=0,0,IFERROR(INDEX(MHR[],$CI34,MATCH($CA34,MHR!$B$4:$AY$4,0)+11),0))</f>
        <v>0</v>
      </c>
      <c r="AN34" s="633" cm="1">
        <f t="array" ref="AN34">IF(($J34+$V34)=0,0,IFERROR(IF(INDEX(Premises!$A$41:$F$41,1,$CH34)&lt;&gt;0,INDEX(Premises!$A$41:$F$41,1,$CH34)/100,(IFERROR(($J34/$I34)*$AM34,0)/($V34+$J34+$R34+$AL34))),0))</f>
        <v>0</v>
      </c>
      <c r="AO34" s="634">
        <f t="shared" si="55"/>
        <v>0</v>
      </c>
      <c r="AP34" s="635">
        <f t="shared" si="56"/>
        <v>0</v>
      </c>
      <c r="AQ34" s="410"/>
      <c r="AR34" s="409"/>
      <c r="AS34" s="636" cm="1">
        <f t="array" ref="AS34">IF($CJ34=0,0,IFERROR(INDEX(MAT[Einheit],$CJ34,1),0))</f>
        <v>0</v>
      </c>
      <c r="AT34" s="637" cm="1">
        <f t="array" ref="AT34">IF($CJ34=0,0,IFERROR(INDEX(MAT[Preis],$CJ34,1),0))</f>
        <v>0</v>
      </c>
      <c r="AU34" s="638">
        <f t="shared" si="57"/>
        <v>0</v>
      </c>
      <c r="AV34" s="639" cm="1">
        <f t="array" ref="AV34">IF($AU34&lt;=0,0,INDEX(Premises!$A$30:$F$30,1,$CH34)/100)</f>
        <v>0</v>
      </c>
      <c r="AW34" s="409"/>
      <c r="AX34" s="631">
        <f t="shared" si="58"/>
        <v>0</v>
      </c>
      <c r="AY34" s="640" cm="1">
        <f t="array" ref="AY34">IF($AT34&lt;=0,0,IFERROR(IF(INDEX(Premises!$A$42:$F$42,1,$CH34)&lt;&gt;0,INDEX(Premises!$A$42:$F$42,1,$CH34)/100,(INDEX(MAT[],$CJ34,MATCH($CA34,MAT!$B$4:$AE$4,0))/($AR34*$CK34*INDEX(Premises!$A$13:$F$13,1,$CH34))+INDEX(MAT[],$CJ34,MATCH($CA34,MAT!$B$4:$AE$4,0)+7))/$AT34),0))</f>
        <v>0</v>
      </c>
      <c r="AZ34" s="631">
        <f t="shared" si="59"/>
        <v>0</v>
      </c>
      <c r="BA34" s="635">
        <f t="shared" si="60"/>
        <v>0</v>
      </c>
      <c r="BB34" s="635">
        <f t="shared" si="61"/>
        <v>0</v>
      </c>
      <c r="BC34" s="639" cm="1">
        <f t="array" ref="BC34">IF($BB34&lt;=0,0,IF(BC$2=-1,0,INDEX(Premises!$A$32:$F$32,1,$CH34)/100))</f>
        <v>0</v>
      </c>
      <c r="BD34" s="631">
        <f t="shared" si="62"/>
        <v>0</v>
      </c>
      <c r="BE34" s="639" cm="1">
        <f t="array" ref="BE34">IF($BB34&lt;=0,0,IF(BE$2=-1,0,INDEX(Premises!$A$33:$F$33,1,$CH34)/100))</f>
        <v>0</v>
      </c>
      <c r="BF34" s="631">
        <f t="shared" si="63"/>
        <v>0</v>
      </c>
      <c r="BG34" s="639" cm="1">
        <f t="array" ref="BG34">IF($BB34&lt;=0,0,IF(BG$2=-1,0,INDEX(Premises!$A$31:$F$31,1,$CH34)/100))</f>
        <v>0</v>
      </c>
      <c r="BH34" s="631">
        <f t="shared" si="64"/>
        <v>0</v>
      </c>
      <c r="BI34" s="635">
        <f t="shared" si="65"/>
        <v>0</v>
      </c>
      <c r="BJ34" s="639" cm="1">
        <f t="array" ref="BJ34">IF($BB34&lt;=0,0,IF(BJ$2=-1,0,INDEX(Premises!$A$35:$F$35,1,$CH34)/100))</f>
        <v>0</v>
      </c>
      <c r="BK34" s="631">
        <f t="shared" si="66"/>
        <v>0</v>
      </c>
      <c r="BL34" s="639" cm="1">
        <f t="array" ref="BL34">IF($BB34&lt;=0,0,IF(BL$2=-1,0,INDEX(Premises!$A$36:$F$36,1,$CH34)/100))</f>
        <v>0</v>
      </c>
      <c r="BM34" s="631">
        <f t="shared" si="67"/>
        <v>0</v>
      </c>
      <c r="BN34" s="639" cm="1">
        <f t="array" ref="BN34">IF($BB34&lt;=0,0,IF(BN$2=-1,0,INDEX(Premises!$A$34:$F$34,1,$CH34)/100))</f>
        <v>0</v>
      </c>
      <c r="BO34" s="631">
        <f t="shared" si="68"/>
        <v>0</v>
      </c>
      <c r="BP34" s="639" cm="1">
        <f t="array" ref="BP34">IF($BI34=0,0,INDEX(Premises!$A$37:$F$37,1,$CH34)/100)</f>
        <v>0</v>
      </c>
      <c r="BQ34" s="409"/>
      <c r="BR34" s="631">
        <f t="shared" si="69"/>
        <v>0</v>
      </c>
      <c r="BS34" s="641">
        <f t="shared" si="70"/>
        <v>0</v>
      </c>
      <c r="BT34" s="641">
        <f t="shared" si="71"/>
        <v>0</v>
      </c>
      <c r="BU34" s="642">
        <f t="shared" si="72"/>
        <v>0</v>
      </c>
      <c r="BV34" s="1147"/>
      <c r="BW34" s="418"/>
      <c r="BX34" s="418"/>
      <c r="BY34" s="419"/>
      <c r="BZ34" s="968"/>
      <c r="CA34" s="280" cm="1">
        <f t="array" ref="CA34">IF($BZ34&gt;0,VALUE(LEFT($BZ34,IF(ISERROR(FIND("-",$BZ34)),LEN($BZ34),FIND("-",$BZ34)-1))),INDEX($CA$1:$CA34,MAX(1,$CD34)))</f>
        <v>1</v>
      </c>
      <c r="CB34" s="280" cm="1">
        <f t="array" ref="CB34">IF($BT34=0,0,IF(LEN($BZ34)-LEN(SUBSTITUTE($BZ34,"-",""))&gt;1,
VALUE(MID($BZ34,FIND("-",$BZ34)+1,FIND("-",$BZ34,FIND("-",$BZ34)+1)-FIND("-",$BZ34)-1)),IF($BZ34&gt;0,0,INDEX($CB$1:$CB34,MAX(1,$CD34)))))</f>
        <v>0</v>
      </c>
      <c r="CC34" s="280" cm="1">
        <f t="array" ref="CC34">IF($BT34=0,0,IF(NOT(ISERROR(FIND("-",BZ34))),
VALUE(RIGHT($BZ34,LEN($BZ34)-IF(LEN($BZ34)-LEN(SUBSTITUTE($BZ34,"-",""))=1,FIND("-",$BZ34),FIND("-",$BZ34,FIND("-",$BZ34)+1)))),
IF($BZ34&gt;0,0,INDEX($CC$1:$CC34,MAX(1,$CD34)))))</f>
        <v>0</v>
      </c>
      <c r="CD34" s="393">
        <f>MATCH(0,$CE$1:$CE34,-1)</f>
        <v>25</v>
      </c>
      <c r="CE34" s="280"/>
      <c r="CF34" s="394"/>
      <c r="CG34" s="393" cm="1">
        <f t="array" ref="CG34">INDEX($CG$1:$CG34,$CD34)</f>
        <v>5</v>
      </c>
      <c r="CH34" s="280">
        <f>MATCH($CA34,Premises!$A$10:$F$10,0)</f>
        <v>4</v>
      </c>
      <c r="CI34" s="280">
        <f>IF(ISBLANK($E34),0,IFERROR(MATCH($E34,MHR[Bezeichnung],0),0))</f>
        <v>0</v>
      </c>
      <c r="CJ34" s="394">
        <f>IF(ISBLANK($AQ34),0,IFERROR(MATCH($AQ34,MAT[Bezeichnung],0),0))</f>
        <v>0</v>
      </c>
      <c r="CK34" s="280" cm="1">
        <f t="array" ref="CK34">INDEX($D$1:$D34,$CD34)</f>
        <v>1</v>
      </c>
      <c r="CL34" s="280"/>
      <c r="CM34" s="395"/>
      <c r="CN34" s="396" cm="1">
        <f t="array" ref="CN34">IF($CB34=0,0,IF($CB34=INDEX($CB$1:$CB34,$CD34),INDEX($CN$1:$CN34,$CD34),$CP34))</f>
        <v>0</v>
      </c>
      <c r="CO34" s="395"/>
      <c r="CP34" s="396" cm="1">
        <f t="array" ref="CP34">IF($CC34=0,0,INDEX($CP$1:$CP34,$CD34))</f>
        <v>0</v>
      </c>
      <c r="CQ34" s="397"/>
      <c r="CR34" s="398"/>
      <c r="CS34" s="398"/>
      <c r="CT34" s="1152"/>
      <c r="CU34" s="1149"/>
      <c r="CV34" s="647">
        <f t="shared" si="73"/>
        <v>0</v>
      </c>
      <c r="CW34" s="648">
        <f t="shared" si="74"/>
        <v>0</v>
      </c>
      <c r="CX34" s="648">
        <f t="shared" si="75"/>
        <v>0</v>
      </c>
      <c r="CY34" s="648">
        <f t="shared" si="76"/>
        <v>0</v>
      </c>
      <c r="CZ34" s="648">
        <f t="shared" si="77"/>
        <v>0</v>
      </c>
      <c r="DA34" s="648">
        <f t="shared" si="78"/>
        <v>0</v>
      </c>
      <c r="DB34" s="648">
        <f t="shared" si="79"/>
        <v>0</v>
      </c>
      <c r="DC34" s="649">
        <f t="shared" si="80"/>
        <v>0</v>
      </c>
      <c r="DD34" s="648">
        <f t="shared" si="81"/>
        <v>0</v>
      </c>
      <c r="DE34" s="648">
        <f t="shared" si="82"/>
        <v>0</v>
      </c>
      <c r="DF34" s="648">
        <f t="shared" si="83"/>
        <v>0</v>
      </c>
      <c r="DG34" s="649">
        <f t="shared" si="84"/>
        <v>0</v>
      </c>
      <c r="DH34" s="649">
        <f t="shared" si="85"/>
        <v>0</v>
      </c>
      <c r="DI34" s="648">
        <f t="shared" si="86"/>
        <v>0</v>
      </c>
      <c r="DJ34" s="648">
        <f t="shared" si="87"/>
        <v>0</v>
      </c>
      <c r="DK34" s="648">
        <f t="shared" si="88"/>
        <v>0</v>
      </c>
      <c r="DL34" s="648">
        <f t="shared" si="89"/>
        <v>0</v>
      </c>
      <c r="DM34" s="648">
        <f t="shared" si="90"/>
        <v>0</v>
      </c>
      <c r="DN34" s="648">
        <f t="shared" si="91"/>
        <v>0</v>
      </c>
      <c r="DO34" s="648">
        <f t="shared" si="92"/>
        <v>0</v>
      </c>
      <c r="DP34" s="651">
        <f t="shared" si="93"/>
        <v>0</v>
      </c>
      <c r="DQ34" s="951">
        <f>IF($CB34=0,0,$DP34*_xlfn.XLOOKUP($CB34,Premises!$A$10:$F$10,Premises!$A$30:$F$30)/100)</f>
        <v>0</v>
      </c>
      <c r="DR34" s="650">
        <f>IFERROR(SUM($DP34:$DQ34)*IF(INDEX(Premises!$A$42:$F$42,1,MATCH($CB34,Premises!$A$10:$F$10,0))&gt;0,INDEX(Premises!$A$42:$F$42,1,MATCH($CB34,Premises!$A$10:$F$10,0))%,$CN34),0)</f>
        <v>0</v>
      </c>
      <c r="DS34" s="650" cm="1">
        <f t="array" ref="DS34">IF($CB34=0,0,SUM($DP34:$DR34)*_xlfn.XLOOKUP($CB34,Premises!$A$10:$F$10,IF(INDEX(Settings[],MATCH(3001,Settings[ID],0),2)="B",Premises!$A$33:$F$33,Premises!$A$31:$F$31))/100)</f>
        <v>0</v>
      </c>
      <c r="DT34" s="650" cm="1">
        <f t="array" ref="DT34">IF($CB34=0,0,$DP34*_xlfn.XLOOKUP($CB34,Premises!$A$10:$F$10,IF(INDEX(Settings[],MATCH(3002,Settings[ID],0),2)="B",Premises!$A$36:$F$36,Premises!$A$34:$F$34))/100)</f>
        <v>0</v>
      </c>
      <c r="DU34" s="650">
        <f>IF($CB34=0,0,SUM($DP34:$DT34)*_xlfn.XLOOKUP($CB34,Premises!$A$10:$F$10,Premises!$A$37:$F$37)/100)</f>
        <v>0</v>
      </c>
      <c r="DV34" s="954">
        <f t="shared" si="94"/>
        <v>0</v>
      </c>
      <c r="DW34" s="951">
        <f>IF($CC34=0,0,$DV34*_xlfn.XLOOKUP($CC34,Premises!$A$10:$F$10,Premises!$A$30:$F$30)/100)</f>
        <v>0</v>
      </c>
      <c r="DX34" s="650">
        <f>IFERROR(SUM($DV34:$DW34)*IF(INDEX(Premises!$A$42:$F$42,1,MATCH($CC34,Premises!$A$10:$F$10,0))&gt;0,INDEX(Premises!$A$42:$F$42,1,MATCH($CC34,Premises!$A$10:$F$10,0))%,$CP34),0)</f>
        <v>0</v>
      </c>
      <c r="DY34" s="650" cm="1">
        <f t="array" ref="DY34">IF($CC34=0,0,SUM($DV34:$DX34)*_xlfn.XLOOKUP($CC34,Premises!$A$10:$F$10,IF(INDEX(Settings[],MATCH(3001,Settings[ID],0),2)="B",Premises!$A$33:$F$33,Premises!$A$31:$F$31))/100)</f>
        <v>0</v>
      </c>
      <c r="DZ34" s="650" cm="1">
        <f t="array" ref="DZ34">IF($CC34=0,0,$DV34*_xlfn.XLOOKUP($CC34,Premises!$A$10:$F$10,IF(INDEX(Settings[],MATCH(3002,Settings[ID],0),2)="B",Premises!$A$36:$F$36,Premises!$A$34:$F$34))/100)</f>
        <v>0</v>
      </c>
      <c r="EA34" s="650">
        <f>IF($CC34=0,0,SUM($DV34:$DZ34)*_xlfn.XLOOKUP($CC34,Premises!$A$10:$F$10,Premises!$A$37:$F$37)/100)</f>
        <v>0</v>
      </c>
      <c r="EB34" s="651">
        <f t="shared" si="95"/>
        <v>0</v>
      </c>
      <c r="EC34" s="805"/>
      <c r="ED34" s="1104"/>
      <c r="EE34" s="650"/>
      <c r="EF34" s="1110"/>
      <c r="EG34" s="1108"/>
      <c r="EH34" s="1108"/>
      <c r="EI34" s="1108"/>
      <c r="EJ34" s="1108"/>
      <c r="EK34" s="1108"/>
      <c r="EL34" s="1108"/>
      <c r="EM34" s="1110"/>
      <c r="EN34" s="1108"/>
      <c r="EO34" s="1108"/>
      <c r="EP34" s="1108"/>
      <c r="EQ34" s="1108"/>
      <c r="ER34" s="1110"/>
      <c r="ES34" s="1108"/>
      <c r="ET34" s="1108"/>
      <c r="EU34" s="1108"/>
      <c r="EV34" s="1108"/>
      <c r="EW34" s="1108"/>
      <c r="EX34" s="1111"/>
      <c r="EY34" s="2"/>
      <c r="EZ34" s="2"/>
      <c r="FA34" s="2"/>
      <c r="FB34" s="2"/>
      <c r="FC34" s="2"/>
      <c r="FD34" s="2"/>
      <c r="FE34" s="2"/>
      <c r="FF34" s="2"/>
      <c r="FG34" s="2"/>
      <c r="FH34" s="2"/>
      <c r="FI34" s="2"/>
      <c r="FJ34" s="420"/>
      <c r="FK34" s="421"/>
      <c r="FL34" s="422"/>
      <c r="FM34" s="1153"/>
    </row>
    <row r="35" spans="1:169" s="13" customFormat="1" ht="12.75" customHeight="1">
      <c r="A35" s="221"/>
      <c r="B35" s="1329" t="s">
        <v>4324</v>
      </c>
      <c r="C35" s="403"/>
      <c r="D35" s="646"/>
      <c r="E35" s="404" t="s">
        <v>4325</v>
      </c>
      <c r="F35" s="405">
        <v>17</v>
      </c>
      <c r="G35" s="405" t="s">
        <v>93</v>
      </c>
      <c r="H35" s="405">
        <v>1</v>
      </c>
      <c r="I35" s="637" cm="1">
        <f t="array" ref="I35">IF($CI35=0,0,IFERROR(INDEX(MHR[],$CI35,MATCH($CA35,MHR!$B$4:$AY$4,0)),0))</f>
        <v>4.9595213293650797</v>
      </c>
      <c r="J35" s="634">
        <f t="shared" si="48"/>
        <v>2.3419961833112877E-2</v>
      </c>
      <c r="K35" s="406" t="s">
        <v>49</v>
      </c>
      <c r="L35" s="407">
        <v>15</v>
      </c>
      <c r="M35" s="871">
        <v>1</v>
      </c>
      <c r="N35" s="407"/>
      <c r="O35" s="405"/>
      <c r="P35" s="645" cm="1">
        <f t="array" ref="P35">IF($K35=0,0,IFERROR(ROUNDUP(IF(ISNUMBER($K35),$K35,INDEX($D$1:$D35,$CD35)*INDEX(Premises!$A$13:$F$13,1,$CH35)/IF(OR($K35="T",$K35="D"),250,IF($K35="W",50,IF($K35="M",12,IF(OR($K35="HJ",$K35="HY"),2,IF(OR($K35="J",$K35="Y"),1,0)))))),0),0))</f>
        <v>3334</v>
      </c>
      <c r="Q35" s="637" cm="1">
        <f t="array" ref="Q35">IF($K35=0,0,IFERROR(INDEX(Premises!$A$22:$F$22,1,$CH35)*100/INDEX(Premises!$A$16:$F$16,1,$CH35),0))</f>
        <v>16.925000000000001</v>
      </c>
      <c r="R35" s="634">
        <f t="shared" si="49"/>
        <v>1.6410108975228764E-3</v>
      </c>
      <c r="S35" s="408">
        <v>0.5</v>
      </c>
      <c r="T35" s="409" t="s">
        <v>275</v>
      </c>
      <c r="U35" s="637" cm="1">
        <f t="array" ref="U35">IF(COUNTBLANK($S35:$T35),0,
IF(AND(INDEX(MHR[Schichtmodell],$CI35)&lt;&gt;0,INDEX(MHR[Schichtmodell],$CI35)&lt;&gt;INDEX(Premises!$A$20:$F$20,1,$CH35)),ExchangeRate*
IF(OR($T35="M",$T35="U"),IF(INDEX(MHR[Schichtmodell],$CI35)=1,INDEX(LOC[M1S],INDEX(Premises!$A$18:$F$18,1,$CH35+1)),IF(INDEX(MHR[Schichtmodell],$CI35)=2,INDEX(LOC[M2S],INDEX(Premises!$A$18:$F$18,1,$CH35+1),IF(INDEX(MHR[Schichtmodell],$CI35)=3,INDEX(LOC[M3S],INDEX(Premises!$A$18:$F$18,1,$CH35+1)),0)))),
IF(INDEX(MHR[Schichtmodell],$CI35)=1,INDEX(LOC[F1S],INDEX(Premises!$A$18:$F$18,1,$CH35+1)),IF(INDEX(MHR[Schichtmodell],$CI35)=2,INDEX(LOC[F2S],INDEX(Premises!$A$18:$F$18,1,$CH35+1)),IF(INDEX(MHR[Schichtmodell],$CI35)=3,INDEX(LOC[F3S],INDEX(Premises!$A$18:$F$18,1,$CH35+1)),0)))),
IF(OR($T35="M",$T35="U"),INDEX(Premises!$A$21:$F$21,1,$CH35),
IF(OR($T35="F",$T35="S"),INDEX(Premises!$A$22:$F$22,1,$CH35),0)))*100/INDEX(Premises!$A$16:$F$16,1,$CH35))</f>
        <v>12.037500000000001</v>
      </c>
      <c r="V35" s="631">
        <f t="shared" si="50"/>
        <v>2.8421875000000003E-2</v>
      </c>
      <c r="W35" s="410"/>
      <c r="X35" s="403"/>
      <c r="Y35" s="411"/>
      <c r="Z35" s="412"/>
      <c r="AA35" s="628">
        <f t="shared" si="51"/>
        <v>0</v>
      </c>
      <c r="AB35" s="410"/>
      <c r="AC35" s="403"/>
      <c r="AD35" s="411"/>
      <c r="AE35" s="413"/>
      <c r="AF35" s="628">
        <f t="shared" si="52"/>
        <v>0</v>
      </c>
      <c r="AG35" s="629" cm="1">
        <f t="array" ref="AG35">IF(($J35+$V35+$AF35)=0,0,INDEX(Premises!$A$30:$F$30,1,$CH35)/100)</f>
        <v>0.01</v>
      </c>
      <c r="AH35" s="414"/>
      <c r="AI35" s="415"/>
      <c r="AJ35" s="416"/>
      <c r="AK35" s="630">
        <f t="shared" si="53"/>
        <v>0</v>
      </c>
      <c r="AL35" s="631">
        <f t="shared" si="54"/>
        <v>5.1841836833112882E-4</v>
      </c>
      <c r="AM35" s="632" cm="1">
        <f t="array" ref="AM35">IF($CI35=0,0,IFERROR(INDEX(MHR[],$CI35,MATCH($CA35,MHR!$B$4:$AY$4,0)+11),0))</f>
        <v>1.6554212648630602</v>
      </c>
      <c r="AN35" s="633" cm="1">
        <f t="array" ref="AN35">IF(($J35+$V35)=0,0,IFERROR(IF(INDEX(Premises!$A$41:$F$41,1,$CH35)&lt;&gt;0,INDEX(Premises!$A$41:$F$41,1,$CH35)/100,(IFERROR(($J35/$I35)*$AM35,0)/($V35+$J35+$R35+$AL35))),0))</f>
        <v>0.14476081115855757</v>
      </c>
      <c r="AO35" s="634">
        <f t="shared" si="55"/>
        <v>7.8172670840755618E-3</v>
      </c>
      <c r="AP35" s="635">
        <f t="shared" si="56"/>
        <v>6.1818533183042444E-2</v>
      </c>
      <c r="AQ35" s="410"/>
      <c r="AR35" s="409"/>
      <c r="AS35" s="636" cm="1">
        <f t="array" ref="AS35">IF($CJ35=0,0,IFERROR(INDEX(MAT[Einheit],$CJ35,1),0))</f>
        <v>0</v>
      </c>
      <c r="AT35" s="637" cm="1">
        <f t="array" ref="AT35">IF($CJ35=0,0,IFERROR(INDEX(MAT[Preis],$CJ35,1),0))</f>
        <v>0</v>
      </c>
      <c r="AU35" s="638">
        <f t="shared" si="57"/>
        <v>0</v>
      </c>
      <c r="AV35" s="639" cm="1">
        <f t="array" ref="AV35">IF($AU35&lt;=0,0,INDEX(Premises!$A$30:$F$30,1,$CH35)/100)</f>
        <v>0</v>
      </c>
      <c r="AW35" s="409"/>
      <c r="AX35" s="631">
        <f t="shared" si="58"/>
        <v>0</v>
      </c>
      <c r="AY35" s="640" cm="1">
        <f t="array" ref="AY35">IF($AT35&lt;=0,0,IFERROR(IF(INDEX(Premises!$A$42:$F$42,1,$CH35)&lt;&gt;0,INDEX(Premises!$A$42:$F$42,1,$CH35)/100,(INDEX(MAT[],$CJ35,MATCH($CA35,MAT!$B$4:$AE$4,0))/($AR35*$CK35*INDEX(Premises!$A$13:$F$13,1,$CH35))+INDEX(MAT[],$CJ35,MATCH($CA35,MAT!$B$4:$AE$4,0)+7))/$AT35),0))</f>
        <v>0</v>
      </c>
      <c r="AZ35" s="631">
        <f t="shared" si="59"/>
        <v>0</v>
      </c>
      <c r="BA35" s="635">
        <f t="shared" si="60"/>
        <v>0</v>
      </c>
      <c r="BB35" s="635">
        <f t="shared" si="61"/>
        <v>6.1818533183042444E-2</v>
      </c>
      <c r="BC35" s="639" cm="1">
        <f t="array" ref="BC35">IF($BB35&lt;=0,0,IF(BC$2=-1,0,INDEX(Premises!$A$32:$F$32,1,$CH35)/100))</f>
        <v>0</v>
      </c>
      <c r="BD35" s="631">
        <f t="shared" si="62"/>
        <v>0</v>
      </c>
      <c r="BE35" s="639" cm="1">
        <f t="array" ref="BE35">IF($BB35&lt;=0,0,IF(BE$2=-1,0,INDEX(Premises!$A$33:$F$33,1,$CH35)/100))</f>
        <v>0</v>
      </c>
      <c r="BF35" s="631">
        <f t="shared" si="63"/>
        <v>0</v>
      </c>
      <c r="BG35" s="639" cm="1">
        <f t="array" ref="BG35">IF($BB35&lt;=0,0,IF(BG$2=-1,0,INDEX(Premises!$A$31:$F$31,1,$CH35)/100))</f>
        <v>0.125</v>
      </c>
      <c r="BH35" s="631">
        <f t="shared" si="64"/>
        <v>7.6625143518389144E-3</v>
      </c>
      <c r="BI35" s="635">
        <f t="shared" si="65"/>
        <v>6.9481047534881352E-2</v>
      </c>
      <c r="BJ35" s="639" cm="1">
        <f t="array" ref="BJ35">IF($BB35&lt;=0,0,IF(BJ$2=-1,0,INDEX(Premises!$A$35:$F$35,1,$CH35)/100))</f>
        <v>0</v>
      </c>
      <c r="BK35" s="631">
        <f t="shared" si="66"/>
        <v>0</v>
      </c>
      <c r="BL35" s="639" cm="1">
        <f t="array" ref="BL35">IF($BB35&lt;=0,0,IF(BL$2=-1,0,INDEX(Premises!$A$36:$F$36,1,$CH35)/100))</f>
        <v>0</v>
      </c>
      <c r="BM35" s="631">
        <f t="shared" si="67"/>
        <v>0</v>
      </c>
      <c r="BN35" s="639" cm="1">
        <f t="array" ref="BN35">IF($BB35&lt;=0,0,IF(BN$2=-1,0,INDEX(Premises!$A$34:$F$34,1,$CH35)/100))</f>
        <v>0.06</v>
      </c>
      <c r="BO35" s="631">
        <f t="shared" si="68"/>
        <v>3.6780068888826786E-3</v>
      </c>
      <c r="BP35" s="639" cm="1">
        <f t="array" ref="BP35">IF($BI35=0,0,INDEX(Premises!$A$37:$F$37,1,$CH35)/100)</f>
        <v>0</v>
      </c>
      <c r="BQ35" s="409"/>
      <c r="BR35" s="631">
        <f t="shared" si="69"/>
        <v>0</v>
      </c>
      <c r="BS35" s="641">
        <f t="shared" si="70"/>
        <v>7.3159054423764025E-2</v>
      </c>
      <c r="BT35" s="641">
        <f t="shared" si="71"/>
        <v>7.3159054423764025E-2</v>
      </c>
      <c r="BU35" s="642">
        <f t="shared" si="72"/>
        <v>1</v>
      </c>
      <c r="BV35" s="1147"/>
      <c r="BW35" s="418"/>
      <c r="BX35" s="418"/>
      <c r="BY35" s="419"/>
      <c r="BZ35" s="968"/>
      <c r="CA35" s="280" cm="1">
        <f t="array" ref="CA35">IF($BZ35&gt;0,VALUE(LEFT($BZ35,IF(ISERROR(FIND("-",$BZ35)),LEN($BZ35),FIND("-",$BZ35)-1))),INDEX($CA$1:$CA35,MAX(1,$CD35)))</f>
        <v>1</v>
      </c>
      <c r="CB35" s="280" cm="1">
        <f t="array" ref="CB35">IF($BT35=0,0,IF(LEN($BZ35)-LEN(SUBSTITUTE($BZ35,"-",""))&gt;1,
VALUE(MID($BZ35,FIND("-",$BZ35)+1,FIND("-",$BZ35,FIND("-",$BZ35)+1)-FIND("-",$BZ35)-1)),IF($BZ35&gt;0,0,INDEX($CB$1:$CB35,MAX(1,$CD35)))))</f>
        <v>0</v>
      </c>
      <c r="CC35" s="280" cm="1">
        <f t="array" ref="CC35">IF($BT35=0,0,IF(NOT(ISERROR(FIND("-",BZ35))),
VALUE(RIGHT($BZ35,LEN($BZ35)-IF(LEN($BZ35)-LEN(SUBSTITUTE($BZ35,"-",""))=1,FIND("-",$BZ35),FIND("-",$BZ35,FIND("-",$BZ35)+1)))),
IF($BZ35&gt;0,0,INDEX($CC$1:$CC35,MAX(1,$CD35)))))</f>
        <v>0</v>
      </c>
      <c r="CD35" s="393">
        <f>MATCH(0,$CE$1:$CE35,-1)</f>
        <v>25</v>
      </c>
      <c r="CE35" s="280"/>
      <c r="CF35" s="394"/>
      <c r="CG35" s="393" cm="1">
        <f t="array" ref="CG35">INDEX($CG$1:$CG35,$CD35)</f>
        <v>5</v>
      </c>
      <c r="CH35" s="280">
        <f>MATCH($CA35,Premises!$A$10:$F$10,0)</f>
        <v>4</v>
      </c>
      <c r="CI35" s="280">
        <f>IF(ISBLANK($E35),0,IFERROR(MATCH($E35,MHR[Bezeichnung],0),0))</f>
        <v>2</v>
      </c>
      <c r="CJ35" s="394">
        <f>IF(ISBLANK($AQ35),0,IFERROR(MATCH($AQ35,MAT[Bezeichnung],0),0))</f>
        <v>0</v>
      </c>
      <c r="CK35" s="280" cm="1">
        <f t="array" ref="CK35">INDEX($D$1:$D35,$CD35)</f>
        <v>1</v>
      </c>
      <c r="CL35" s="280"/>
      <c r="CM35" s="395"/>
      <c r="CN35" s="396" cm="1">
        <f t="array" ref="CN35">IF($CB35=0,0,IF($CB35=INDEX($CB$1:$CB35,$CD35),INDEX($CN$1:$CN35,$CD35),$CP35))</f>
        <v>0</v>
      </c>
      <c r="CO35" s="395"/>
      <c r="CP35" s="396" cm="1">
        <f t="array" ref="CP35">IF($CC35=0,0,INDEX($CP$1:$CP35,$CD35))</f>
        <v>0</v>
      </c>
      <c r="CQ35" s="397"/>
      <c r="CR35" s="398"/>
      <c r="CS35" s="398"/>
      <c r="CT35" s="1152"/>
      <c r="CU35" s="1149"/>
      <c r="CV35" s="647">
        <f t="shared" si="73"/>
        <v>2.3419961833112877E-2</v>
      </c>
      <c r="CW35" s="648">
        <f t="shared" si="74"/>
        <v>1.6410108975228764E-3</v>
      </c>
      <c r="CX35" s="648">
        <f t="shared" si="75"/>
        <v>2.8421875000000003E-2</v>
      </c>
      <c r="CY35" s="648">
        <f t="shared" si="76"/>
        <v>0</v>
      </c>
      <c r="CZ35" s="648">
        <f t="shared" si="77"/>
        <v>0</v>
      </c>
      <c r="DA35" s="648">
        <f t="shared" si="78"/>
        <v>5.1841836833112882E-4</v>
      </c>
      <c r="DB35" s="648">
        <f t="shared" si="79"/>
        <v>7.8172670840755618E-3</v>
      </c>
      <c r="DC35" s="649">
        <f t="shared" si="80"/>
        <v>6.1818533183042444E-2</v>
      </c>
      <c r="DD35" s="648">
        <f t="shared" si="81"/>
        <v>0</v>
      </c>
      <c r="DE35" s="648">
        <f t="shared" si="82"/>
        <v>0</v>
      </c>
      <c r="DF35" s="648">
        <f t="shared" si="83"/>
        <v>0</v>
      </c>
      <c r="DG35" s="649">
        <f t="shared" si="84"/>
        <v>0</v>
      </c>
      <c r="DH35" s="649">
        <f t="shared" si="85"/>
        <v>6.1818533183042444E-2</v>
      </c>
      <c r="DI35" s="648">
        <f t="shared" si="86"/>
        <v>0</v>
      </c>
      <c r="DJ35" s="648">
        <f t="shared" si="87"/>
        <v>0</v>
      </c>
      <c r="DK35" s="648">
        <f t="shared" si="88"/>
        <v>7.6625143518389144E-3</v>
      </c>
      <c r="DL35" s="648">
        <f t="shared" si="89"/>
        <v>0</v>
      </c>
      <c r="DM35" s="648">
        <f t="shared" si="90"/>
        <v>0</v>
      </c>
      <c r="DN35" s="648">
        <f t="shared" si="91"/>
        <v>3.6780068888826786E-3</v>
      </c>
      <c r="DO35" s="648">
        <f t="shared" si="92"/>
        <v>0</v>
      </c>
      <c r="DP35" s="651">
        <f t="shared" si="93"/>
        <v>7.3159054423764025E-2</v>
      </c>
      <c r="DQ35" s="951">
        <f>IF($CB35=0,0,$DP35*_xlfn.XLOOKUP($CB35,Premises!$A$10:$F$10,Premises!$A$30:$F$30)/100)</f>
        <v>0</v>
      </c>
      <c r="DR35" s="650">
        <f>IFERROR(SUM($DP35:$DQ35)*IF(INDEX(Premises!$A$42:$F$42,1,MATCH($CB35,Premises!$A$10:$F$10,0))&gt;0,INDEX(Premises!$A$42:$F$42,1,MATCH($CB35,Premises!$A$10:$F$10,0))%,$CN35),0)</f>
        <v>0</v>
      </c>
      <c r="DS35" s="650" cm="1">
        <f t="array" ref="DS35">IF($CB35=0,0,SUM($DP35:$DR35)*_xlfn.XLOOKUP($CB35,Premises!$A$10:$F$10,IF(INDEX(Settings[],MATCH(3001,Settings[ID],0),2)="B",Premises!$A$33:$F$33,Premises!$A$31:$F$31))/100)</f>
        <v>0</v>
      </c>
      <c r="DT35" s="650" cm="1">
        <f t="array" ref="DT35">IF($CB35=0,0,$DP35*_xlfn.XLOOKUP($CB35,Premises!$A$10:$F$10,IF(INDEX(Settings[],MATCH(3002,Settings[ID],0),2)="B",Premises!$A$36:$F$36,Premises!$A$34:$F$34))/100)</f>
        <v>0</v>
      </c>
      <c r="DU35" s="650">
        <f>IF($CB35=0,0,SUM($DP35:$DT35)*_xlfn.XLOOKUP($CB35,Premises!$A$10:$F$10,Premises!$A$37:$F$37)/100)</f>
        <v>0</v>
      </c>
      <c r="DV35" s="954">
        <f t="shared" si="94"/>
        <v>7.3159054423764025E-2</v>
      </c>
      <c r="DW35" s="951">
        <f>IF($CC35=0,0,$DV35*_xlfn.XLOOKUP($CC35,Premises!$A$10:$F$10,Premises!$A$30:$F$30)/100)</f>
        <v>0</v>
      </c>
      <c r="DX35" s="650">
        <f>IFERROR(SUM($DV35:$DW35)*IF(INDEX(Premises!$A$42:$F$42,1,MATCH($CC35,Premises!$A$10:$F$10,0))&gt;0,INDEX(Premises!$A$42:$F$42,1,MATCH($CC35,Premises!$A$10:$F$10,0))%,$CP35),0)</f>
        <v>0</v>
      </c>
      <c r="DY35" s="650" cm="1">
        <f t="array" ref="DY35">IF($CC35=0,0,SUM($DV35:$DX35)*_xlfn.XLOOKUP($CC35,Premises!$A$10:$F$10,IF(INDEX(Settings[],MATCH(3001,Settings[ID],0),2)="B",Premises!$A$33:$F$33,Premises!$A$31:$F$31))/100)</f>
        <v>0</v>
      </c>
      <c r="DZ35" s="650" cm="1">
        <f t="array" ref="DZ35">IF($CC35=0,0,$DV35*_xlfn.XLOOKUP($CC35,Premises!$A$10:$F$10,IF(INDEX(Settings[],MATCH(3002,Settings[ID],0),2)="B",Premises!$A$36:$F$36,Premises!$A$34:$F$34))/100)</f>
        <v>0</v>
      </c>
      <c r="EA35" s="650">
        <f>IF($CC35=0,0,SUM($DV35:$DZ35)*_xlfn.XLOOKUP($CC35,Premises!$A$10:$F$10,Premises!$A$37:$F$37)/100)</f>
        <v>0</v>
      </c>
      <c r="EB35" s="651">
        <f t="shared" si="95"/>
        <v>7.3159054423764025E-2</v>
      </c>
      <c r="EC35" s="805"/>
      <c r="ED35" s="1104"/>
      <c r="EE35" s="650"/>
      <c r="EF35" s="1110"/>
      <c r="EG35" s="1108"/>
      <c r="EH35" s="1108"/>
      <c r="EI35" s="1108"/>
      <c r="EJ35" s="1108"/>
      <c r="EK35" s="1108"/>
      <c r="EL35" s="1108"/>
      <c r="EM35" s="1110"/>
      <c r="EN35" s="1108"/>
      <c r="EO35" s="1108"/>
      <c r="EP35" s="1108"/>
      <c r="EQ35" s="1108"/>
      <c r="ER35" s="1110"/>
      <c r="ES35" s="1108"/>
      <c r="ET35" s="1108"/>
      <c r="EU35" s="1108"/>
      <c r="EV35" s="1108"/>
      <c r="EW35" s="1108"/>
      <c r="EX35" s="1111"/>
      <c r="EY35" s="2"/>
      <c r="EZ35" s="2"/>
      <c r="FA35" s="2"/>
      <c r="FB35" s="2"/>
      <c r="FC35" s="2"/>
      <c r="FD35" s="2"/>
      <c r="FE35" s="2"/>
      <c r="FF35" s="2"/>
      <c r="FG35" s="2"/>
      <c r="FH35" s="2"/>
      <c r="FI35" s="2"/>
      <c r="FJ35" s="420"/>
      <c r="FK35" s="421"/>
      <c r="FL35" s="422"/>
      <c r="FM35" s="1153"/>
    </row>
    <row r="36" spans="1:169" s="13" customFormat="1" ht="12.75" customHeight="1">
      <c r="A36" s="221"/>
      <c r="B36" s="402"/>
      <c r="C36" s="403"/>
      <c r="D36" s="646"/>
      <c r="E36" s="404"/>
      <c r="F36" s="405"/>
      <c r="G36" s="405"/>
      <c r="H36" s="405"/>
      <c r="I36" s="637" cm="1">
        <f t="array" ref="I36">IF($CI36=0,0,IFERROR(INDEX(MHR[],$CI36,MATCH($CA36,MHR!$B$4:$AY$4,0)),0))</f>
        <v>0</v>
      </c>
      <c r="J36" s="634">
        <f t="shared" si="48"/>
        <v>0</v>
      </c>
      <c r="K36" s="406"/>
      <c r="L36" s="407"/>
      <c r="M36" s="871"/>
      <c r="N36" s="407"/>
      <c r="O36" s="405"/>
      <c r="P36" s="645" cm="1">
        <f t="array" ref="P36">IF($K36=0,0,IFERROR(ROUNDUP(IF(ISNUMBER($K36),$K36,INDEX($D$1:$D36,$CD36)*INDEX(Premises!$A$13:$F$13,1,$CH36)/IF(OR($K36="T",$K36="D"),250,IF($K36="W",50,IF($K36="M",12,IF(OR($K36="HJ",$K36="HY"),2,IF(OR($K36="J",$K36="Y"),1,0)))))),0),0))</f>
        <v>0</v>
      </c>
      <c r="Q36" s="637" cm="1">
        <f t="array" ref="Q36">IF($K36=0,0,IFERROR(INDEX(Premises!$A$22:$F$22,1,$CH36)*100/INDEX(Premises!$A$16:$F$16,1,$CH36),0))</f>
        <v>0</v>
      </c>
      <c r="R36" s="634">
        <f t="shared" si="49"/>
        <v>0</v>
      </c>
      <c r="S36" s="408"/>
      <c r="T36" s="409"/>
      <c r="U36" s="637" cm="1">
        <f t="array" ref="U36">IF(COUNTBLANK($S36:$T36),0,
IF(AND(INDEX(MHR[Schichtmodell],$CI36)&lt;&gt;0,INDEX(MHR[Schichtmodell],$CI36)&lt;&gt;INDEX(Premises!$A$20:$F$20,1,$CH36)),ExchangeRate*
IF(OR($T36="M",$T36="U"),IF(INDEX(MHR[Schichtmodell],$CI36)=1,INDEX(LOC[M1S],INDEX(Premises!$A$18:$F$18,1,$CH36+1)),IF(INDEX(MHR[Schichtmodell],$CI36)=2,INDEX(LOC[M2S],INDEX(Premises!$A$18:$F$18,1,$CH36+1),IF(INDEX(MHR[Schichtmodell],$CI36)=3,INDEX(LOC[M3S],INDEX(Premises!$A$18:$F$18,1,$CH36+1)),0)))),
IF(INDEX(MHR[Schichtmodell],$CI36)=1,INDEX(LOC[F1S],INDEX(Premises!$A$18:$F$18,1,$CH36+1)),IF(INDEX(MHR[Schichtmodell],$CI36)=2,INDEX(LOC[F2S],INDEX(Premises!$A$18:$F$18,1,$CH36+1)),IF(INDEX(MHR[Schichtmodell],$CI36)=3,INDEX(LOC[F3S],INDEX(Premises!$A$18:$F$18,1,$CH36+1)),0)))),
IF(OR($T36="M",$T36="U"),INDEX(Premises!$A$21:$F$21,1,$CH36),
IF(OR($T36="F",$T36="S"),INDEX(Premises!$A$22:$F$22,1,$CH36),0)))*100/INDEX(Premises!$A$16:$F$16,1,$CH36))</f>
        <v>0</v>
      </c>
      <c r="V36" s="631">
        <f t="shared" si="50"/>
        <v>0</v>
      </c>
      <c r="W36" s="410"/>
      <c r="X36" s="403"/>
      <c r="Y36" s="411"/>
      <c r="Z36" s="412"/>
      <c r="AA36" s="628">
        <f t="shared" si="51"/>
        <v>0</v>
      </c>
      <c r="AB36" s="410"/>
      <c r="AC36" s="403"/>
      <c r="AD36" s="411"/>
      <c r="AE36" s="413"/>
      <c r="AF36" s="628">
        <f t="shared" si="52"/>
        <v>0</v>
      </c>
      <c r="AG36" s="629" cm="1">
        <f t="array" ref="AG36">IF(($J36+$V36+$AF36)=0,0,INDEX(Premises!$A$30:$F$30,1,$CH36)/100)</f>
        <v>0</v>
      </c>
      <c r="AH36" s="414"/>
      <c r="AI36" s="415"/>
      <c r="AJ36" s="416"/>
      <c r="AK36" s="630">
        <f t="shared" si="53"/>
        <v>0</v>
      </c>
      <c r="AL36" s="631">
        <f t="shared" si="54"/>
        <v>0</v>
      </c>
      <c r="AM36" s="632" cm="1">
        <f t="array" ref="AM36">IF($CI36=0,0,IFERROR(INDEX(MHR[],$CI36,MATCH($CA36,MHR!$B$4:$AY$4,0)+11),0))</f>
        <v>0</v>
      </c>
      <c r="AN36" s="633" cm="1">
        <f t="array" ref="AN36">IF(($J36+$V36)=0,0,IFERROR(IF(INDEX(Premises!$A$41:$F$41,1,$CH36)&lt;&gt;0,INDEX(Premises!$A$41:$F$41,1,$CH36)/100,(IFERROR(($J36/$I36)*$AM36,0)/($V36+$J36+$R36+$AL36))),0))</f>
        <v>0</v>
      </c>
      <c r="AO36" s="634">
        <f t="shared" si="55"/>
        <v>0</v>
      </c>
      <c r="AP36" s="635">
        <f t="shared" si="56"/>
        <v>0</v>
      </c>
      <c r="AQ36" s="410"/>
      <c r="AR36" s="409"/>
      <c r="AS36" s="636" cm="1">
        <f t="array" ref="AS36">IF($CJ36=0,0,IFERROR(INDEX(MAT[Einheit],$CJ36,1),0))</f>
        <v>0</v>
      </c>
      <c r="AT36" s="637" cm="1">
        <f t="array" ref="AT36">IF($CJ36=0,0,IFERROR(INDEX(MAT[Preis],$CJ36,1),0))</f>
        <v>0</v>
      </c>
      <c r="AU36" s="638">
        <f t="shared" si="57"/>
        <v>0</v>
      </c>
      <c r="AV36" s="639" cm="1">
        <f t="array" ref="AV36">IF($AU36&lt;=0,0,INDEX(Premises!$A$30:$F$30,1,$CH36)/100)</f>
        <v>0</v>
      </c>
      <c r="AW36" s="409"/>
      <c r="AX36" s="631">
        <f t="shared" si="58"/>
        <v>0</v>
      </c>
      <c r="AY36" s="640" cm="1">
        <f t="array" ref="AY36">IF($AT36&lt;=0,0,IFERROR(IF(INDEX(Premises!$A$42:$F$42,1,$CH36)&lt;&gt;0,INDEX(Premises!$A$42:$F$42,1,$CH36)/100,(INDEX(MAT[],$CJ36,MATCH($CA36,MAT!$B$4:$AE$4,0))/($AR36*$CK36*INDEX(Premises!$A$13:$F$13,1,$CH36))+INDEX(MAT[],$CJ36,MATCH($CA36,MAT!$B$4:$AE$4,0)+7))/$AT36),0))</f>
        <v>0</v>
      </c>
      <c r="AZ36" s="631">
        <f t="shared" si="59"/>
        <v>0</v>
      </c>
      <c r="BA36" s="635">
        <f t="shared" si="60"/>
        <v>0</v>
      </c>
      <c r="BB36" s="635">
        <f t="shared" si="61"/>
        <v>0</v>
      </c>
      <c r="BC36" s="639" cm="1">
        <f t="array" ref="BC36">IF($BB36&lt;=0,0,IF(BC$2=-1,0,INDEX(Premises!$A$32:$F$32,1,$CH36)/100))</f>
        <v>0</v>
      </c>
      <c r="BD36" s="631">
        <f t="shared" si="62"/>
        <v>0</v>
      </c>
      <c r="BE36" s="639" cm="1">
        <f t="array" ref="BE36">IF($BB36&lt;=0,0,IF(BE$2=-1,0,INDEX(Premises!$A$33:$F$33,1,$CH36)/100))</f>
        <v>0</v>
      </c>
      <c r="BF36" s="631">
        <f t="shared" si="63"/>
        <v>0</v>
      </c>
      <c r="BG36" s="639" cm="1">
        <f t="array" ref="BG36">IF($BB36&lt;=0,0,IF(BG$2=-1,0,INDEX(Premises!$A$31:$F$31,1,$CH36)/100))</f>
        <v>0</v>
      </c>
      <c r="BH36" s="631">
        <f t="shared" si="64"/>
        <v>0</v>
      </c>
      <c r="BI36" s="635">
        <f t="shared" si="65"/>
        <v>0</v>
      </c>
      <c r="BJ36" s="639" cm="1">
        <f t="array" ref="BJ36">IF($BB36&lt;=0,0,IF(BJ$2=-1,0,INDEX(Premises!$A$35:$F$35,1,$CH36)/100))</f>
        <v>0</v>
      </c>
      <c r="BK36" s="631">
        <f t="shared" si="66"/>
        <v>0</v>
      </c>
      <c r="BL36" s="639" cm="1">
        <f t="array" ref="BL36">IF($BB36&lt;=0,0,IF(BL$2=-1,0,INDEX(Premises!$A$36:$F$36,1,$CH36)/100))</f>
        <v>0</v>
      </c>
      <c r="BM36" s="631">
        <f t="shared" si="67"/>
        <v>0</v>
      </c>
      <c r="BN36" s="639" cm="1">
        <f t="array" ref="BN36">IF($BB36&lt;=0,0,IF(BN$2=-1,0,INDEX(Premises!$A$34:$F$34,1,$CH36)/100))</f>
        <v>0</v>
      </c>
      <c r="BO36" s="631">
        <f t="shared" si="68"/>
        <v>0</v>
      </c>
      <c r="BP36" s="639" cm="1">
        <f t="array" ref="BP36">IF($BI36=0,0,INDEX(Premises!$A$37:$F$37,1,$CH36)/100)</f>
        <v>0</v>
      </c>
      <c r="BQ36" s="409"/>
      <c r="BR36" s="631">
        <f t="shared" si="69"/>
        <v>0</v>
      </c>
      <c r="BS36" s="641">
        <f t="shared" si="70"/>
        <v>0</v>
      </c>
      <c r="BT36" s="641">
        <f t="shared" si="71"/>
        <v>0</v>
      </c>
      <c r="BU36" s="642">
        <f t="shared" si="72"/>
        <v>0</v>
      </c>
      <c r="BV36" s="1147"/>
      <c r="BW36" s="418"/>
      <c r="BX36" s="418"/>
      <c r="BY36" s="419"/>
      <c r="BZ36" s="968"/>
      <c r="CA36" s="280" cm="1">
        <f t="array" ref="CA36">IF($BZ36&gt;0,VALUE(LEFT($BZ36,IF(ISERROR(FIND("-",$BZ36)),LEN($BZ36),FIND("-",$BZ36)-1))),INDEX($CA$1:$CA36,MAX(1,$CD36)))</f>
        <v>1</v>
      </c>
      <c r="CB36" s="280" cm="1">
        <f t="array" ref="CB36">IF($BT36=0,0,IF(LEN($BZ36)-LEN(SUBSTITUTE($BZ36,"-",""))&gt;1,
VALUE(MID($BZ36,FIND("-",$BZ36)+1,FIND("-",$BZ36,FIND("-",$BZ36)+1)-FIND("-",$BZ36)-1)),IF($BZ36&gt;0,0,INDEX($CB$1:$CB36,MAX(1,$CD36)))))</f>
        <v>0</v>
      </c>
      <c r="CC36" s="280" cm="1">
        <f t="array" ref="CC36">IF($BT36=0,0,IF(NOT(ISERROR(FIND("-",BZ36))),
VALUE(RIGHT($BZ36,LEN($BZ36)-IF(LEN($BZ36)-LEN(SUBSTITUTE($BZ36,"-",""))=1,FIND("-",$BZ36),FIND("-",$BZ36,FIND("-",$BZ36)+1)))),
IF($BZ36&gt;0,0,INDEX($CC$1:$CC36,MAX(1,$CD36)))))</f>
        <v>0</v>
      </c>
      <c r="CD36" s="393">
        <f>MATCH(0,$CE$1:$CE36,-1)</f>
        <v>25</v>
      </c>
      <c r="CE36" s="280"/>
      <c r="CF36" s="394"/>
      <c r="CG36" s="393" cm="1">
        <f t="array" ref="CG36">INDEX($CG$1:$CG36,$CD36)</f>
        <v>5</v>
      </c>
      <c r="CH36" s="280">
        <f>MATCH($CA36,Premises!$A$10:$F$10,0)</f>
        <v>4</v>
      </c>
      <c r="CI36" s="280">
        <f>IF(ISBLANK($E36),0,IFERROR(MATCH($E36,MHR[Bezeichnung],0),0))</f>
        <v>0</v>
      </c>
      <c r="CJ36" s="394">
        <f>IF(ISBLANK($AQ36),0,IFERROR(MATCH($AQ36,MAT[Bezeichnung],0),0))</f>
        <v>0</v>
      </c>
      <c r="CK36" s="280" cm="1">
        <f t="array" ref="CK36">INDEX($D$1:$D36,$CD36)</f>
        <v>1</v>
      </c>
      <c r="CL36" s="280"/>
      <c r="CM36" s="395"/>
      <c r="CN36" s="396" cm="1">
        <f t="array" ref="CN36">IF($CB36=0,0,IF($CB36=INDEX($CB$1:$CB36,$CD36),INDEX($CN$1:$CN36,$CD36),$CP36))</f>
        <v>0</v>
      </c>
      <c r="CO36" s="395"/>
      <c r="CP36" s="396" cm="1">
        <f t="array" ref="CP36">IF($CC36=0,0,INDEX($CP$1:$CP36,$CD36))</f>
        <v>0</v>
      </c>
      <c r="CQ36" s="397"/>
      <c r="CR36" s="398"/>
      <c r="CS36" s="398"/>
      <c r="CT36" s="1152"/>
      <c r="CU36" s="1149"/>
      <c r="CV36" s="647">
        <f t="shared" si="73"/>
        <v>0</v>
      </c>
      <c r="CW36" s="648">
        <f t="shared" si="74"/>
        <v>0</v>
      </c>
      <c r="CX36" s="648">
        <f t="shared" si="75"/>
        <v>0</v>
      </c>
      <c r="CY36" s="648">
        <f t="shared" si="76"/>
        <v>0</v>
      </c>
      <c r="CZ36" s="648">
        <f t="shared" si="77"/>
        <v>0</v>
      </c>
      <c r="DA36" s="648">
        <f t="shared" si="78"/>
        <v>0</v>
      </c>
      <c r="DB36" s="648">
        <f t="shared" si="79"/>
        <v>0</v>
      </c>
      <c r="DC36" s="649">
        <f t="shared" si="80"/>
        <v>0</v>
      </c>
      <c r="DD36" s="648">
        <f t="shared" si="81"/>
        <v>0</v>
      </c>
      <c r="DE36" s="648">
        <f t="shared" si="82"/>
        <v>0</v>
      </c>
      <c r="DF36" s="648">
        <f t="shared" si="83"/>
        <v>0</v>
      </c>
      <c r="DG36" s="649">
        <f t="shared" si="84"/>
        <v>0</v>
      </c>
      <c r="DH36" s="649">
        <f t="shared" si="85"/>
        <v>0</v>
      </c>
      <c r="DI36" s="648">
        <f t="shared" si="86"/>
        <v>0</v>
      </c>
      <c r="DJ36" s="648">
        <f t="shared" si="87"/>
        <v>0</v>
      </c>
      <c r="DK36" s="648">
        <f t="shared" si="88"/>
        <v>0</v>
      </c>
      <c r="DL36" s="648">
        <f t="shared" si="89"/>
        <v>0</v>
      </c>
      <c r="DM36" s="648">
        <f t="shared" si="90"/>
        <v>0</v>
      </c>
      <c r="DN36" s="648">
        <f t="shared" si="91"/>
        <v>0</v>
      </c>
      <c r="DO36" s="648">
        <f t="shared" si="92"/>
        <v>0</v>
      </c>
      <c r="DP36" s="651">
        <f t="shared" si="93"/>
        <v>0</v>
      </c>
      <c r="DQ36" s="951">
        <f>IF($CB36=0,0,$DP36*_xlfn.XLOOKUP($CB36,Premises!$A$10:$F$10,Premises!$A$30:$F$30)/100)</f>
        <v>0</v>
      </c>
      <c r="DR36" s="650">
        <f>IFERROR(SUM($DP36:$DQ36)*IF(INDEX(Premises!$A$42:$F$42,1,MATCH($CB36,Premises!$A$10:$F$10,0))&gt;0,INDEX(Premises!$A$42:$F$42,1,MATCH($CB36,Premises!$A$10:$F$10,0))%,$CN36),0)</f>
        <v>0</v>
      </c>
      <c r="DS36" s="650" cm="1">
        <f t="array" ref="DS36">IF($CB36=0,0,SUM($DP36:$DR36)*_xlfn.XLOOKUP($CB36,Premises!$A$10:$F$10,IF(INDEX(Settings[],MATCH(3001,Settings[ID],0),2)="B",Premises!$A$33:$F$33,Premises!$A$31:$F$31))/100)</f>
        <v>0</v>
      </c>
      <c r="DT36" s="650" cm="1">
        <f t="array" ref="DT36">IF($CB36=0,0,$DP36*_xlfn.XLOOKUP($CB36,Premises!$A$10:$F$10,IF(INDEX(Settings[],MATCH(3002,Settings[ID],0),2)="B",Premises!$A$36:$F$36,Premises!$A$34:$F$34))/100)</f>
        <v>0</v>
      </c>
      <c r="DU36" s="650">
        <f>IF($CB36=0,0,SUM($DP36:$DT36)*_xlfn.XLOOKUP($CB36,Premises!$A$10:$F$10,Premises!$A$37:$F$37)/100)</f>
        <v>0</v>
      </c>
      <c r="DV36" s="954">
        <f t="shared" si="94"/>
        <v>0</v>
      </c>
      <c r="DW36" s="951">
        <f>IF($CC36=0,0,$DV36*_xlfn.XLOOKUP($CC36,Premises!$A$10:$F$10,Premises!$A$30:$F$30)/100)</f>
        <v>0</v>
      </c>
      <c r="DX36" s="650">
        <f>IFERROR(SUM($DV36:$DW36)*IF(INDEX(Premises!$A$42:$F$42,1,MATCH($CC36,Premises!$A$10:$F$10,0))&gt;0,INDEX(Premises!$A$42:$F$42,1,MATCH($CC36,Premises!$A$10:$F$10,0))%,$CP36),0)</f>
        <v>0</v>
      </c>
      <c r="DY36" s="650" cm="1">
        <f t="array" ref="DY36">IF($CC36=0,0,SUM($DV36:$DX36)*_xlfn.XLOOKUP($CC36,Premises!$A$10:$F$10,IF(INDEX(Settings[],MATCH(3001,Settings[ID],0),2)="B",Premises!$A$33:$F$33,Premises!$A$31:$F$31))/100)</f>
        <v>0</v>
      </c>
      <c r="DZ36" s="650" cm="1">
        <f t="array" ref="DZ36">IF($CC36=0,0,$DV36*_xlfn.XLOOKUP($CC36,Premises!$A$10:$F$10,IF(INDEX(Settings[],MATCH(3002,Settings[ID],0),2)="B",Premises!$A$36:$F$36,Premises!$A$34:$F$34))/100)</f>
        <v>0</v>
      </c>
      <c r="EA36" s="650">
        <f>IF($CC36=0,0,SUM($DV36:$DZ36)*_xlfn.XLOOKUP($CC36,Premises!$A$10:$F$10,Premises!$A$37:$F$37)/100)</f>
        <v>0</v>
      </c>
      <c r="EB36" s="651">
        <f t="shared" si="95"/>
        <v>0</v>
      </c>
      <c r="EC36" s="805"/>
      <c r="ED36" s="1104"/>
      <c r="EE36" s="650"/>
      <c r="EF36" s="1110"/>
      <c r="EG36" s="1108"/>
      <c r="EH36" s="1108"/>
      <c r="EI36" s="1108"/>
      <c r="EJ36" s="1108"/>
      <c r="EK36" s="1108"/>
      <c r="EL36" s="1108"/>
      <c r="EM36" s="1110"/>
      <c r="EN36" s="1108"/>
      <c r="EO36" s="1108"/>
      <c r="EP36" s="1108"/>
      <c r="EQ36" s="1108"/>
      <c r="ER36" s="1110"/>
      <c r="ES36" s="1108"/>
      <c r="ET36" s="1108"/>
      <c r="EU36" s="1108"/>
      <c r="EV36" s="1108"/>
      <c r="EW36" s="1108"/>
      <c r="EX36" s="1111"/>
      <c r="EY36" s="2"/>
      <c r="EZ36" s="2"/>
      <c r="FA36" s="2"/>
      <c r="FB36" s="2"/>
      <c r="FC36" s="2"/>
      <c r="FD36" s="2"/>
      <c r="FE36" s="2"/>
      <c r="FF36" s="2"/>
      <c r="FG36" s="2"/>
      <c r="FH36" s="2"/>
      <c r="FI36" s="2"/>
      <c r="FJ36" s="420"/>
      <c r="FK36" s="421"/>
      <c r="FL36" s="422"/>
      <c r="FM36" s="1153"/>
    </row>
    <row r="37" spans="1:169" s="13" customFormat="1" ht="12.75" customHeight="1">
      <c r="A37" s="221"/>
      <c r="B37" s="387" t="str">
        <f>BOM!$A$6</f>
        <v>01-01-02 Small PCB</v>
      </c>
      <c r="C37" s="388"/>
      <c r="D37" s="389" cm="1">
        <f t="array" ref="D37">IF($CG37=0,0,INDEX(BOM!$N:$N,$CG37))</f>
        <v>1</v>
      </c>
      <c r="E37" s="644" t="s">
        <v>664</v>
      </c>
      <c r="F37" s="644" t="s">
        <v>664</v>
      </c>
      <c r="G37" s="644" t="s">
        <v>664</v>
      </c>
      <c r="H37" s="644" t="s">
        <v>664</v>
      </c>
      <c r="I37" s="644" t="s">
        <v>664</v>
      </c>
      <c r="J37" s="644" t="s">
        <v>664</v>
      </c>
      <c r="K37" s="644" t="s">
        <v>664</v>
      </c>
      <c r="L37" s="644" t="s">
        <v>664</v>
      </c>
      <c r="M37" s="644" t="s">
        <v>664</v>
      </c>
      <c r="N37" s="644" t="s">
        <v>664</v>
      </c>
      <c r="O37" s="644" t="s">
        <v>664</v>
      </c>
      <c r="P37" s="644" t="s">
        <v>664</v>
      </c>
      <c r="Q37" s="644" t="s">
        <v>664</v>
      </c>
      <c r="R37" s="644" t="s">
        <v>664</v>
      </c>
      <c r="S37" s="644" t="s">
        <v>664</v>
      </c>
      <c r="T37" s="644" t="s">
        <v>664</v>
      </c>
      <c r="U37" s="644" t="s">
        <v>664</v>
      </c>
      <c r="V37" s="644" t="s">
        <v>664</v>
      </c>
      <c r="W37" s="644" t="s">
        <v>664</v>
      </c>
      <c r="X37" s="644" t="s">
        <v>664</v>
      </c>
      <c r="Y37" s="644" t="s">
        <v>664</v>
      </c>
      <c r="Z37" s="644" t="s">
        <v>664</v>
      </c>
      <c r="AA37" s="644" t="s">
        <v>664</v>
      </c>
      <c r="AB37" s="644" t="s">
        <v>664</v>
      </c>
      <c r="AC37" s="644" t="s">
        <v>664</v>
      </c>
      <c r="AD37" s="644" t="s">
        <v>664</v>
      </c>
      <c r="AE37" s="644" t="s">
        <v>664</v>
      </c>
      <c r="AF37" s="644" t="s">
        <v>664</v>
      </c>
      <c r="AG37" s="644" t="s">
        <v>664</v>
      </c>
      <c r="AH37" s="644" t="s">
        <v>664</v>
      </c>
      <c r="AI37" s="644" t="s">
        <v>664</v>
      </c>
      <c r="AJ37" s="644" t="s">
        <v>664</v>
      </c>
      <c r="AK37" s="644" t="s">
        <v>664</v>
      </c>
      <c r="AL37" s="644" t="s">
        <v>664</v>
      </c>
      <c r="AM37" s="644" t="s">
        <v>664</v>
      </c>
      <c r="AN37" s="644" t="s">
        <v>664</v>
      </c>
      <c r="AO37" s="644" t="s">
        <v>664</v>
      </c>
      <c r="AP37" s="644" t="s">
        <v>664</v>
      </c>
      <c r="AQ37" s="644" t="s">
        <v>664</v>
      </c>
      <c r="AR37" s="644" t="s">
        <v>664</v>
      </c>
      <c r="AS37" s="644" t="s">
        <v>664</v>
      </c>
      <c r="AT37" s="644" t="s">
        <v>664</v>
      </c>
      <c r="AU37" s="644" t="s">
        <v>664</v>
      </c>
      <c r="AV37" s="644" t="s">
        <v>664</v>
      </c>
      <c r="AW37" s="644" t="s">
        <v>664</v>
      </c>
      <c r="AX37" s="644" t="s">
        <v>664</v>
      </c>
      <c r="AY37" s="644" t="s">
        <v>664</v>
      </c>
      <c r="AZ37" s="644" t="s">
        <v>664</v>
      </c>
      <c r="BA37" s="644" t="s">
        <v>664</v>
      </c>
      <c r="BB37" s="644" t="s">
        <v>664</v>
      </c>
      <c r="BC37" s="644" t="s">
        <v>664</v>
      </c>
      <c r="BD37" s="644" t="s">
        <v>664</v>
      </c>
      <c r="BE37" s="644" t="s">
        <v>664</v>
      </c>
      <c r="BF37" s="644" t="s">
        <v>664</v>
      </c>
      <c r="BG37" s="644" t="s">
        <v>664</v>
      </c>
      <c r="BH37" s="644" t="s">
        <v>664</v>
      </c>
      <c r="BI37" s="644" t="s">
        <v>664</v>
      </c>
      <c r="BJ37" s="644" t="s">
        <v>664</v>
      </c>
      <c r="BK37" s="644" t="s">
        <v>664</v>
      </c>
      <c r="BL37" s="644" t="s">
        <v>664</v>
      </c>
      <c r="BM37" s="644" t="s">
        <v>664</v>
      </c>
      <c r="BN37" s="644" t="s">
        <v>664</v>
      </c>
      <c r="BO37" s="644" t="s">
        <v>664</v>
      </c>
      <c r="BP37" s="644" t="s">
        <v>664</v>
      </c>
      <c r="BQ37" s="644" t="s">
        <v>664</v>
      </c>
      <c r="BR37" s="644" t="s">
        <v>664</v>
      </c>
      <c r="BS37" s="920">
        <f>SUM(INDEX($BS:$BS,ROW()+1):INDEX($BS:$BS,$CE37))</f>
        <v>12.69275546950769</v>
      </c>
      <c r="BT37" s="920">
        <f>SUM(INDEX($BT:$BT,ROW()+1):INDEX($BT:$BT,$CE37))</f>
        <v>12.69275546950769</v>
      </c>
      <c r="BU37" s="644" t="s">
        <v>664</v>
      </c>
      <c r="BV37" s="643">
        <f>SUMPRODUCT($BS37:INDEX($BS:$BS,$CE37),$BU37:INDEX($BU:$BU,$CE37))</f>
        <v>12.69275546950769</v>
      </c>
      <c r="BW37" s="390">
        <f>$D37*$BV37</f>
        <v>12.69275546950769</v>
      </c>
      <c r="BX37" s="816" cm="1">
        <f t="array" ref="BX37">IF($CG37=0,0,IF(INDEX(BOM!$P:$P,$CG37)=0,0,
SUMPRODUCT($BW37:INDEX($BW:$BW,IFERROR(ROW()+MATCH($CL37,INDEX($CL:$CL,ROW()+1):INDEX($CL:$CL,MAX($CE:$CE)),0)-1,MAX($CE:$CE))),
($CL37:INDEX($CL:$CL,IFERROR(ROW()+MATCH($CL37,INDEX($CL:$CL,ROW()+1):INDEX($CL:$CL,MAX($CE:$CE)),0)-1,MAX($CE:$CE)))&gt;=$CL37)*1)
))</f>
        <v>0</v>
      </c>
      <c r="BY37" s="391"/>
      <c r="BZ37" s="392" cm="1">
        <f t="array" ref="BZ37">IF($CG37=0,0,INDEX(BOM!$M:$M,$CG37))</f>
        <v>1</v>
      </c>
      <c r="CA37" s="280">
        <f>IF($BZ37&gt;0,VALUE(LEFT($BZ37,IF(ISERROR(FIND("-",$BZ37)),LEN($BZ37),FIND("-",$BZ37)-1))),INDEX($BZ$1:BZ37,MATCH("",$A$1:A37,-1)))</f>
        <v>1</v>
      </c>
      <c r="CB37" s="280">
        <f>IF(LEN($BZ37)-LEN(SUBSTITUTE($BZ37,"-",))&gt;1,
VALUE(MID($BZ37,FIND("-",$BZ37)+1,FIND("-",$BZ37,FIND("-",$BZ37)+1)-FIND("-",$BZ37)-1)),0)</f>
        <v>0</v>
      </c>
      <c r="CC37" s="280">
        <f>IF(NOT(ISERROR(FIND("-",BZ37))),
VALUE(RIGHT($BZ37,LEN($BZ37)-IF(LEN($BZ37)-LEN(SUBSTITUTE($BZ37,"-",""))=1,FIND("-",$BZ37),FIND("-",$BZ37,FIND("-",$BZ37)+1)))),0)</f>
        <v>0</v>
      </c>
      <c r="CD37" s="393"/>
      <c r="CE37" s="280" cm="1">
        <f t="array" ref="CE37">ROW()+MATCH(TRUE,_xlfn.ISFORMULA(INDEX(BW:BW,ROW()+1):INDEX(BW:BW,ROW()+MaxNumberOfRowsPerBlock)),0)-1</f>
        <v>48</v>
      </c>
      <c r="CF37" s="394" cm="1">
        <f t="array" ref="CF37">IF(CL37=0,-1,IF(CL37=1,7,MAX(IF($CL$1:$CL37=CL37-1,ROW($CL$1:$CL37),0))))</f>
        <v>15</v>
      </c>
      <c r="CG37" s="393">
        <f>IFERROR(MATCH($B37,BOM!$A:$A,0),0)</f>
        <v>6</v>
      </c>
      <c r="CH37" s="280">
        <f>MATCH($CA37,Premises!$A$10:$F$10,0)</f>
        <v>4</v>
      </c>
      <c r="CI37" s="280"/>
      <c r="CJ37" s="394"/>
      <c r="CK37" s="280"/>
      <c r="CL37" s="280" cm="1">
        <f t="array" ref="CL37">IF($CG37=0,0,INDEX(BOM!$C:$C,$CG37))</f>
        <v>3</v>
      </c>
      <c r="CM37" s="395" cm="1">
        <f t="array" ref="CM37">IF($CG37=0,0,IF(OR($CF37&lt;0,AND(INDEX($CB:$CB,$CF37)=$CB37,INDEX($CC:$CC,$CF37)=$CC37)),0,IF(INDEX(BOM!$P:$P,$CG37)=0,$BT37,(SUMIF($CA37:INDEX($CA:$CA,IFERROR(ROW()+MATCH($CL37,INDEX($CL:$CL,ROW()+1):INDEX($CL:$CL,MAX($CE:$CE)),0)-1,MAX($CE:$CE))),$CA37,$BT37:INDEX($BT:$BT,IFERROR(ROW()+MATCH($CL37,INDEX($CL:$CL,ROW()+1):INDEX($CL:$CL,MAX($CE:$CE)),0)-1,MAX($CE:$CE))))+SUMIF($CB37:INDEX($CB:$CB,IFERROR(ROW()+MATCH($CL37,INDEX($CL:$CL,ROW()+1):INDEX($CL:$CL,MAX($CE:$CE)),0)-1,MAX($CE:$CE))),$CA37,$BT37:INDEX($BT:$BT,IFERROR(ROW()+MATCH($CL37,INDEX($CL:$CL,ROW()+1):INDEX($CL:$CL,MAX($CE:$CE)),0)-1,MAX($CE:$CE)))))/2)))</f>
        <v>0</v>
      </c>
      <c r="CN37" s="396" cm="1">
        <f t="array" ref="CN37">IFERROR(IF($CB37=0,0,IF($CM37=0,INDEX($CN$1:$CN37,$CF37),INDEX(IF($CM37&lt;0.2,Premises!$A$43:$F$43,IF($CM37&lt;5,Premises!$A$46:$F$46,Premises!$A$49:$F$49)),MATCH($CB37,Premises!$A$10:$F$10,0))/($CM37*INDEX(Premises!$A$13:$F$13,MATCH($CB37,Premises!$A$10:$F$10,0)))+INDEX(IF($CM37&lt;0.2,Premises!$A$44:$F$44,IF($CM37&lt;5,Premises!$A$47:$F$47,Premises!$A$50:$F$50)),MATCH($CB37,Premises!$A$10:$F$10,0))+INDEX(IF($CM37&lt;0.2,Premises!$A$45:$F$45,IF($CM37&lt;5,Premises!$A$48:$F$48,Premises!$A$51:$F$51)),MATCH($CB37,Premises!$A$10:$F$10,0))/$CM37)),0.01)</f>
        <v>0</v>
      </c>
      <c r="CO37" s="395" cm="1">
        <f t="array" ref="CO37">IF($CG37=0,0,IF(INDEX($CC:$CC,$CF37)=$CC37,0,$CM37*(1+IFERROR(INDEX(Premises!$A$52:$F$52,1,MATCH($CB37,Premises!$A$10:$F$10,0)),0)+$CN37)))</f>
        <v>0</v>
      </c>
      <c r="CP37" s="396" cm="1">
        <f t="array" ref="CP37">IFERROR(IF($CC37=0,0,IF($CO37=0,INDEX($CP$1:$CP37,$CF37),INDEX(IF($CO37&lt;0.2,Premises!$A$43:$F$43,IF($CO37&lt;5,Premises!$A$46:$F$46,Premises!$A$49:$F$49)),MATCH($CC37,Premises!$A$10:$F$10,0))/($CO37*INDEX(Premises!$A$13:$F$13,MATCH($CC37,Premises!$A$10:$F$10,0)))+INDEX(IF($CO37&lt;0.2,Premises!$A$44:$F$44,IF($CO37&lt;5,Premises!$A$47:$F$47,Premises!$A$50:$F$50)),MATCH($CC37,Premises!$A$10:$F$10,0))+INDEX(IF($CO37&lt;0.2,Premises!$A$45:$F$45,IF($CO37&lt;5,Premises!$A$48:$F$48,Premises!$A$51:$F$51)),MATCH($CC37,Premises!$A$10:$F$10,0))/$CO37)),0.01)</f>
        <v>0</v>
      </c>
      <c r="CQ37" s="397" cm="1">
        <f t="array" ref="CQ37">IF(AND($CM37=0,$CO37=0),0,INDEX(BOM!$O:$O,$CG37))</f>
        <v>0</v>
      </c>
      <c r="CR37" s="398" cm="1">
        <f t="array" ref="CR37">IF(OR($CM37=0,$CN37=0),0,ACOS(COS(RADIANS(90-INDEX(Premises!$A$66:$F$66,1,$CH37)))*COS(RADIANS(90-INDEX(Premises!$A$66:$F$66,1,MATCH($CB37,Premises!$A$10:$F$10,0))))
+SIN(RADIANS(90-INDEX(Premises!$A$66:$F$66,1,$CH37)))*SIN(RADIANS(90-INDEX(Premises!$A$66:$F$66,1,MATCH($CB37,Premises!$A$10:$F$10,0)))) * COS(RADIANS(INDEX(Premises!$A$67:$F$67,1,$CH37)-INDEX(Premises!$A$67:$F$67,1,MATCH($CB37,Premises!$A$10:$F$10,0)))))*6371)</f>
        <v>0</v>
      </c>
      <c r="CS37" s="398" cm="1">
        <f t="array" ref="CS37">IF(OR($CO37=0,$CP37=0),0,
IF($CR37=0,ACOS(COS(RADIANS(90-INDEX(Premises!$A$66:$F$66,1,$CH37)))*COS(RADIANS(90-INDEX(Premises!$A$66:$F$66,1,MATCH($CC37,Premises!$A$10:$F$10,0))))
+SIN(RADIANS(90-INDEX(Premises!$A$66:$F$66,1,$CH37)))*SIN(RADIANS(90-INDEX(Premises!$A$66:$F$66,1,MATCH($CC37,Premises!$A$10:$F$10,0))))*COS(RADIANS(INDEX(Premises!$A$67:$F$67,1,$CH37)-INDEX(Premises!$A$67:$F$67,1,MATCH($CC37,Premises!$A$10:$F$10,0)))))*6371,
ACOS(COS(RADIANS(90-INDEX(Premises!$A$66:$F$66,1,MATCH($CB37,Premises!$A$10:$F$10,0))))*COS(RADIANS(90-INDEX(Premises!$A$66:$F$66,1,MATCH($CC37,Premises!$A$10:$F$10,0))))
+SIN(RADIANS(90-INDEX(Premises!$A$66:$F$66,1,MATCH($CB37,Premises!$A$10:$F$10,0))))*SIN(RADIANS(90-INDEX(Premises!$A$66:$F$66,1,MATCH($CC37,Premises!$A$10:$F$10,0))))*COS(RADIANS(INDEX(Premises!$A$67:$F$67,1,MATCH($CB37,Premises!$A$10:$F$10,0))-INDEX(Premises!$A$67:$F$67,1,MATCH($CC37,Premises!$A$10:$F$10,0)))))*6371))</f>
        <v>0</v>
      </c>
      <c r="CT37" s="969"/>
      <c r="CU37" s="2"/>
      <c r="CV37" s="399">
        <f>SUM(INDEX(CV:CV,ROW()+1):INDEX(CV:CV,$CE37))</f>
        <v>0.29027998094311763</v>
      </c>
      <c r="CW37" s="400">
        <f>SUM(INDEX(CW:CW,ROW()+1):INDEX(CW:CW,$CE37))</f>
        <v>3.4153946387805771E-2</v>
      </c>
      <c r="CX37" s="400">
        <f>SUM(INDEX(CX:CX,ROW()+1):INDEX(CX:CX,$CE37))</f>
        <v>0.14026872020625003</v>
      </c>
      <c r="CY37" s="400">
        <f>SUM(INDEX(CY:CY,ROW()+1):INDEX(CY:CY,$CE37))</f>
        <v>0</v>
      </c>
      <c r="CZ37" s="400">
        <f>SUM(INDEX(CZ:CZ,ROW()+1):INDEX(CZ:CZ,$CE37))</f>
        <v>0</v>
      </c>
      <c r="DA37" s="400">
        <f>SUM(INDEX(DA:DA,ROW()+1):INDEX(DA:DA,$CE37))</f>
        <v>4.305487011493676E-3</v>
      </c>
      <c r="DB37" s="400">
        <f>SUM(INDEX(DB:DB,ROW()+1):INDEX(DB:DB,$CE37))</f>
        <v>6.347406503924069E-2</v>
      </c>
      <c r="DC37" s="400">
        <f>SUM(INDEX(DC:DC,ROW()+1):INDEX(DC:DC,$CE37))</f>
        <v>0.53248219958790777</v>
      </c>
      <c r="DD37" s="400">
        <f>SUM(INDEX(DD:DD,ROW()+1):INDEX(DD:DD,$CE37))</f>
        <v>10.024187102699948</v>
      </c>
      <c r="DE37" s="400">
        <f>SUM(INDEX(DE:DE,ROW()+1):INDEX(DE:DE,$CE37))</f>
        <v>0.10024187102699948</v>
      </c>
      <c r="DF37" s="400">
        <f>SUM(INDEX(DF:DF,ROW()+1):INDEX(DF:DF,$CE37))</f>
        <v>6.3223783545182474E-2</v>
      </c>
      <c r="DG37" s="400">
        <f>SUM(INDEX(DG:DG,ROW()+1):INDEX(DG:DG,$CE37))</f>
        <v>10.187652757272131</v>
      </c>
      <c r="DH37" s="400">
        <f>SUM(INDEX(DH:DH,ROW()+1):INDEX(DH:DH,$CE37))</f>
        <v>10.72013495686004</v>
      </c>
      <c r="DI37" s="400">
        <f>SUM(INDEX(DI:DI,ROW()+1):INDEX(DI:DI,$CE37))</f>
        <v>0</v>
      </c>
      <c r="DJ37" s="400">
        <f>SUM(INDEX(DJ:DJ,ROW()+1):INDEX(DJ:DJ,$CE37))</f>
        <v>0</v>
      </c>
      <c r="DK37" s="400">
        <f>SUM(INDEX(DK:DK,ROW()+1):INDEX(DK:DK,$CE37))</f>
        <v>1.3394786837310684</v>
      </c>
      <c r="DL37" s="400">
        <f>SUM(INDEX(DL:DL,ROW()+1):INDEX(DL:DL,$CE37))</f>
        <v>0</v>
      </c>
      <c r="DM37" s="400">
        <f>SUM(INDEX(DM:DM,ROW()+1):INDEX(DM:DM,$CE37))</f>
        <v>0</v>
      </c>
      <c r="DN37" s="400">
        <f>SUM(INDEX(DN:DN,ROW()+1):INDEX(DN:DN,$CE37))</f>
        <v>0.63314182891658166</v>
      </c>
      <c r="DO37" s="400">
        <f>SUM(INDEX(DO:DO,ROW()+1):INDEX(DO:DO,$CE37))</f>
        <v>0</v>
      </c>
      <c r="DP37" s="400">
        <f>SUM(INDEX(DP:DP,ROW()+1):INDEX(DP:DP,$CE37))</f>
        <v>12.69275546950769</v>
      </c>
      <c r="DQ37" s="400">
        <f>SUM(INDEX(DQ:DQ,ROW()+1):INDEX(DQ:DQ,$CE37))</f>
        <v>0</v>
      </c>
      <c r="DR37" s="400">
        <f>SUM(INDEX(DR:DR,ROW()+1):INDEX(DR:DR,$CE37))</f>
        <v>0</v>
      </c>
      <c r="DS37" s="400">
        <f>SUM(INDEX(DS:DS,ROW()+1):INDEX(DS:DS,$CE37))</f>
        <v>0</v>
      </c>
      <c r="DT37" s="400">
        <f>SUM(INDEX(DT:DT,ROW()+1):INDEX(DT:DT,$CE37))</f>
        <v>0</v>
      </c>
      <c r="DU37" s="400">
        <f>SUM(INDEX(DU:DU,ROW()+1):INDEX(DU:DU,$CE37))</f>
        <v>0</v>
      </c>
      <c r="DV37" s="400">
        <f>SUM(INDEX(DV:DV,ROW()+1):INDEX(DV:DV,$CE37))</f>
        <v>12.69275546950769</v>
      </c>
      <c r="DW37" s="400">
        <f>SUM(INDEX(DW:DW,ROW()+1):INDEX(DW:DW,$CE37))</f>
        <v>0</v>
      </c>
      <c r="DX37" s="400">
        <f>SUM(INDEX(DX:DX,ROW()+1):INDEX(DX:DX,$CE37))</f>
        <v>0</v>
      </c>
      <c r="DY37" s="400">
        <f>SUM(INDEX(DY:DY,ROW()+1):INDEX(DY:DY,$CE37))</f>
        <v>0</v>
      </c>
      <c r="DZ37" s="400">
        <f>SUM(INDEX(DZ:DZ,ROW()+1):INDEX(DZ:DZ,$CE37))</f>
        <v>0</v>
      </c>
      <c r="EA37" s="400">
        <f>SUM(INDEX(EA:EA,ROW()+1):INDEX(EA:EA,$CE37))</f>
        <v>0</v>
      </c>
      <c r="EB37" s="401">
        <f>SUM(INDEX(EB:EB,ROW()+1):INDEX(EB:EB,$CE37))</f>
        <v>12.69275546950769</v>
      </c>
      <c r="EC37" s="805"/>
      <c r="ED37" s="399"/>
      <c r="EE37" s="400"/>
      <c r="EF37" s="1112"/>
      <c r="EG37" s="1112"/>
      <c r="EH37" s="1112"/>
      <c r="EI37" s="1112"/>
      <c r="EJ37" s="1112"/>
      <c r="EK37" s="1112"/>
      <c r="EL37" s="1112"/>
      <c r="EM37" s="1112"/>
      <c r="EN37" s="1112"/>
      <c r="EO37" s="1112"/>
      <c r="EP37" s="1112"/>
      <c r="EQ37" s="1112"/>
      <c r="ER37" s="1112"/>
      <c r="ES37" s="1112"/>
      <c r="ET37" s="1112"/>
      <c r="EU37" s="1112"/>
      <c r="EV37" s="1112"/>
      <c r="EW37" s="1112"/>
      <c r="EX37" s="1113"/>
      <c r="EY37" s="2"/>
      <c r="EZ37" s="2"/>
      <c r="FA37" s="2"/>
      <c r="FB37" s="2"/>
      <c r="FC37" s="2"/>
      <c r="FD37" s="2"/>
      <c r="FE37" s="2"/>
      <c r="FF37" s="2"/>
      <c r="FG37" s="2"/>
      <c r="FH37" s="2"/>
      <c r="FI37" s="2"/>
      <c r="FJ37" s="399"/>
      <c r="FK37" s="400"/>
      <c r="FL37" s="401"/>
      <c r="FM37" s="969"/>
    </row>
    <row r="38" spans="1:169" s="13" customFormat="1" ht="12.75" customHeight="1">
      <c r="A38" s="221"/>
      <c r="B38" s="402" t="s">
        <v>34</v>
      </c>
      <c r="C38" s="403"/>
      <c r="D38" s="646"/>
      <c r="E38" s="404"/>
      <c r="F38" s="405"/>
      <c r="G38" s="405"/>
      <c r="H38" s="405"/>
      <c r="I38" s="637" cm="1">
        <f t="array" ref="I38">IF($CI38=0,0,IFERROR(INDEX(MHR[],$CI38,MATCH($CA38,MHR!$B$4:$AY$4,0)),0))</f>
        <v>0</v>
      </c>
      <c r="J38" s="634">
        <f t="shared" ref="J38:J48" si="96">IF(COUNTBLANK($E38:$H38),0,IFERROR($F38/$H38/IF($G38="s",3600,IF($G38="min",60,IF($G38="h",1,0)))*I38,0))</f>
        <v>0</v>
      </c>
      <c r="K38" s="406"/>
      <c r="L38" s="407"/>
      <c r="M38" s="871"/>
      <c r="N38" s="407"/>
      <c r="O38" s="405"/>
      <c r="P38" s="645" cm="1">
        <f t="array" ref="P38">IF($K38=0,0,IFERROR(ROUNDUP(IF(ISNUMBER($K38),$K38,INDEX($D$1:$D38,$CD38)*INDEX(Premises!$A$13:$F$13,1,$CH38)/IF(OR($K38="T",$K38="D"),250,IF($K38="W",50,IF($K38="M",12,IF(OR($K38="HJ",$K38="HY"),2,IF(OR($K38="J",$K38="Y"),1,0)))))),0),0))</f>
        <v>0</v>
      </c>
      <c r="Q38" s="637" cm="1">
        <f t="array" ref="Q38">IF($K38=0,0,IFERROR(INDEX(Premises!$A$22:$F$22,1,$CH38)*100/INDEX(Premises!$A$16:$F$16,1,$CH38),0))</f>
        <v>0</v>
      </c>
      <c r="R38" s="634">
        <f t="shared" ref="R38:R48" si="97">IF($P38=0,0,IFERROR(($L38/60*($I38+$Q38*$M38)+($N38/60*($Q38*$O38)))/$P38,0))</f>
        <v>0</v>
      </c>
      <c r="S38" s="408"/>
      <c r="T38" s="409"/>
      <c r="U38" s="637" cm="1">
        <f t="array" ref="U38">IF(COUNTBLANK($S38:$T38),0,
IF(AND(INDEX(MHR[Schichtmodell],$CI38)&lt;&gt;0,INDEX(MHR[Schichtmodell],$CI38)&lt;&gt;INDEX(Premises!$A$20:$F$20,1,$CH38)),ExchangeRate*
IF(OR($T38="M",$T38="U"),IF(INDEX(MHR[Schichtmodell],$CI38)=1,INDEX(LOC[M1S],INDEX(Premises!$A$18:$F$18,1,$CH38+1)),IF(INDEX(MHR[Schichtmodell],$CI38)=2,INDEX(LOC[M2S],INDEX(Premises!$A$18:$F$18,1,$CH38+1),IF(INDEX(MHR[Schichtmodell],$CI38)=3,INDEX(LOC[M3S],INDEX(Premises!$A$18:$F$18,1,$CH38+1)),0)))),
IF(INDEX(MHR[Schichtmodell],$CI38)=1,INDEX(LOC[F1S],INDEX(Premises!$A$18:$F$18,1,$CH38+1)),IF(INDEX(MHR[Schichtmodell],$CI38)=2,INDEX(LOC[F2S],INDEX(Premises!$A$18:$F$18,1,$CH38+1)),IF(INDEX(MHR[Schichtmodell],$CI38)=3,INDEX(LOC[F3S],INDEX(Premises!$A$18:$F$18,1,$CH38+1)),0)))),
IF(OR($T38="M",$T38="U"),INDEX(Premises!$A$21:$F$21,1,$CH38),
IF(OR($T38="F",$T38="S"),INDEX(Premises!$A$22:$F$22,1,$CH38),0)))*100/INDEX(Premises!$A$16:$F$16,1,$CH38))</f>
        <v>0</v>
      </c>
      <c r="V38" s="631">
        <f t="shared" ref="V38:V48" si="98">IF($U38=0,0,IFERROR($F38/$H38/IF($G38="s",3600,IF($G38="min",60,IF($G38="h",1,0)))*$S38*$U38,0))</f>
        <v>0</v>
      </c>
      <c r="W38" s="410"/>
      <c r="X38" s="403"/>
      <c r="Y38" s="411"/>
      <c r="Z38" s="412"/>
      <c r="AA38" s="628">
        <f t="shared" ref="AA38:AA48" si="99">IFERROR($X38*$Z38/$Y38/MAX(1,$H38),0)</f>
        <v>0</v>
      </c>
      <c r="AB38" s="410"/>
      <c r="AC38" s="403"/>
      <c r="AD38" s="411"/>
      <c r="AE38" s="413"/>
      <c r="AF38" s="628">
        <f t="shared" ref="AF38:AF48" si="100">IFERROR($AC38*$AE38/$AD38,0)</f>
        <v>0</v>
      </c>
      <c r="AG38" s="629" cm="1">
        <f t="array" ref="AG38">IF(($J38+$V38+$AF38)=0,0,INDEX(Premises!$A$30:$F$30,1,$CH38)/100)</f>
        <v>0</v>
      </c>
      <c r="AH38" s="414"/>
      <c r="AI38" s="415"/>
      <c r="AJ38" s="416"/>
      <c r="AK38" s="630">
        <f t="shared" ref="AK38:AK48" si="101">IF(COUNTBLANK($AH38:$AI38),0,$AH38*$AI38*$AG38)</f>
        <v>0</v>
      </c>
      <c r="AL38" s="631">
        <f t="shared" ref="AL38:AL48" si="102">($AK38+$AJ38*$AG38*(1-$AH38)+($J38+$V38+$AF38)*$AG38*(1-$AH38))</f>
        <v>0</v>
      </c>
      <c r="AM38" s="632" cm="1">
        <f t="array" ref="AM38">IF($CI38=0,0,IFERROR(INDEX(MHR[],$CI38,MATCH($CA38,MHR!$B$4:$AY$4,0)+11),0))</f>
        <v>0</v>
      </c>
      <c r="AN38" s="633" cm="1">
        <f t="array" ref="AN38">IF(($J38+$V38)=0,0,IFERROR(IF(INDEX(Premises!$A$41:$F$41,1,$CH38)&lt;&gt;0,INDEX(Premises!$A$41:$F$41,1,$CH38)/100,(IFERROR(($J38/$I38)*$AM38,0)/($V38+$J38+$R38+$AL38))),0))</f>
        <v>0</v>
      </c>
      <c r="AO38" s="634">
        <f t="shared" ref="AO38:AO48" si="103">IF(($J38+$V38)=0,0,IF(IFERROR(($J38+$R38+$V38+$AL38)*$AN38,0)&lt;&gt;IFERROR(($J38/$I38)*$AM38,0),($J38+$R38+$V38+$AL38)*$AN38,IFERROR(($J38/$I38)*$AM38,0)))</f>
        <v>0</v>
      </c>
      <c r="AP38" s="635">
        <f t="shared" ref="AP38:AP48" si="104">$V38+$J38+$R38+$AA38+$AF38+$AL38+$AO38</f>
        <v>0</v>
      </c>
      <c r="AQ38" s="410" t="str">
        <f>VLOOKUP($B37,BOM,5,0)</f>
        <v>Small PCB Material</v>
      </c>
      <c r="AR38" s="409">
        <v>1</v>
      </c>
      <c r="AS38" s="636" t="str" cm="1">
        <f t="array" ref="AS38">IF($CJ38=0,0,IFERROR(INDEX(MAT[Einheit],$CJ38,1),0))</f>
        <v>pcs.</v>
      </c>
      <c r="AT38" s="637" cm="1">
        <f t="array" ref="AT38">IF($CJ38=0,0,IFERROR(INDEX(MAT[Preis],$CJ38,1),0))</f>
        <v>10.024187102699948</v>
      </c>
      <c r="AU38" s="638">
        <f t="shared" ref="AU38:AU48" si="105">$AR38*$AT38</f>
        <v>10.024187102699948</v>
      </c>
      <c r="AV38" s="639" cm="1">
        <f t="array" ref="AV38">IF($AU38&lt;=0,0,INDEX(Premises!$A$30:$F$30,1,$CH38)/100)</f>
        <v>0.01</v>
      </c>
      <c r="AW38" s="409"/>
      <c r="AX38" s="631">
        <f t="shared" ref="AX38:AX48" si="106">IF($AV38=0,0,($AU38+$AW38)*$AV38)</f>
        <v>0.10024187102699948</v>
      </c>
      <c r="AY38" s="640" cm="1">
        <f t="array" ref="AY38">IF($AT38&lt;=0,0,IFERROR(IF(INDEX(Premises!$A$42:$F$42,1,$CH38)&lt;&gt;0,INDEX(Premises!$A$42:$F$42,1,$CH38)/100,(INDEX(MAT[],$CJ38,MATCH($CA38,MAT!$B$4:$AE$4,0))/($AR38*$CK38*INDEX(Premises!$A$13:$F$13,1,$CH38))+INDEX(MAT[],$CJ38,MATCH($CA38,MAT!$B$4:$AE$4,0)+7))/$AT38),0))</f>
        <v>6.2446764858787775E-3</v>
      </c>
      <c r="AZ38" s="631">
        <f t="shared" ref="AZ38:AZ48" si="107">IF($AY38=0,0,($AU38+$AX38)*$AY38)</f>
        <v>6.3223783545182474E-2</v>
      </c>
      <c r="BA38" s="635">
        <f t="shared" ref="BA38:BA48" si="108">$AU38+$AX38+$AZ38</f>
        <v>10.187652757272131</v>
      </c>
      <c r="BB38" s="635">
        <f t="shared" ref="BB38:BB48" si="109">$AP38+$BA38</f>
        <v>10.187652757272131</v>
      </c>
      <c r="BC38" s="639" cm="1">
        <f t="array" ref="BC38">IF($BB38&lt;=0,0,IF(BC$2=-1,0,INDEX(Premises!$A$32:$F$32,1,$CH38)/100))</f>
        <v>0</v>
      </c>
      <c r="BD38" s="631">
        <f t="shared" ref="BD38:BD48" si="110">IF($AP38&lt;=0,0,($AP38-$AA38-$AL38)*$BC38)</f>
        <v>0</v>
      </c>
      <c r="BE38" s="639" cm="1">
        <f t="array" ref="BE38">IF($BB38&lt;=0,0,IF(BE$2=-1,0,INDEX(Premises!$A$33:$F$33,1,$CH38)/100))</f>
        <v>0</v>
      </c>
      <c r="BF38" s="631">
        <f t="shared" ref="BF38:BF48" si="111">IF($BA38&lt;=0,0,$BA38*$BE38)</f>
        <v>0</v>
      </c>
      <c r="BG38" s="639" cm="1">
        <f t="array" ref="BG38">IF($BB38&lt;=0,0,IF(BG$2=-1,0,INDEX(Premises!$A$31:$F$31,1,$CH38)/100))</f>
        <v>0.125</v>
      </c>
      <c r="BH38" s="631">
        <f t="shared" ref="BH38:BH48" si="112">(($AP38-$AA38-$AL38)+$BA38)*$BG38</f>
        <v>1.2734565946590164</v>
      </c>
      <c r="BI38" s="635">
        <f t="shared" ref="BI38:BI48" si="113">$BB38+$BD38+$BF38+$BH38</f>
        <v>11.461109351931148</v>
      </c>
      <c r="BJ38" s="639" cm="1">
        <f t="array" ref="BJ38">IF($BB38&lt;=0,0,IF(BJ$2=-1,0,INDEX(Premises!$A$35:$F$35,1,$CH38)/100))</f>
        <v>0</v>
      </c>
      <c r="BK38" s="631">
        <f t="shared" ref="BK38:BK48" si="114">IF($AP38&lt;=0,0,($AP38-$AL38-$AA38)*$BJ38)</f>
        <v>0</v>
      </c>
      <c r="BL38" s="639" cm="1">
        <f t="array" ref="BL38">IF($BB38&lt;=0,0,IF(BL$2=-1,0,INDEX(Premises!$A$36:$F$36,1,$CH38)/100))</f>
        <v>0</v>
      </c>
      <c r="BM38" s="631">
        <f t="shared" ref="BM38:BM48" si="115">IF($AU38&lt;=0,0,($AR38*$AT38)*$BL38)</f>
        <v>0</v>
      </c>
      <c r="BN38" s="639" cm="1">
        <f t="array" ref="BN38">IF($BB38&lt;=0,0,IF(BN$2=-1,0,INDEX(Premises!$A$34:$F$34,1,$CH38)/100))</f>
        <v>0.06</v>
      </c>
      <c r="BO38" s="631">
        <f t="shared" ref="BO38:BO48" si="116">(($AP38-$AL38-$AA38)+($AR38*$AT38))*$BN38</f>
        <v>0.60145122616199687</v>
      </c>
      <c r="BP38" s="639" cm="1">
        <f t="array" ref="BP38">IF($BI38=0,0,INDEX(Premises!$A$37:$F$37,1,$CH38)/100)</f>
        <v>0</v>
      </c>
      <c r="BQ38" s="409"/>
      <c r="BR38" s="631">
        <f t="shared" ref="BR38:BR48" si="117">($BI38+$BK38+$BM38+$BO38)*$BP38+$BQ38</f>
        <v>0</v>
      </c>
      <c r="BS38" s="641">
        <f t="shared" ref="BS38:BS48" si="118">BI38+BK38+BM38+BO38+BR38</f>
        <v>12.062560578093144</v>
      </c>
      <c r="BT38" s="641">
        <f t="shared" ref="BT38:BT48" si="119">IF($BS38=0,0,$CK38*$BS38)</f>
        <v>12.062560578093144</v>
      </c>
      <c r="BU38" s="642">
        <f t="shared" ref="BU38:BU48" si="120">IF($BT38=0,0,MAX(1,$EB38/$DP38))</f>
        <v>1</v>
      </c>
      <c r="BV38" s="417"/>
      <c r="BW38" s="418"/>
      <c r="BX38" s="418"/>
      <c r="BY38" s="419"/>
      <c r="BZ38" s="968"/>
      <c r="CA38" s="280" cm="1">
        <f t="array" ref="CA38">IF($BZ38&gt;0,VALUE(LEFT($BZ38,IF(ISERROR(FIND("-",$BZ38)),LEN($BZ38),FIND("-",$BZ38)-1))),INDEX($CA$1:$CA38,MAX(1,$CD38)))</f>
        <v>1</v>
      </c>
      <c r="CB38" s="280" cm="1">
        <f t="array" ref="CB38">IF($BT38=0,0,IF(LEN($BZ38)-LEN(SUBSTITUTE($BZ38,"-",""))&gt;1,
VALUE(MID($BZ38,FIND("-",$BZ38)+1,FIND("-",$BZ38,FIND("-",$BZ38)+1)-FIND("-",$BZ38)-1)),IF($BZ38&gt;0,0,INDEX($CB$1:$CB38,MAX(1,$CD38)))))</f>
        <v>0</v>
      </c>
      <c r="CC38" s="280" cm="1">
        <f t="array" ref="CC38">IF($BT38=0,0,IF(NOT(ISERROR(FIND("-",BZ38))),
VALUE(RIGHT($BZ38,LEN($BZ38)-IF(LEN($BZ38)-LEN(SUBSTITUTE($BZ38,"-",""))=1,FIND("-",$BZ38),FIND("-",$BZ38,FIND("-",$BZ38)+1)))),
IF($BZ38&gt;0,0,INDEX($CC$1:$CC38,MAX(1,$CD38)))))</f>
        <v>0</v>
      </c>
      <c r="CD38" s="393">
        <f>MATCH(0,$CE$1:$CE38,-1)</f>
        <v>37</v>
      </c>
      <c r="CE38" s="280"/>
      <c r="CF38" s="394"/>
      <c r="CG38" s="393" cm="1">
        <f t="array" ref="CG38">INDEX($CG$1:$CG38,$CD38)</f>
        <v>6</v>
      </c>
      <c r="CH38" s="280">
        <f>MATCH($CA38,Premises!$A$10:$F$10,0)</f>
        <v>4</v>
      </c>
      <c r="CI38" s="280">
        <f>IF(ISBLANK($E38),0,IFERROR(MATCH($E38,MHR[Bezeichnung],0),0))</f>
        <v>0</v>
      </c>
      <c r="CJ38" s="394">
        <f>IF(ISBLANK($AQ38),0,IFERROR(MATCH($AQ38,MAT[Bezeichnung],0),0))</f>
        <v>8</v>
      </c>
      <c r="CK38" s="280" cm="1">
        <f t="array" ref="CK38">INDEX($D$1:$D38,$CD38)</f>
        <v>1</v>
      </c>
      <c r="CL38" s="280"/>
      <c r="CM38" s="395"/>
      <c r="CN38" s="396" cm="1">
        <f t="array" ref="CN38">IF($CB38=0,0,IF($CB38=INDEX($CB$1:$CB38,$CD38),INDEX($CN$1:$CN38,$CD38),$CP38))</f>
        <v>0</v>
      </c>
      <c r="CO38" s="395"/>
      <c r="CP38" s="396" cm="1">
        <f t="array" ref="CP38">IF($CC38=0,0,INDEX($CP$1:$CP38,$CD38))</f>
        <v>0</v>
      </c>
      <c r="CQ38" s="397"/>
      <c r="CR38" s="398"/>
      <c r="CS38" s="398"/>
      <c r="CT38" s="970"/>
      <c r="CU38" s="2"/>
      <c r="CV38" s="647">
        <f t="shared" ref="CV38:CV48" si="121">$J38*$CK38</f>
        <v>0</v>
      </c>
      <c r="CW38" s="648">
        <f t="shared" ref="CW38:CW48" si="122">$R38*$CK38</f>
        <v>0</v>
      </c>
      <c r="CX38" s="648">
        <f t="shared" ref="CX38:CX48" si="123">$V38*$CK38</f>
        <v>0</v>
      </c>
      <c r="CY38" s="648">
        <f t="shared" ref="CY38:CY48" si="124">$AA38*$CK38</f>
        <v>0</v>
      </c>
      <c r="CZ38" s="648">
        <f t="shared" ref="CZ38:CZ48" si="125">$AF38*$CK38</f>
        <v>0</v>
      </c>
      <c r="DA38" s="648">
        <f t="shared" ref="DA38:DA48" si="126">$AL38*$CK38</f>
        <v>0</v>
      </c>
      <c r="DB38" s="648">
        <f t="shared" ref="DB38:DB48" si="127">$AO38*$CK38</f>
        <v>0</v>
      </c>
      <c r="DC38" s="649">
        <f t="shared" ref="DC38:DC48" si="128">$AP38*$CK38</f>
        <v>0</v>
      </c>
      <c r="DD38" s="648">
        <f t="shared" ref="DD38:DD48" si="129">$AU38*$CK38</f>
        <v>10.024187102699948</v>
      </c>
      <c r="DE38" s="648">
        <f t="shared" ref="DE38:DE48" si="130">$AX38*$CK38</f>
        <v>0.10024187102699948</v>
      </c>
      <c r="DF38" s="648">
        <f t="shared" ref="DF38:DF48" si="131">$AZ38*$CK38</f>
        <v>6.3223783545182474E-2</v>
      </c>
      <c r="DG38" s="649">
        <f t="shared" ref="DG38:DG48" si="132">$BA38*$CK38</f>
        <v>10.187652757272131</v>
      </c>
      <c r="DH38" s="649">
        <f t="shared" ref="DH38:DH48" si="133">$BB38*$CK38</f>
        <v>10.187652757272131</v>
      </c>
      <c r="DI38" s="648">
        <f t="shared" ref="DI38:DI48" si="134">$BD38*$CK38</f>
        <v>0</v>
      </c>
      <c r="DJ38" s="648">
        <f t="shared" ref="DJ38:DJ48" si="135">$BF38*$CK38</f>
        <v>0</v>
      </c>
      <c r="DK38" s="648">
        <f t="shared" ref="DK38:DK48" si="136">$BH38*$CK38</f>
        <v>1.2734565946590164</v>
      </c>
      <c r="DL38" s="648">
        <f t="shared" ref="DL38:DL48" si="137">$BK38*$CK38</f>
        <v>0</v>
      </c>
      <c r="DM38" s="648">
        <f t="shared" ref="DM38:DM48" si="138">$BM38*$CK38</f>
        <v>0</v>
      </c>
      <c r="DN38" s="648">
        <f t="shared" ref="DN38:DN48" si="139">$BO38*$CK38</f>
        <v>0.60145122616199687</v>
      </c>
      <c r="DO38" s="648">
        <f t="shared" ref="DO38:DO48" si="140">$BR38*$CK38</f>
        <v>0</v>
      </c>
      <c r="DP38" s="651">
        <f t="shared" ref="DP38:DP48" si="141">$CK38*($BB38+$BD38+$BF38+$BH38+$BK38+$BM38+$BO38+$BR38)</f>
        <v>12.062560578093144</v>
      </c>
      <c r="DQ38" s="951">
        <f>IF($CB38=0,0,$DP38*_xlfn.XLOOKUP($CB38,Premises!$A$10:$F$10,Premises!$A$30:$F$30)/100)</f>
        <v>0</v>
      </c>
      <c r="DR38" s="650">
        <f>IFERROR(SUM($DP38:$DQ38)*IF(INDEX(Premises!$A$42:$F$42,1,MATCH($CB38,Premises!$A$10:$F$10,0))&gt;0,INDEX(Premises!$A$42:$F$42,1,MATCH($CB38,Premises!$A$10:$F$10,0))%,$CN38),0)</f>
        <v>0</v>
      </c>
      <c r="DS38" s="650" cm="1">
        <f t="array" ref="DS38">IF($CB38=0,0,SUM($DP38:$DR38)*_xlfn.XLOOKUP($CB38,Premises!$A$10:$F$10,IF(INDEX(Settings[],MATCH(3001,Settings[ID],0),2)="B",Premises!$A$33:$F$33,Premises!$A$31:$F$31))/100)</f>
        <v>0</v>
      </c>
      <c r="DT38" s="650" cm="1">
        <f t="array" ref="DT38">IF($CB38=0,0,$DP38*_xlfn.XLOOKUP($CB38,Premises!$A$10:$F$10,IF(INDEX(Settings[],MATCH(3002,Settings[ID],0),2)="B",Premises!$A$36:$F$36,Premises!$A$34:$F$34))/100)</f>
        <v>0</v>
      </c>
      <c r="DU38" s="650">
        <f>IF($CB38=0,0,SUM($DP38:$DT38)*_xlfn.XLOOKUP($CB38,Premises!$A$10:$F$10,Premises!$A$37:$F$37)/100)</f>
        <v>0</v>
      </c>
      <c r="DV38" s="954">
        <f t="shared" ref="DV38:DV48" si="142">SUM($DP38:$DU38)</f>
        <v>12.062560578093144</v>
      </c>
      <c r="DW38" s="951">
        <f>IF($CC38=0,0,$DV38*_xlfn.XLOOKUP($CC38,Premises!$A$10:$F$10,Premises!$A$30:$F$30)/100)</f>
        <v>0</v>
      </c>
      <c r="DX38" s="650">
        <f>IFERROR(SUM($DV38:$DW38)*IF(INDEX(Premises!$A$42:$F$42,1,MATCH($CC38,Premises!$A$10:$F$10,0))&gt;0,INDEX(Premises!$A$42:$F$42,1,MATCH($CC38,Premises!$A$10:$F$10,0))%,$CP38),0)</f>
        <v>0</v>
      </c>
      <c r="DY38" s="650" cm="1">
        <f t="array" ref="DY38">IF($CC38=0,0,SUM($DV38:$DX38)*_xlfn.XLOOKUP($CC38,Premises!$A$10:$F$10,IF(INDEX(Settings[],MATCH(3001,Settings[ID],0),2)="B",Premises!$A$33:$F$33,Premises!$A$31:$F$31))/100)</f>
        <v>0</v>
      </c>
      <c r="DZ38" s="650" cm="1">
        <f t="array" ref="DZ38">IF($CC38=0,0,$DV38*_xlfn.XLOOKUP($CC38,Premises!$A$10:$F$10,IF(INDEX(Settings[],MATCH(3002,Settings[ID],0),2)="B",Premises!$A$36:$F$36,Premises!$A$34:$F$34))/100)</f>
        <v>0</v>
      </c>
      <c r="EA38" s="650">
        <f>IF($CC38=0,0,SUM($DV38:$DZ38)*_xlfn.XLOOKUP($CC38,Premises!$A$10:$F$10,Premises!$A$37:$F$37)/100)</f>
        <v>0</v>
      </c>
      <c r="EB38" s="651">
        <f t="shared" ref="EB38:EB48" si="143">SUM($DV38:$EA38)</f>
        <v>12.062560578093144</v>
      </c>
      <c r="EC38" s="805"/>
      <c r="ED38" s="1104"/>
      <c r="EE38" s="650"/>
      <c r="EF38" s="1110"/>
      <c r="EG38" s="1108"/>
      <c r="EH38" s="1108"/>
      <c r="EI38" s="1108"/>
      <c r="EJ38" s="1108"/>
      <c r="EK38" s="1108"/>
      <c r="EL38" s="1108"/>
      <c r="EM38" s="1110"/>
      <c r="EN38" s="1108"/>
      <c r="EO38" s="1108"/>
      <c r="EP38" s="1108"/>
      <c r="EQ38" s="1108"/>
      <c r="ER38" s="1110"/>
      <c r="ES38" s="1108"/>
      <c r="ET38" s="1108"/>
      <c r="EU38" s="1108"/>
      <c r="EV38" s="1108"/>
      <c r="EW38" s="1108"/>
      <c r="EX38" s="1111"/>
      <c r="EY38" s="2"/>
      <c r="EZ38" s="2"/>
      <c r="FA38" s="2"/>
      <c r="FB38" s="2"/>
      <c r="FC38" s="2"/>
      <c r="FD38" s="2"/>
      <c r="FE38" s="2"/>
      <c r="FF38" s="2"/>
      <c r="FG38" s="2"/>
      <c r="FH38" s="2"/>
      <c r="FI38" s="2"/>
      <c r="FJ38" s="420"/>
      <c r="FK38" s="421"/>
      <c r="FL38" s="422"/>
      <c r="FM38" s="970"/>
    </row>
    <row r="39" spans="1:169" s="13" customFormat="1" ht="12.75" customHeight="1">
      <c r="A39" s="221"/>
      <c r="B39" s="402"/>
      <c r="C39" s="403"/>
      <c r="D39" s="646"/>
      <c r="E39" s="404"/>
      <c r="F39" s="405"/>
      <c r="G39" s="405"/>
      <c r="H39" s="405"/>
      <c r="I39" s="637" cm="1">
        <f t="array" ref="I39">IF($CI39=0,0,IFERROR(INDEX(MHR[],$CI39,MATCH($CA39,MHR!$B$4:$AY$4,0)),0))</f>
        <v>0</v>
      </c>
      <c r="J39" s="634">
        <f t="shared" si="96"/>
        <v>0</v>
      </c>
      <c r="K39" s="406"/>
      <c r="L39" s="407"/>
      <c r="M39" s="871"/>
      <c r="N39" s="407"/>
      <c r="O39" s="405"/>
      <c r="P39" s="645" cm="1">
        <f t="array" ref="P39">IF($K39=0,0,IFERROR(ROUNDUP(IF(ISNUMBER($K39),$K39,INDEX($D$1:$D39,$CD39)*INDEX(Premises!$A$13:$F$13,1,$CH39)/IF(OR($K39="T",$K39="D"),250,IF($K39="W",50,IF($K39="M",12,IF(OR($K39="HJ",$K39="HY"),2,IF(OR($K39="J",$K39="Y"),1,0)))))),0),0))</f>
        <v>0</v>
      </c>
      <c r="Q39" s="637" cm="1">
        <f t="array" ref="Q39">IF($K39=0,0,IFERROR(INDEX(Premises!$A$22:$F$22,1,$CH39)*100/INDEX(Premises!$A$16:$F$16,1,$CH39),0))</f>
        <v>0</v>
      </c>
      <c r="R39" s="634">
        <f t="shared" si="97"/>
        <v>0</v>
      </c>
      <c r="S39" s="408"/>
      <c r="T39" s="409"/>
      <c r="U39" s="637" cm="1">
        <f t="array" ref="U39">IF(COUNTBLANK($S39:$T39),0,
IF(AND(INDEX(MHR[Schichtmodell],$CI39)&lt;&gt;0,INDEX(MHR[Schichtmodell],$CI39)&lt;&gt;INDEX(Premises!$A$20:$F$20,1,$CH39)),ExchangeRate*
IF(OR($T39="M",$T39="U"),IF(INDEX(MHR[Schichtmodell],$CI39)=1,INDEX(LOC[M1S],INDEX(Premises!$A$18:$F$18,1,$CH39+1)),IF(INDEX(MHR[Schichtmodell],$CI39)=2,INDEX(LOC[M2S],INDEX(Premises!$A$18:$F$18,1,$CH39+1),IF(INDEX(MHR[Schichtmodell],$CI39)=3,INDEX(LOC[M3S],INDEX(Premises!$A$18:$F$18,1,$CH39+1)),0)))),
IF(INDEX(MHR[Schichtmodell],$CI39)=1,INDEX(LOC[F1S],INDEX(Premises!$A$18:$F$18,1,$CH39+1)),IF(INDEX(MHR[Schichtmodell],$CI39)=2,INDEX(LOC[F2S],INDEX(Premises!$A$18:$F$18,1,$CH39+1)),IF(INDEX(MHR[Schichtmodell],$CI39)=3,INDEX(LOC[F3S],INDEX(Premises!$A$18:$F$18,1,$CH39+1)),0)))),
IF(OR($T39="M",$T39="U"),INDEX(Premises!$A$21:$F$21,1,$CH39),
IF(OR($T39="F",$T39="S"),INDEX(Premises!$A$22:$F$22,1,$CH39),0)))*100/INDEX(Premises!$A$16:$F$16,1,$CH39))</f>
        <v>0</v>
      </c>
      <c r="V39" s="631">
        <f t="shared" si="98"/>
        <v>0</v>
      </c>
      <c r="W39" s="410"/>
      <c r="X39" s="403"/>
      <c r="Y39" s="411"/>
      <c r="Z39" s="412"/>
      <c r="AA39" s="628">
        <f t="shared" si="99"/>
        <v>0</v>
      </c>
      <c r="AB39" s="410"/>
      <c r="AC39" s="403"/>
      <c r="AD39" s="411"/>
      <c r="AE39" s="413"/>
      <c r="AF39" s="628">
        <f t="shared" si="100"/>
        <v>0</v>
      </c>
      <c r="AG39" s="629" cm="1">
        <f t="array" ref="AG39">IF(($J39+$V39+$AF39)=0,0,INDEX(Premises!$A$30:$F$30,1,$CH39)/100)</f>
        <v>0</v>
      </c>
      <c r="AH39" s="414"/>
      <c r="AI39" s="415"/>
      <c r="AJ39" s="416"/>
      <c r="AK39" s="630">
        <f t="shared" si="101"/>
        <v>0</v>
      </c>
      <c r="AL39" s="631">
        <f t="shared" si="102"/>
        <v>0</v>
      </c>
      <c r="AM39" s="632" cm="1">
        <f t="array" ref="AM39">IF($CI39=0,0,IFERROR(INDEX(MHR[],$CI39,MATCH($CA39,MHR!$B$4:$AY$4,0)+11),0))</f>
        <v>0</v>
      </c>
      <c r="AN39" s="633" cm="1">
        <f t="array" ref="AN39">IF(($J39+$V39)=0,0,IFERROR(IF(INDEX(Premises!$A$41:$F$41,1,$CH39)&lt;&gt;0,INDEX(Premises!$A$41:$F$41,1,$CH39)/100,(IFERROR(($J39/$I39)*$AM39,0)/($V39+$J39+$R39+$AL39))),0))</f>
        <v>0</v>
      </c>
      <c r="AO39" s="634">
        <f t="shared" si="103"/>
        <v>0</v>
      </c>
      <c r="AP39" s="635">
        <f t="shared" si="104"/>
        <v>0</v>
      </c>
      <c r="AQ39" s="410"/>
      <c r="AR39" s="409"/>
      <c r="AS39" s="636" cm="1">
        <f t="array" ref="AS39">IF($CJ39=0,0,IFERROR(INDEX(MAT[Einheit],$CJ39,1),0))</f>
        <v>0</v>
      </c>
      <c r="AT39" s="637" cm="1">
        <f t="array" ref="AT39">IF($CJ39=0,0,IFERROR(INDEX(MAT[Preis],$CJ39,1),0))</f>
        <v>0</v>
      </c>
      <c r="AU39" s="638">
        <f t="shared" si="105"/>
        <v>0</v>
      </c>
      <c r="AV39" s="639" cm="1">
        <f t="array" ref="AV39">IF($AU39&lt;=0,0,INDEX(Premises!$A$30:$F$30,1,$CH39)/100)</f>
        <v>0</v>
      </c>
      <c r="AW39" s="409"/>
      <c r="AX39" s="631">
        <f t="shared" si="106"/>
        <v>0</v>
      </c>
      <c r="AY39" s="640" cm="1">
        <f t="array" ref="AY39">IF($AT39&lt;=0,0,IFERROR(IF(INDEX(Premises!$A$42:$F$42,1,$CH39)&lt;&gt;0,INDEX(Premises!$A$42:$F$42,1,$CH39)/100,(INDEX(MAT[],$CJ39,MATCH($CA39,MAT!$B$4:$AE$4,0))/($AR39*$CK39*INDEX(Premises!$A$13:$F$13,1,$CH39))+INDEX(MAT[],$CJ39,MATCH($CA39,MAT!$B$4:$AE$4,0)+7))/$AT39),0))</f>
        <v>0</v>
      </c>
      <c r="AZ39" s="631">
        <f t="shared" si="107"/>
        <v>0</v>
      </c>
      <c r="BA39" s="635">
        <f t="shared" si="108"/>
        <v>0</v>
      </c>
      <c r="BB39" s="635">
        <f t="shared" si="109"/>
        <v>0</v>
      </c>
      <c r="BC39" s="639" cm="1">
        <f t="array" ref="BC39">IF($BB39&lt;=0,0,IF(BC$2=-1,0,INDEX(Premises!$A$32:$F$32,1,$CH39)/100))</f>
        <v>0</v>
      </c>
      <c r="BD39" s="631">
        <f t="shared" si="110"/>
        <v>0</v>
      </c>
      <c r="BE39" s="639" cm="1">
        <f t="array" ref="BE39">IF($BB39&lt;=0,0,IF(BE$2=-1,0,INDEX(Premises!$A$33:$F$33,1,$CH39)/100))</f>
        <v>0</v>
      </c>
      <c r="BF39" s="631">
        <f t="shared" si="111"/>
        <v>0</v>
      </c>
      <c r="BG39" s="639" cm="1">
        <f t="array" ref="BG39">IF($BB39&lt;=0,0,IF(BG$2=-1,0,INDEX(Premises!$A$31:$F$31,1,$CH39)/100))</f>
        <v>0</v>
      </c>
      <c r="BH39" s="631">
        <f t="shared" si="112"/>
        <v>0</v>
      </c>
      <c r="BI39" s="635">
        <f t="shared" si="113"/>
        <v>0</v>
      </c>
      <c r="BJ39" s="639" cm="1">
        <f t="array" ref="BJ39">IF($BB39&lt;=0,0,IF(BJ$2=-1,0,INDEX(Premises!$A$35:$F$35,1,$CH39)/100))</f>
        <v>0</v>
      </c>
      <c r="BK39" s="631">
        <f t="shared" si="114"/>
        <v>0</v>
      </c>
      <c r="BL39" s="639" cm="1">
        <f t="array" ref="BL39">IF($BB39&lt;=0,0,IF(BL$2=-1,0,INDEX(Premises!$A$36:$F$36,1,$CH39)/100))</f>
        <v>0</v>
      </c>
      <c r="BM39" s="631">
        <f t="shared" si="115"/>
        <v>0</v>
      </c>
      <c r="BN39" s="639" cm="1">
        <f t="array" ref="BN39">IF($BB39&lt;=0,0,IF(BN$2=-1,0,INDEX(Premises!$A$34:$F$34,1,$CH39)/100))</f>
        <v>0</v>
      </c>
      <c r="BO39" s="631">
        <f t="shared" si="116"/>
        <v>0</v>
      </c>
      <c r="BP39" s="639" cm="1">
        <f t="array" ref="BP39">IF($BI39=0,0,INDEX(Premises!$A$37:$F$37,1,$CH39)/100)</f>
        <v>0</v>
      </c>
      <c r="BQ39" s="409"/>
      <c r="BR39" s="631">
        <f t="shared" si="117"/>
        <v>0</v>
      </c>
      <c r="BS39" s="641">
        <f t="shared" si="118"/>
        <v>0</v>
      </c>
      <c r="BT39" s="641">
        <f t="shared" si="119"/>
        <v>0</v>
      </c>
      <c r="BU39" s="642">
        <f t="shared" si="120"/>
        <v>0</v>
      </c>
      <c r="BV39" s="1147"/>
      <c r="BW39" s="418"/>
      <c r="BX39" s="418"/>
      <c r="BY39" s="419"/>
      <c r="BZ39" s="968"/>
      <c r="CA39" s="280" cm="1">
        <f t="array" ref="CA39">IF($BZ39&gt;0,VALUE(LEFT($BZ39,IF(ISERROR(FIND("-",$BZ39)),LEN($BZ39),FIND("-",$BZ39)-1))),INDEX($CA$1:$CA39,MAX(1,$CD39)))</f>
        <v>1</v>
      </c>
      <c r="CB39" s="280" cm="1">
        <f t="array" ref="CB39">IF($BT39=0,0,IF(LEN($BZ39)-LEN(SUBSTITUTE($BZ39,"-",""))&gt;1,
VALUE(MID($BZ39,FIND("-",$BZ39)+1,FIND("-",$BZ39,FIND("-",$BZ39)+1)-FIND("-",$BZ39)-1)),IF($BZ39&gt;0,0,INDEX($CB$1:$CB39,MAX(1,$CD39)))))</f>
        <v>0</v>
      </c>
      <c r="CC39" s="280" cm="1">
        <f t="array" ref="CC39">IF($BT39=0,0,IF(NOT(ISERROR(FIND("-",BZ39))),
VALUE(RIGHT($BZ39,LEN($BZ39)-IF(LEN($BZ39)-LEN(SUBSTITUTE($BZ39,"-",""))=1,FIND("-",$BZ39),FIND("-",$BZ39,FIND("-",$BZ39)+1)))),
IF($BZ39&gt;0,0,INDEX($CC$1:$CC39,MAX(1,$CD39)))))</f>
        <v>0</v>
      </c>
      <c r="CD39" s="393">
        <f>MATCH(0,$CE$1:$CE39,-1)</f>
        <v>37</v>
      </c>
      <c r="CE39" s="280"/>
      <c r="CF39" s="394"/>
      <c r="CG39" s="393" cm="1">
        <f t="array" ref="CG39">INDEX($CG$1:$CG39,$CD39)</f>
        <v>6</v>
      </c>
      <c r="CH39" s="280">
        <f>MATCH($CA39,Premises!$A$10:$F$10,0)</f>
        <v>4</v>
      </c>
      <c r="CI39" s="280">
        <f>IF(ISBLANK($E39),0,IFERROR(MATCH($E39,MHR[Bezeichnung],0),0))</f>
        <v>0</v>
      </c>
      <c r="CJ39" s="394">
        <f>IF(ISBLANK($AQ39),0,IFERROR(MATCH($AQ39,MAT[Bezeichnung],0),0))</f>
        <v>0</v>
      </c>
      <c r="CK39" s="280" cm="1">
        <f t="array" ref="CK39">INDEX($D$1:$D39,$CD39)</f>
        <v>1</v>
      </c>
      <c r="CL39" s="280"/>
      <c r="CM39" s="395"/>
      <c r="CN39" s="396" cm="1">
        <f t="array" ref="CN39">IF($CB39=0,0,IF($CB39=INDEX($CB$1:$CB39,$CD39),INDEX($CN$1:$CN39,$CD39),$CP39))</f>
        <v>0</v>
      </c>
      <c r="CO39" s="395"/>
      <c r="CP39" s="396" cm="1">
        <f t="array" ref="CP39">IF($CC39=0,0,INDEX($CP$1:$CP39,$CD39))</f>
        <v>0</v>
      </c>
      <c r="CQ39" s="397"/>
      <c r="CR39" s="398"/>
      <c r="CS39" s="398"/>
      <c r="CT39" s="1152"/>
      <c r="CU39" s="1149"/>
      <c r="CV39" s="647">
        <f t="shared" si="121"/>
        <v>0</v>
      </c>
      <c r="CW39" s="648">
        <f t="shared" si="122"/>
        <v>0</v>
      </c>
      <c r="CX39" s="648">
        <f t="shared" si="123"/>
        <v>0</v>
      </c>
      <c r="CY39" s="648">
        <f t="shared" si="124"/>
        <v>0</v>
      </c>
      <c r="CZ39" s="648">
        <f t="shared" si="125"/>
        <v>0</v>
      </c>
      <c r="DA39" s="648">
        <f t="shared" si="126"/>
        <v>0</v>
      </c>
      <c r="DB39" s="648">
        <f t="shared" si="127"/>
        <v>0</v>
      </c>
      <c r="DC39" s="649">
        <f t="shared" si="128"/>
        <v>0</v>
      </c>
      <c r="DD39" s="648">
        <f t="shared" si="129"/>
        <v>0</v>
      </c>
      <c r="DE39" s="648">
        <f t="shared" si="130"/>
        <v>0</v>
      </c>
      <c r="DF39" s="648">
        <f t="shared" si="131"/>
        <v>0</v>
      </c>
      <c r="DG39" s="649">
        <f t="shared" si="132"/>
        <v>0</v>
      </c>
      <c r="DH39" s="649">
        <f t="shared" si="133"/>
        <v>0</v>
      </c>
      <c r="DI39" s="648">
        <f t="shared" si="134"/>
        <v>0</v>
      </c>
      <c r="DJ39" s="648">
        <f t="shared" si="135"/>
        <v>0</v>
      </c>
      <c r="DK39" s="648">
        <f t="shared" si="136"/>
        <v>0</v>
      </c>
      <c r="DL39" s="648">
        <f t="shared" si="137"/>
        <v>0</v>
      </c>
      <c r="DM39" s="648">
        <f t="shared" si="138"/>
        <v>0</v>
      </c>
      <c r="DN39" s="648">
        <f t="shared" si="139"/>
        <v>0</v>
      </c>
      <c r="DO39" s="648">
        <f t="shared" si="140"/>
        <v>0</v>
      </c>
      <c r="DP39" s="651">
        <f t="shared" si="141"/>
        <v>0</v>
      </c>
      <c r="DQ39" s="951">
        <f>IF($CB39=0,0,$DP39*_xlfn.XLOOKUP($CB39,Premises!$A$10:$F$10,Premises!$A$30:$F$30)/100)</f>
        <v>0</v>
      </c>
      <c r="DR39" s="650">
        <f>IFERROR(SUM($DP39:$DQ39)*IF(INDEX(Premises!$A$42:$F$42,1,MATCH($CB39,Premises!$A$10:$F$10,0))&gt;0,INDEX(Premises!$A$42:$F$42,1,MATCH($CB39,Premises!$A$10:$F$10,0))%,$CN39),0)</f>
        <v>0</v>
      </c>
      <c r="DS39" s="650" cm="1">
        <f t="array" ref="DS39">IF($CB39=0,0,SUM($DP39:$DR39)*_xlfn.XLOOKUP($CB39,Premises!$A$10:$F$10,IF(INDEX(Settings[],MATCH(3001,Settings[ID],0),2)="B",Premises!$A$33:$F$33,Premises!$A$31:$F$31))/100)</f>
        <v>0</v>
      </c>
      <c r="DT39" s="650" cm="1">
        <f t="array" ref="DT39">IF($CB39=0,0,$DP39*_xlfn.XLOOKUP($CB39,Premises!$A$10:$F$10,IF(INDEX(Settings[],MATCH(3002,Settings[ID],0),2)="B",Premises!$A$36:$F$36,Premises!$A$34:$F$34))/100)</f>
        <v>0</v>
      </c>
      <c r="DU39" s="650">
        <f>IF($CB39=0,0,SUM($DP39:$DT39)*_xlfn.XLOOKUP($CB39,Premises!$A$10:$F$10,Premises!$A$37:$F$37)/100)</f>
        <v>0</v>
      </c>
      <c r="DV39" s="954">
        <f t="shared" si="142"/>
        <v>0</v>
      </c>
      <c r="DW39" s="951">
        <f>IF($CC39=0,0,$DV39*_xlfn.XLOOKUP($CC39,Premises!$A$10:$F$10,Premises!$A$30:$F$30)/100)</f>
        <v>0</v>
      </c>
      <c r="DX39" s="650">
        <f>IFERROR(SUM($DV39:$DW39)*IF(INDEX(Premises!$A$42:$F$42,1,MATCH($CC39,Premises!$A$10:$F$10,0))&gt;0,INDEX(Premises!$A$42:$F$42,1,MATCH($CC39,Premises!$A$10:$F$10,0))%,$CP39),0)</f>
        <v>0</v>
      </c>
      <c r="DY39" s="650" cm="1">
        <f t="array" ref="DY39">IF($CC39=0,0,SUM($DV39:$DX39)*_xlfn.XLOOKUP($CC39,Premises!$A$10:$F$10,IF(INDEX(Settings[],MATCH(3001,Settings[ID],0),2)="B",Premises!$A$33:$F$33,Premises!$A$31:$F$31))/100)</f>
        <v>0</v>
      </c>
      <c r="DZ39" s="650" cm="1">
        <f t="array" ref="DZ39">IF($CC39=0,0,$DV39*_xlfn.XLOOKUP($CC39,Premises!$A$10:$F$10,IF(INDEX(Settings[],MATCH(3002,Settings[ID],0),2)="B",Premises!$A$36:$F$36,Premises!$A$34:$F$34))/100)</f>
        <v>0</v>
      </c>
      <c r="EA39" s="650">
        <f>IF($CC39=0,0,SUM($DV39:$DZ39)*_xlfn.XLOOKUP($CC39,Premises!$A$10:$F$10,Premises!$A$37:$F$37)/100)</f>
        <v>0</v>
      </c>
      <c r="EB39" s="651">
        <f t="shared" si="143"/>
        <v>0</v>
      </c>
      <c r="EC39" s="805"/>
      <c r="ED39" s="1104"/>
      <c r="EE39" s="650"/>
      <c r="EF39" s="1110"/>
      <c r="EG39" s="1108"/>
      <c r="EH39" s="1108"/>
      <c r="EI39" s="1108"/>
      <c r="EJ39" s="1108"/>
      <c r="EK39" s="1108"/>
      <c r="EL39" s="1108"/>
      <c r="EM39" s="1110"/>
      <c r="EN39" s="1108"/>
      <c r="EO39" s="1108"/>
      <c r="EP39" s="1108"/>
      <c r="EQ39" s="1108"/>
      <c r="ER39" s="1110"/>
      <c r="ES39" s="1108"/>
      <c r="ET39" s="1108"/>
      <c r="EU39" s="1108"/>
      <c r="EV39" s="1108"/>
      <c r="EW39" s="1108"/>
      <c r="EX39" s="1111"/>
      <c r="EY39" s="2"/>
      <c r="EZ39" s="2"/>
      <c r="FA39" s="2"/>
      <c r="FB39" s="2"/>
      <c r="FC39" s="2"/>
      <c r="FD39" s="2"/>
      <c r="FE39" s="2"/>
      <c r="FF39" s="2"/>
      <c r="FG39" s="2"/>
      <c r="FH39" s="2"/>
      <c r="FI39" s="2"/>
      <c r="FJ39" s="420"/>
      <c r="FK39" s="421"/>
      <c r="FL39" s="422"/>
      <c r="FM39" s="1153"/>
    </row>
    <row r="40" spans="1:169" s="13" customFormat="1" ht="12.75" customHeight="1">
      <c r="A40" s="221"/>
      <c r="B40" s="1329" t="s">
        <v>4376</v>
      </c>
      <c r="C40" s="403"/>
      <c r="D40" s="646"/>
      <c r="E40" s="404"/>
      <c r="F40" s="405"/>
      <c r="G40" s="405"/>
      <c r="H40" s="405"/>
      <c r="I40" s="637" cm="1">
        <f t="array" ref="I40">IF($CI40=0,0,IFERROR(INDEX(MHR[],$CI40,MATCH($CA40,MHR!$B$4:$AY$4,0)),0))</f>
        <v>0</v>
      </c>
      <c r="J40" s="634">
        <f t="shared" si="96"/>
        <v>0</v>
      </c>
      <c r="K40" s="406"/>
      <c r="L40" s="407"/>
      <c r="M40" s="871"/>
      <c r="N40" s="407"/>
      <c r="O40" s="405"/>
      <c r="P40" s="645" cm="1">
        <f t="array" ref="P40">IF($K40=0,0,IFERROR(ROUNDUP(IF(ISNUMBER($K40),$K40,INDEX($D$1:$D40,$CD40)*INDEX(Premises!$A$13:$F$13,1,$CH40)/IF(OR($K40="T",$K40="D"),250,IF($K40="W",50,IF($K40="M",12,IF(OR($K40="HJ",$K40="HY"),2,IF(OR($K40="J",$K40="Y"),1,0)))))),0),0))</f>
        <v>0</v>
      </c>
      <c r="Q40" s="637" cm="1">
        <f t="array" ref="Q40">IF($K40=0,0,IFERROR(INDEX(Premises!$A$22:$F$22,1,$CH40)*100/INDEX(Premises!$A$16:$F$16,1,$CH40),0))</f>
        <v>0</v>
      </c>
      <c r="R40" s="634">
        <f t="shared" si="97"/>
        <v>0</v>
      </c>
      <c r="S40" s="408"/>
      <c r="T40" s="409"/>
      <c r="U40" s="637" cm="1">
        <f t="array" ref="U40">IF(COUNTBLANK($S40:$T40),0,
IF(AND(INDEX(MHR[Schichtmodell],$CI40)&lt;&gt;0,INDEX(MHR[Schichtmodell],$CI40)&lt;&gt;INDEX(Premises!$A$20:$F$20,1,$CH40)),ExchangeRate*
IF(OR($T40="M",$T40="U"),IF(INDEX(MHR[Schichtmodell],$CI40)=1,INDEX(LOC[M1S],INDEX(Premises!$A$18:$F$18,1,$CH40+1)),IF(INDEX(MHR[Schichtmodell],$CI40)=2,INDEX(LOC[M2S],INDEX(Premises!$A$18:$F$18,1,$CH40+1),IF(INDEX(MHR[Schichtmodell],$CI40)=3,INDEX(LOC[M3S],INDEX(Premises!$A$18:$F$18,1,$CH40+1)),0)))),
IF(INDEX(MHR[Schichtmodell],$CI40)=1,INDEX(LOC[F1S],INDEX(Premises!$A$18:$F$18,1,$CH40+1)),IF(INDEX(MHR[Schichtmodell],$CI40)=2,INDEX(LOC[F2S],INDEX(Premises!$A$18:$F$18,1,$CH40+1)),IF(INDEX(MHR[Schichtmodell],$CI40)=3,INDEX(LOC[F3S],INDEX(Premises!$A$18:$F$18,1,$CH40+1)),0)))),
IF(OR($T40="M",$T40="U"),INDEX(Premises!$A$21:$F$21,1,$CH40),
IF(OR($T40="F",$T40="S"),INDEX(Premises!$A$22:$F$22,1,$CH40),0)))*100/INDEX(Premises!$A$16:$F$16,1,$CH40))</f>
        <v>0</v>
      </c>
      <c r="V40" s="631">
        <f t="shared" si="98"/>
        <v>0</v>
      </c>
      <c r="W40" s="410"/>
      <c r="X40" s="403"/>
      <c r="Y40" s="411"/>
      <c r="Z40" s="412"/>
      <c r="AA40" s="628">
        <f t="shared" si="99"/>
        <v>0</v>
      </c>
      <c r="AB40" s="410"/>
      <c r="AC40" s="403"/>
      <c r="AD40" s="411"/>
      <c r="AE40" s="413"/>
      <c r="AF40" s="628">
        <f t="shared" si="100"/>
        <v>0</v>
      </c>
      <c r="AG40" s="629" cm="1">
        <f t="array" ref="AG40">IF(($J40+$V40+$AF40)=0,0,INDEX(Premises!$A$30:$F$30,1,$CH40)/100)</f>
        <v>0</v>
      </c>
      <c r="AH40" s="414"/>
      <c r="AI40" s="415"/>
      <c r="AJ40" s="416"/>
      <c r="AK40" s="630">
        <f t="shared" si="101"/>
        <v>0</v>
      </c>
      <c r="AL40" s="631">
        <f t="shared" si="102"/>
        <v>0</v>
      </c>
      <c r="AM40" s="632" cm="1">
        <f t="array" ref="AM40">IF($CI40=0,0,IFERROR(INDEX(MHR[],$CI40,MATCH($CA40,MHR!$B$4:$AY$4,0)+11),0))</f>
        <v>0</v>
      </c>
      <c r="AN40" s="633" cm="1">
        <f t="array" ref="AN40">IF(($J40+$V40)=0,0,IFERROR(IF(INDEX(Premises!$A$41:$F$41,1,$CH40)&lt;&gt;0,INDEX(Premises!$A$41:$F$41,1,$CH40)/100,(IFERROR(($J40/$I40)*$AM40,0)/($V40+$J40+$R40+$AL40))),0))</f>
        <v>0</v>
      </c>
      <c r="AO40" s="634">
        <f t="shared" si="103"/>
        <v>0</v>
      </c>
      <c r="AP40" s="635">
        <f t="shared" si="104"/>
        <v>0</v>
      </c>
      <c r="AQ40" s="410"/>
      <c r="AR40" s="409"/>
      <c r="AS40" s="636" cm="1">
        <f t="array" ref="AS40">IF($CJ40=0,0,IFERROR(INDEX(MAT[Einheit],$CJ40,1),0))</f>
        <v>0</v>
      </c>
      <c r="AT40" s="637" cm="1">
        <f t="array" ref="AT40">IF($CJ40=0,0,IFERROR(INDEX(MAT[Preis],$CJ40,1),0))</f>
        <v>0</v>
      </c>
      <c r="AU40" s="638">
        <f t="shared" si="105"/>
        <v>0</v>
      </c>
      <c r="AV40" s="639" cm="1">
        <f t="array" ref="AV40">IF($AU40&lt;=0,0,INDEX(Premises!$A$30:$F$30,1,$CH40)/100)</f>
        <v>0</v>
      </c>
      <c r="AW40" s="409"/>
      <c r="AX40" s="631">
        <f t="shared" si="106"/>
        <v>0</v>
      </c>
      <c r="AY40" s="640" cm="1">
        <f t="array" ref="AY40">IF($AT40&lt;=0,0,IFERROR(IF(INDEX(Premises!$A$42:$F$42,1,$CH40)&lt;&gt;0,INDEX(Premises!$A$42:$F$42,1,$CH40)/100,(INDEX(MAT[],$CJ40,MATCH($CA40,MAT!$B$4:$AE$4,0))/($AR40*$CK40*INDEX(Premises!$A$13:$F$13,1,$CH40))+INDEX(MAT[],$CJ40,MATCH($CA40,MAT!$B$4:$AE$4,0)+7))/$AT40),0))</f>
        <v>0</v>
      </c>
      <c r="AZ40" s="631">
        <f t="shared" si="107"/>
        <v>0</v>
      </c>
      <c r="BA40" s="635">
        <f t="shared" si="108"/>
        <v>0</v>
      </c>
      <c r="BB40" s="635">
        <f t="shared" si="109"/>
        <v>0</v>
      </c>
      <c r="BC40" s="639" cm="1">
        <f t="array" ref="BC40">IF($BB40&lt;=0,0,IF(BC$2=-1,0,INDEX(Premises!$A$32:$F$32,1,$CH40)/100))</f>
        <v>0</v>
      </c>
      <c r="BD40" s="631">
        <f t="shared" si="110"/>
        <v>0</v>
      </c>
      <c r="BE40" s="639" cm="1">
        <f t="array" ref="BE40">IF($BB40&lt;=0,0,IF(BE$2=-1,0,INDEX(Premises!$A$33:$F$33,1,$CH40)/100))</f>
        <v>0</v>
      </c>
      <c r="BF40" s="631">
        <f t="shared" si="111"/>
        <v>0</v>
      </c>
      <c r="BG40" s="639" cm="1">
        <f t="array" ref="BG40">IF($BB40&lt;=0,0,IF(BG$2=-1,0,INDEX(Premises!$A$31:$F$31,1,$CH40)/100))</f>
        <v>0</v>
      </c>
      <c r="BH40" s="631">
        <f t="shared" si="112"/>
        <v>0</v>
      </c>
      <c r="BI40" s="635">
        <f t="shared" si="113"/>
        <v>0</v>
      </c>
      <c r="BJ40" s="639" cm="1">
        <f t="array" ref="BJ40">IF($BB40&lt;=0,0,IF(BJ$2=-1,0,INDEX(Premises!$A$35:$F$35,1,$CH40)/100))</f>
        <v>0</v>
      </c>
      <c r="BK40" s="631">
        <f t="shared" si="114"/>
        <v>0</v>
      </c>
      <c r="BL40" s="639" cm="1">
        <f t="array" ref="BL40">IF($BB40&lt;=0,0,IF(BL$2=-1,0,INDEX(Premises!$A$36:$F$36,1,$CH40)/100))</f>
        <v>0</v>
      </c>
      <c r="BM40" s="631">
        <f t="shared" si="115"/>
        <v>0</v>
      </c>
      <c r="BN40" s="639" cm="1">
        <f t="array" ref="BN40">IF($BB40&lt;=0,0,IF(BN$2=-1,0,INDEX(Premises!$A$34:$F$34,1,$CH40)/100))</f>
        <v>0</v>
      </c>
      <c r="BO40" s="631">
        <f t="shared" si="116"/>
        <v>0</v>
      </c>
      <c r="BP40" s="639" cm="1">
        <f t="array" ref="BP40">IF($BI40=0,0,INDEX(Premises!$A$37:$F$37,1,$CH40)/100)</f>
        <v>0</v>
      </c>
      <c r="BQ40" s="409"/>
      <c r="BR40" s="631">
        <f t="shared" si="117"/>
        <v>0</v>
      </c>
      <c r="BS40" s="641">
        <f t="shared" si="118"/>
        <v>0</v>
      </c>
      <c r="BT40" s="641">
        <f t="shared" si="119"/>
        <v>0</v>
      </c>
      <c r="BU40" s="642">
        <f t="shared" si="120"/>
        <v>0</v>
      </c>
      <c r="BV40" s="1147"/>
      <c r="BW40" s="418"/>
      <c r="BX40" s="418"/>
      <c r="BY40" s="419"/>
      <c r="BZ40" s="968"/>
      <c r="CA40" s="280" cm="1">
        <f t="array" ref="CA40">IF($BZ40&gt;0,VALUE(LEFT($BZ40,IF(ISERROR(FIND("-",$BZ40)),LEN($BZ40),FIND("-",$BZ40)-1))),INDEX($CA$1:$CA40,MAX(1,$CD40)))</f>
        <v>1</v>
      </c>
      <c r="CB40" s="280" cm="1">
        <f t="array" ref="CB40">IF($BT40=0,0,IF(LEN($BZ40)-LEN(SUBSTITUTE($BZ40,"-",""))&gt;1,
VALUE(MID($BZ40,FIND("-",$BZ40)+1,FIND("-",$BZ40,FIND("-",$BZ40)+1)-FIND("-",$BZ40)-1)),IF($BZ40&gt;0,0,INDEX($CB$1:$CB40,MAX(1,$CD40)))))</f>
        <v>0</v>
      </c>
      <c r="CC40" s="280" cm="1">
        <f t="array" ref="CC40">IF($BT40=0,0,IF(NOT(ISERROR(FIND("-",BZ40))),
VALUE(RIGHT($BZ40,LEN($BZ40)-IF(LEN($BZ40)-LEN(SUBSTITUTE($BZ40,"-",""))=1,FIND("-",$BZ40),FIND("-",$BZ40,FIND("-",$BZ40)+1)))),
IF($BZ40&gt;0,0,INDEX($CC$1:$CC40,MAX(1,$CD40)))))</f>
        <v>0</v>
      </c>
      <c r="CD40" s="393">
        <f>MATCH(0,$CE$1:$CE40,-1)</f>
        <v>37</v>
      </c>
      <c r="CE40" s="280"/>
      <c r="CF40" s="394"/>
      <c r="CG40" s="393" cm="1">
        <f t="array" ref="CG40">INDEX($CG$1:$CG40,$CD40)</f>
        <v>6</v>
      </c>
      <c r="CH40" s="280">
        <f>MATCH($CA40,Premises!$A$10:$F$10,0)</f>
        <v>4</v>
      </c>
      <c r="CI40" s="280">
        <f>IF(ISBLANK($E40),0,IFERROR(MATCH($E40,MHR[Bezeichnung],0),0))</f>
        <v>0</v>
      </c>
      <c r="CJ40" s="394">
        <f>IF(ISBLANK($AQ40),0,IFERROR(MATCH($AQ40,MAT[Bezeichnung],0),0))</f>
        <v>0</v>
      </c>
      <c r="CK40" s="280" cm="1">
        <f t="array" ref="CK40">INDEX($D$1:$D40,$CD40)</f>
        <v>1</v>
      </c>
      <c r="CL40" s="280"/>
      <c r="CM40" s="395"/>
      <c r="CN40" s="396" cm="1">
        <f t="array" ref="CN40">IF($CB40=0,0,IF($CB40=INDEX($CB$1:$CB40,$CD40),INDEX($CN$1:$CN40,$CD40),$CP40))</f>
        <v>0</v>
      </c>
      <c r="CO40" s="395"/>
      <c r="CP40" s="396" cm="1">
        <f t="array" ref="CP40">IF($CC40=0,0,INDEX($CP$1:$CP40,$CD40))</f>
        <v>0</v>
      </c>
      <c r="CQ40" s="397"/>
      <c r="CR40" s="398"/>
      <c r="CS40" s="398"/>
      <c r="CT40" s="1152"/>
      <c r="CU40" s="1149"/>
      <c r="CV40" s="647">
        <f t="shared" si="121"/>
        <v>0</v>
      </c>
      <c r="CW40" s="648">
        <f t="shared" si="122"/>
        <v>0</v>
      </c>
      <c r="CX40" s="648">
        <f t="shared" si="123"/>
        <v>0</v>
      </c>
      <c r="CY40" s="648">
        <f t="shared" si="124"/>
        <v>0</v>
      </c>
      <c r="CZ40" s="648">
        <f t="shared" si="125"/>
        <v>0</v>
      </c>
      <c r="DA40" s="648">
        <f t="shared" si="126"/>
        <v>0</v>
      </c>
      <c r="DB40" s="648">
        <f t="shared" si="127"/>
        <v>0</v>
      </c>
      <c r="DC40" s="649">
        <f t="shared" si="128"/>
        <v>0</v>
      </c>
      <c r="DD40" s="648">
        <f t="shared" si="129"/>
        <v>0</v>
      </c>
      <c r="DE40" s="648">
        <f t="shared" si="130"/>
        <v>0</v>
      </c>
      <c r="DF40" s="648">
        <f t="shared" si="131"/>
        <v>0</v>
      </c>
      <c r="DG40" s="649">
        <f t="shared" si="132"/>
        <v>0</v>
      </c>
      <c r="DH40" s="649">
        <f t="shared" si="133"/>
        <v>0</v>
      </c>
      <c r="DI40" s="648">
        <f t="shared" si="134"/>
        <v>0</v>
      </c>
      <c r="DJ40" s="648">
        <f t="shared" si="135"/>
        <v>0</v>
      </c>
      <c r="DK40" s="648">
        <f t="shared" si="136"/>
        <v>0</v>
      </c>
      <c r="DL40" s="648">
        <f t="shared" si="137"/>
        <v>0</v>
      </c>
      <c r="DM40" s="648">
        <f t="shared" si="138"/>
        <v>0</v>
      </c>
      <c r="DN40" s="648">
        <f t="shared" si="139"/>
        <v>0</v>
      </c>
      <c r="DO40" s="648">
        <f t="shared" si="140"/>
        <v>0</v>
      </c>
      <c r="DP40" s="651">
        <f t="shared" si="141"/>
        <v>0</v>
      </c>
      <c r="DQ40" s="951">
        <f>IF($CB40=0,0,$DP40*_xlfn.XLOOKUP($CB40,Premises!$A$10:$F$10,Premises!$A$30:$F$30)/100)</f>
        <v>0</v>
      </c>
      <c r="DR40" s="650">
        <f>IFERROR(SUM($DP40:$DQ40)*IF(INDEX(Premises!$A$42:$F$42,1,MATCH($CB40,Premises!$A$10:$F$10,0))&gt;0,INDEX(Premises!$A$42:$F$42,1,MATCH($CB40,Premises!$A$10:$F$10,0))%,$CN40),0)</f>
        <v>0</v>
      </c>
      <c r="DS40" s="650" cm="1">
        <f t="array" ref="DS40">IF($CB40=0,0,SUM($DP40:$DR40)*_xlfn.XLOOKUP($CB40,Premises!$A$10:$F$10,IF(INDEX(Settings[],MATCH(3001,Settings[ID],0),2)="B",Premises!$A$33:$F$33,Premises!$A$31:$F$31))/100)</f>
        <v>0</v>
      </c>
      <c r="DT40" s="650" cm="1">
        <f t="array" ref="DT40">IF($CB40=0,0,$DP40*_xlfn.XLOOKUP($CB40,Premises!$A$10:$F$10,IF(INDEX(Settings[],MATCH(3002,Settings[ID],0),2)="B",Premises!$A$36:$F$36,Premises!$A$34:$F$34))/100)</f>
        <v>0</v>
      </c>
      <c r="DU40" s="650">
        <f>IF($CB40=0,0,SUM($DP40:$DT40)*_xlfn.XLOOKUP($CB40,Premises!$A$10:$F$10,Premises!$A$37:$F$37)/100)</f>
        <v>0</v>
      </c>
      <c r="DV40" s="954">
        <f t="shared" si="142"/>
        <v>0</v>
      </c>
      <c r="DW40" s="951">
        <f>IF($CC40=0,0,$DV40*_xlfn.XLOOKUP($CC40,Premises!$A$10:$F$10,Premises!$A$30:$F$30)/100)</f>
        <v>0</v>
      </c>
      <c r="DX40" s="650">
        <f>IFERROR(SUM($DV40:$DW40)*IF(INDEX(Premises!$A$42:$F$42,1,MATCH($CC40,Premises!$A$10:$F$10,0))&gt;0,INDEX(Premises!$A$42:$F$42,1,MATCH($CC40,Premises!$A$10:$F$10,0))%,$CP40),0)</f>
        <v>0</v>
      </c>
      <c r="DY40" s="650" cm="1">
        <f t="array" ref="DY40">IF($CC40=0,0,SUM($DV40:$DX40)*_xlfn.XLOOKUP($CC40,Premises!$A$10:$F$10,IF(INDEX(Settings[],MATCH(3001,Settings[ID],0),2)="B",Premises!$A$33:$F$33,Premises!$A$31:$F$31))/100)</f>
        <v>0</v>
      </c>
      <c r="DZ40" s="650" cm="1">
        <f t="array" ref="DZ40">IF($CC40=0,0,$DV40*_xlfn.XLOOKUP($CC40,Premises!$A$10:$F$10,IF(INDEX(Settings[],MATCH(3002,Settings[ID],0),2)="B",Premises!$A$36:$F$36,Premises!$A$34:$F$34))/100)</f>
        <v>0</v>
      </c>
      <c r="EA40" s="650">
        <f>IF($CC40=0,0,SUM($DV40:$DZ40)*_xlfn.XLOOKUP($CC40,Premises!$A$10:$F$10,Premises!$A$37:$F$37)/100)</f>
        <v>0</v>
      </c>
      <c r="EB40" s="651">
        <f t="shared" si="143"/>
        <v>0</v>
      </c>
      <c r="EC40" s="805"/>
      <c r="ED40" s="1104"/>
      <c r="EE40" s="650"/>
      <c r="EF40" s="1110"/>
      <c r="EG40" s="1108"/>
      <c r="EH40" s="1108"/>
      <c r="EI40" s="1108"/>
      <c r="EJ40" s="1108"/>
      <c r="EK40" s="1108"/>
      <c r="EL40" s="1108"/>
      <c r="EM40" s="1110"/>
      <c r="EN40" s="1108"/>
      <c r="EO40" s="1108"/>
      <c r="EP40" s="1108"/>
      <c r="EQ40" s="1108"/>
      <c r="ER40" s="1110"/>
      <c r="ES40" s="1108"/>
      <c r="ET40" s="1108"/>
      <c r="EU40" s="1108"/>
      <c r="EV40" s="1108"/>
      <c r="EW40" s="1108"/>
      <c r="EX40" s="1111"/>
      <c r="EY40" s="2"/>
      <c r="EZ40" s="2"/>
      <c r="FA40" s="2"/>
      <c r="FB40" s="2"/>
      <c r="FC40" s="2"/>
      <c r="FD40" s="2"/>
      <c r="FE40" s="2"/>
      <c r="FF40" s="2"/>
      <c r="FG40" s="2"/>
      <c r="FH40" s="2"/>
      <c r="FI40" s="2"/>
      <c r="FJ40" s="420"/>
      <c r="FK40" s="421"/>
      <c r="FL40" s="422"/>
      <c r="FM40" s="1153"/>
    </row>
    <row r="41" spans="1:169" s="13" customFormat="1" ht="12.75" customHeight="1">
      <c r="A41" s="221"/>
      <c r="B41" s="402" t="s">
        <v>4321</v>
      </c>
      <c r="C41" s="403"/>
      <c r="D41" s="646"/>
      <c r="E41" s="404" t="s">
        <v>4331</v>
      </c>
      <c r="F41" s="405">
        <f>5.79</f>
        <v>5.79</v>
      </c>
      <c r="G41" s="405" t="s">
        <v>93</v>
      </c>
      <c r="H41" s="405">
        <v>1</v>
      </c>
      <c r="I41" s="637" cm="1">
        <f t="array" ref="I41">IF($CI41=0,0,IFERROR(INDEX(MHR[],$CI41,MATCH($CA41,MHR!$B$4:$AY$4,0)),0))</f>
        <v>53.32486055555556</v>
      </c>
      <c r="J41" s="634">
        <f t="shared" si="96"/>
        <v>8.5764150726851854E-2</v>
      </c>
      <c r="K41" s="406" t="s">
        <v>49</v>
      </c>
      <c r="L41" s="407">
        <v>30</v>
      </c>
      <c r="M41" s="871">
        <v>3</v>
      </c>
      <c r="N41" s="407"/>
      <c r="O41" s="405"/>
      <c r="P41" s="645" cm="1">
        <f t="array" ref="P41">IF($K41=0,0,IFERROR(ROUNDUP(IF(ISNUMBER($K41),$K41,INDEX($D$1:$D41,$CD41)*INDEX(Premises!$A$13:$F$13,1,$CH41)/IF(OR($K41="T",$K41="D"),250,IF($K41="W",50,IF($K41="M",12,IF(OR($K41="HJ",$K41="HY"),2,IF(OR($K41="J",$K41="Y"),1,0)))))),0),0))</f>
        <v>3334</v>
      </c>
      <c r="Q41" s="637" cm="1">
        <f t="array" ref="Q41">IF($K41=0,0,IFERROR(INDEX(Premises!$A$22:$F$22,1,$CH41)*100/INDEX(Premises!$A$16:$F$16,1,$CH41),0))</f>
        <v>16.925000000000001</v>
      </c>
      <c r="R41" s="634">
        <f t="shared" si="97"/>
        <v>1.5611856711990937E-2</v>
      </c>
      <c r="S41" s="408">
        <v>2</v>
      </c>
      <c r="T41" s="409" t="s">
        <v>275</v>
      </c>
      <c r="U41" s="637" cm="1">
        <f t="array" ref="U41">IF(COUNTBLANK($S41:$T41),0,
IF(AND(INDEX(MHR[Schichtmodell],$CI41)&lt;&gt;0,INDEX(MHR[Schichtmodell],$CI41)&lt;&gt;INDEX(Premises!$A$20:$F$20,1,$CH41)),ExchangeRate*
IF(OR($T41="M",$T41="U"),IF(INDEX(MHR[Schichtmodell],$CI41)=1,INDEX(LOC[M1S],INDEX(Premises!$A$18:$F$18,1,$CH41+1)),IF(INDEX(MHR[Schichtmodell],$CI41)=2,INDEX(LOC[M2S],INDEX(Premises!$A$18:$F$18,1,$CH41+1),IF(INDEX(MHR[Schichtmodell],$CI41)=3,INDEX(LOC[M3S],INDEX(Premises!$A$18:$F$18,1,$CH41+1)),0)))),
IF(INDEX(MHR[Schichtmodell],$CI41)=1,INDEX(LOC[F1S],INDEX(Premises!$A$18:$F$18,1,$CH41+1)),IF(INDEX(MHR[Schichtmodell],$CI41)=2,INDEX(LOC[F2S],INDEX(Premises!$A$18:$F$18,1,$CH41+1)),IF(INDEX(MHR[Schichtmodell],$CI41)=3,INDEX(LOC[F3S],INDEX(Premises!$A$18:$F$18,1,$CH41+1)),0)))),
IF(OR($T41="M",$T41="U"),INDEX(Premises!$A$21:$F$21,1,$CH41),
IF(OR($T41="F",$T41="S"),INDEX(Premises!$A$22:$F$22,1,$CH41),0)))*100/INDEX(Premises!$A$16:$F$16,1,$CH41))</f>
        <v>12.037500000000001</v>
      </c>
      <c r="V41" s="631">
        <f t="shared" si="98"/>
        <v>3.8720625000000009E-2</v>
      </c>
      <c r="W41" s="410"/>
      <c r="X41" s="403"/>
      <c r="Y41" s="411"/>
      <c r="Z41" s="412"/>
      <c r="AA41" s="628">
        <f t="shared" si="99"/>
        <v>0</v>
      </c>
      <c r="AB41" s="410"/>
      <c r="AC41" s="403"/>
      <c r="AD41" s="411"/>
      <c r="AE41" s="413"/>
      <c r="AF41" s="628">
        <f t="shared" si="100"/>
        <v>0</v>
      </c>
      <c r="AG41" s="629" cm="1">
        <f t="array" ref="AG41">IF(($J41+$V41+$AF41)=0,0,INDEX(Premises!$A$30:$F$30,1,$CH41)/100)</f>
        <v>0.01</v>
      </c>
      <c r="AH41" s="414"/>
      <c r="AI41" s="415"/>
      <c r="AJ41" s="416"/>
      <c r="AK41" s="630">
        <f t="shared" si="101"/>
        <v>0</v>
      </c>
      <c r="AL41" s="631">
        <f t="shared" si="102"/>
        <v>1.2448477572685186E-3</v>
      </c>
      <c r="AM41" s="632" cm="1">
        <f t="array" ref="AM41">IF($CI41=0,0,IFERROR(INDEX(MHR[],$CI41,MATCH($CA41,MHR!$B$4:$AY$4,0)+11),0))</f>
        <v>10.405203261471994</v>
      </c>
      <c r="AN41" s="633" cm="1">
        <f t="array" ref="AN41">IF(($J41+$V41)=0,0,IFERROR(IF(INDEX(Premises!$A$41:$F$41,1,$CH41)&lt;&gt;0,INDEX(Premises!$A$41:$F$41,1,$CH41)/100,(IFERROR(($J41/$I41)*$AM41,0)/($V41+$J41+$R41+$AL41))),0))</f>
        <v>0.11840144324450445</v>
      </c>
      <c r="AO41" s="634">
        <f t="shared" si="103"/>
        <v>1.6735035245534123E-2</v>
      </c>
      <c r="AP41" s="635">
        <f t="shared" si="104"/>
        <v>0.15807651544164544</v>
      </c>
      <c r="AQ41" s="410"/>
      <c r="AR41" s="409"/>
      <c r="AS41" s="636" cm="1">
        <f t="array" ref="AS41">IF($CJ41=0,0,IFERROR(INDEX(MAT[Einheit],$CJ41,1),0))</f>
        <v>0</v>
      </c>
      <c r="AT41" s="637" cm="1">
        <f t="array" ref="AT41">IF($CJ41=0,0,IFERROR(INDEX(MAT[Preis],$CJ41,1),0))</f>
        <v>0</v>
      </c>
      <c r="AU41" s="638">
        <f t="shared" si="105"/>
        <v>0</v>
      </c>
      <c r="AV41" s="639" cm="1">
        <f t="array" ref="AV41">IF($AU41&lt;=0,0,INDEX(Premises!$A$30:$F$30,1,$CH41)/100)</f>
        <v>0</v>
      </c>
      <c r="AW41" s="409"/>
      <c r="AX41" s="631">
        <f t="shared" si="106"/>
        <v>0</v>
      </c>
      <c r="AY41" s="640" cm="1">
        <f t="array" ref="AY41">IF($AT41&lt;=0,0,IFERROR(IF(INDEX(Premises!$A$42:$F$42,1,$CH41)&lt;&gt;0,INDEX(Premises!$A$42:$F$42,1,$CH41)/100,(INDEX(MAT[],$CJ41,MATCH($CA41,MAT!$B$4:$AE$4,0))/($AR41*$CK41*INDEX(Premises!$A$13:$F$13,1,$CH41))+INDEX(MAT[],$CJ41,MATCH($CA41,MAT!$B$4:$AE$4,0)+7))/$AT41),0))</f>
        <v>0</v>
      </c>
      <c r="AZ41" s="631">
        <f t="shared" si="107"/>
        <v>0</v>
      </c>
      <c r="BA41" s="635">
        <f t="shared" si="108"/>
        <v>0</v>
      </c>
      <c r="BB41" s="635">
        <f t="shared" si="109"/>
        <v>0.15807651544164544</v>
      </c>
      <c r="BC41" s="639" cm="1">
        <f t="array" ref="BC41">IF($BB41&lt;=0,0,IF(BC$2=-1,0,INDEX(Premises!$A$32:$F$32,1,$CH41)/100))</f>
        <v>0</v>
      </c>
      <c r="BD41" s="631">
        <f t="shared" si="110"/>
        <v>0</v>
      </c>
      <c r="BE41" s="639" cm="1">
        <f t="array" ref="BE41">IF($BB41&lt;=0,0,IF(BE$2=-1,0,INDEX(Premises!$A$33:$F$33,1,$CH41)/100))</f>
        <v>0</v>
      </c>
      <c r="BF41" s="631">
        <f t="shared" si="111"/>
        <v>0</v>
      </c>
      <c r="BG41" s="639" cm="1">
        <f t="array" ref="BG41">IF($BB41&lt;=0,0,IF(BG$2=-1,0,INDEX(Premises!$A$31:$F$31,1,$CH41)/100))</f>
        <v>0.125</v>
      </c>
      <c r="BH41" s="631">
        <f t="shared" si="112"/>
        <v>1.9603958460547116E-2</v>
      </c>
      <c r="BI41" s="635">
        <f t="shared" si="113"/>
        <v>0.17768047390219255</v>
      </c>
      <c r="BJ41" s="639" cm="1">
        <f t="array" ref="BJ41">IF($BB41&lt;=0,0,IF(BJ$2=-1,0,INDEX(Premises!$A$35:$F$35,1,$CH41)/100))</f>
        <v>0</v>
      </c>
      <c r="BK41" s="631">
        <f t="shared" si="114"/>
        <v>0</v>
      </c>
      <c r="BL41" s="639" cm="1">
        <f t="array" ref="BL41">IF($BB41&lt;=0,0,IF(BL$2=-1,0,INDEX(Premises!$A$36:$F$36,1,$CH41)/100))</f>
        <v>0</v>
      </c>
      <c r="BM41" s="631">
        <f t="shared" si="115"/>
        <v>0</v>
      </c>
      <c r="BN41" s="639" cm="1">
        <f t="array" ref="BN41">IF($BB41&lt;=0,0,IF(BN$2=-1,0,INDEX(Premises!$A$34:$F$34,1,$CH41)/100))</f>
        <v>0.06</v>
      </c>
      <c r="BO41" s="631">
        <f t="shared" si="116"/>
        <v>9.4099000610626156E-3</v>
      </c>
      <c r="BP41" s="639" cm="1">
        <f t="array" ref="BP41">IF($BI41=0,0,INDEX(Premises!$A$37:$F$37,1,$CH41)/100)</f>
        <v>0</v>
      </c>
      <c r="BQ41" s="409"/>
      <c r="BR41" s="631">
        <f t="shared" si="117"/>
        <v>0</v>
      </c>
      <c r="BS41" s="641">
        <f t="shared" si="118"/>
        <v>0.18709037396325517</v>
      </c>
      <c r="BT41" s="641">
        <f t="shared" si="119"/>
        <v>0.18709037396325517</v>
      </c>
      <c r="BU41" s="642">
        <f t="shared" si="120"/>
        <v>1</v>
      </c>
      <c r="BV41" s="1147"/>
      <c r="BW41" s="418"/>
      <c r="BX41" s="418"/>
      <c r="BY41" s="419"/>
      <c r="BZ41" s="968"/>
      <c r="CA41" s="280" cm="1">
        <f t="array" ref="CA41">IF($BZ41&gt;0,VALUE(LEFT($BZ41,IF(ISERROR(FIND("-",$BZ41)),LEN($BZ41),FIND("-",$BZ41)-1))),INDEX($CA$1:$CA41,MAX(1,$CD41)))</f>
        <v>1</v>
      </c>
      <c r="CB41" s="280" cm="1">
        <f t="array" ref="CB41">IF($BT41=0,0,IF(LEN($BZ41)-LEN(SUBSTITUTE($BZ41,"-",""))&gt;1,
VALUE(MID($BZ41,FIND("-",$BZ41)+1,FIND("-",$BZ41,FIND("-",$BZ41)+1)-FIND("-",$BZ41)-1)),IF($BZ41&gt;0,0,INDEX($CB$1:$CB41,MAX(1,$CD41)))))</f>
        <v>0</v>
      </c>
      <c r="CC41" s="280" cm="1">
        <f t="array" ref="CC41">IF($BT41=0,0,IF(NOT(ISERROR(FIND("-",BZ41))),
VALUE(RIGHT($BZ41,LEN($BZ41)-IF(LEN($BZ41)-LEN(SUBSTITUTE($BZ41,"-",""))=1,FIND("-",$BZ41),FIND("-",$BZ41,FIND("-",$BZ41)+1)))),
IF($BZ41&gt;0,0,INDEX($CC$1:$CC41,MAX(1,$CD41)))))</f>
        <v>0</v>
      </c>
      <c r="CD41" s="393">
        <f>MATCH(0,$CE$1:$CE41,-1)</f>
        <v>37</v>
      </c>
      <c r="CE41" s="280"/>
      <c r="CF41" s="394"/>
      <c r="CG41" s="393" cm="1">
        <f t="array" ref="CG41">INDEX($CG$1:$CG41,$CD41)</f>
        <v>6</v>
      </c>
      <c r="CH41" s="280">
        <f>MATCH($CA41,Premises!$A$10:$F$10,0)</f>
        <v>4</v>
      </c>
      <c r="CI41" s="280">
        <f>IF(ISBLANK($E41),0,IFERROR(MATCH($E41,MHR[Bezeichnung],0),0))</f>
        <v>4</v>
      </c>
      <c r="CJ41" s="394">
        <f>IF(ISBLANK($AQ41),0,IFERROR(MATCH($AQ41,MAT[Bezeichnung],0),0))</f>
        <v>0</v>
      </c>
      <c r="CK41" s="280" cm="1">
        <f t="array" ref="CK41">INDEX($D$1:$D41,$CD41)</f>
        <v>1</v>
      </c>
      <c r="CL41" s="280"/>
      <c r="CM41" s="395"/>
      <c r="CN41" s="396" cm="1">
        <f t="array" ref="CN41">IF($CB41=0,0,IF($CB41=INDEX($CB$1:$CB41,$CD41),INDEX($CN$1:$CN41,$CD41),$CP41))</f>
        <v>0</v>
      </c>
      <c r="CO41" s="395"/>
      <c r="CP41" s="396" cm="1">
        <f t="array" ref="CP41">IF($CC41=0,0,INDEX($CP$1:$CP41,$CD41))</f>
        <v>0</v>
      </c>
      <c r="CQ41" s="397"/>
      <c r="CR41" s="398"/>
      <c r="CS41" s="398"/>
      <c r="CT41" s="1152"/>
      <c r="CU41" s="1149"/>
      <c r="CV41" s="647">
        <f t="shared" si="121"/>
        <v>8.5764150726851854E-2</v>
      </c>
      <c r="CW41" s="648">
        <f t="shared" si="122"/>
        <v>1.5611856711990937E-2</v>
      </c>
      <c r="CX41" s="648">
        <f t="shared" si="123"/>
        <v>3.8720625000000009E-2</v>
      </c>
      <c r="CY41" s="648">
        <f t="shared" si="124"/>
        <v>0</v>
      </c>
      <c r="CZ41" s="648">
        <f t="shared" si="125"/>
        <v>0</v>
      </c>
      <c r="DA41" s="648">
        <f t="shared" si="126"/>
        <v>1.2448477572685186E-3</v>
      </c>
      <c r="DB41" s="648">
        <f t="shared" si="127"/>
        <v>1.6735035245534123E-2</v>
      </c>
      <c r="DC41" s="649">
        <f t="shared" si="128"/>
        <v>0.15807651544164544</v>
      </c>
      <c r="DD41" s="648">
        <f t="shared" si="129"/>
        <v>0</v>
      </c>
      <c r="DE41" s="648">
        <f t="shared" si="130"/>
        <v>0</v>
      </c>
      <c r="DF41" s="648">
        <f t="shared" si="131"/>
        <v>0</v>
      </c>
      <c r="DG41" s="649">
        <f t="shared" si="132"/>
        <v>0</v>
      </c>
      <c r="DH41" s="649">
        <f t="shared" si="133"/>
        <v>0.15807651544164544</v>
      </c>
      <c r="DI41" s="648">
        <f t="shared" si="134"/>
        <v>0</v>
      </c>
      <c r="DJ41" s="648">
        <f t="shared" si="135"/>
        <v>0</v>
      </c>
      <c r="DK41" s="648">
        <f t="shared" si="136"/>
        <v>1.9603958460547116E-2</v>
      </c>
      <c r="DL41" s="648">
        <f t="shared" si="137"/>
        <v>0</v>
      </c>
      <c r="DM41" s="648">
        <f t="shared" si="138"/>
        <v>0</v>
      </c>
      <c r="DN41" s="648">
        <f t="shared" si="139"/>
        <v>9.4099000610626156E-3</v>
      </c>
      <c r="DO41" s="648">
        <f t="shared" si="140"/>
        <v>0</v>
      </c>
      <c r="DP41" s="651">
        <f t="shared" si="141"/>
        <v>0.18709037396325517</v>
      </c>
      <c r="DQ41" s="951">
        <f>IF($CB41=0,0,$DP41*_xlfn.XLOOKUP($CB41,Premises!$A$10:$F$10,Premises!$A$30:$F$30)/100)</f>
        <v>0</v>
      </c>
      <c r="DR41" s="650">
        <f>IFERROR(SUM($DP41:$DQ41)*IF(INDEX(Premises!$A$42:$F$42,1,MATCH($CB41,Premises!$A$10:$F$10,0))&gt;0,INDEX(Premises!$A$42:$F$42,1,MATCH($CB41,Premises!$A$10:$F$10,0))%,$CN41),0)</f>
        <v>0</v>
      </c>
      <c r="DS41" s="650" cm="1">
        <f t="array" ref="DS41">IF($CB41=0,0,SUM($DP41:$DR41)*_xlfn.XLOOKUP($CB41,Premises!$A$10:$F$10,IF(INDEX(Settings[],MATCH(3001,Settings[ID],0),2)="B",Premises!$A$33:$F$33,Premises!$A$31:$F$31))/100)</f>
        <v>0</v>
      </c>
      <c r="DT41" s="650" cm="1">
        <f t="array" ref="DT41">IF($CB41=0,0,$DP41*_xlfn.XLOOKUP($CB41,Premises!$A$10:$F$10,IF(INDEX(Settings[],MATCH(3002,Settings[ID],0),2)="B",Premises!$A$36:$F$36,Premises!$A$34:$F$34))/100)</f>
        <v>0</v>
      </c>
      <c r="DU41" s="650">
        <f>IF($CB41=0,0,SUM($DP41:$DT41)*_xlfn.XLOOKUP($CB41,Premises!$A$10:$F$10,Premises!$A$37:$F$37)/100)</f>
        <v>0</v>
      </c>
      <c r="DV41" s="954">
        <f t="shared" si="142"/>
        <v>0.18709037396325517</v>
      </c>
      <c r="DW41" s="951">
        <f>IF($CC41=0,0,$DV41*_xlfn.XLOOKUP($CC41,Premises!$A$10:$F$10,Premises!$A$30:$F$30)/100)</f>
        <v>0</v>
      </c>
      <c r="DX41" s="650">
        <f>IFERROR(SUM($DV41:$DW41)*IF(INDEX(Premises!$A$42:$F$42,1,MATCH($CC41,Premises!$A$10:$F$10,0))&gt;0,INDEX(Premises!$A$42:$F$42,1,MATCH($CC41,Premises!$A$10:$F$10,0))%,$CP41),0)</f>
        <v>0</v>
      </c>
      <c r="DY41" s="650" cm="1">
        <f t="array" ref="DY41">IF($CC41=0,0,SUM($DV41:$DX41)*_xlfn.XLOOKUP($CC41,Premises!$A$10:$F$10,IF(INDEX(Settings[],MATCH(3001,Settings[ID],0),2)="B",Premises!$A$33:$F$33,Premises!$A$31:$F$31))/100)</f>
        <v>0</v>
      </c>
      <c r="DZ41" s="650" cm="1">
        <f t="array" ref="DZ41">IF($CC41=0,0,$DV41*_xlfn.XLOOKUP($CC41,Premises!$A$10:$F$10,IF(INDEX(Settings[],MATCH(3002,Settings[ID],0),2)="B",Premises!$A$36:$F$36,Premises!$A$34:$F$34))/100)</f>
        <v>0</v>
      </c>
      <c r="EA41" s="650">
        <f>IF($CC41=0,0,SUM($DV41:$DZ41)*_xlfn.XLOOKUP($CC41,Premises!$A$10:$F$10,Premises!$A$37:$F$37)/100)</f>
        <v>0</v>
      </c>
      <c r="EB41" s="651">
        <f t="shared" si="143"/>
        <v>0.18709037396325517</v>
      </c>
      <c r="EC41" s="805"/>
      <c r="ED41" s="1104"/>
      <c r="EE41" s="650"/>
      <c r="EF41" s="1110"/>
      <c r="EG41" s="1108"/>
      <c r="EH41" s="1108"/>
      <c r="EI41" s="1108"/>
      <c r="EJ41" s="1108"/>
      <c r="EK41" s="1108"/>
      <c r="EL41" s="1108"/>
      <c r="EM41" s="1110"/>
      <c r="EN41" s="1108"/>
      <c r="EO41" s="1108"/>
      <c r="EP41" s="1108"/>
      <c r="EQ41" s="1108"/>
      <c r="ER41" s="1110"/>
      <c r="ES41" s="1108"/>
      <c r="ET41" s="1108"/>
      <c r="EU41" s="1108"/>
      <c r="EV41" s="1108"/>
      <c r="EW41" s="1108"/>
      <c r="EX41" s="1111"/>
      <c r="EY41" s="2"/>
      <c r="EZ41" s="2"/>
      <c r="FA41" s="2"/>
      <c r="FB41" s="2"/>
      <c r="FC41" s="2"/>
      <c r="FD41" s="2"/>
      <c r="FE41" s="2"/>
      <c r="FF41" s="2"/>
      <c r="FG41" s="2"/>
      <c r="FH41" s="2"/>
      <c r="FI41" s="2"/>
      <c r="FJ41" s="420"/>
      <c r="FK41" s="421"/>
      <c r="FL41" s="422"/>
      <c r="FM41" s="1153"/>
    </row>
    <row r="42" spans="1:169" s="13" customFormat="1" ht="12.75" customHeight="1">
      <c r="A42" s="221"/>
      <c r="B42" s="402" t="s">
        <v>4322</v>
      </c>
      <c r="C42" s="403"/>
      <c r="D42" s="646"/>
      <c r="E42" s="404" t="s">
        <v>4331</v>
      </c>
      <c r="F42" s="405">
        <f>10</f>
        <v>10</v>
      </c>
      <c r="G42" s="405" t="s">
        <v>93</v>
      </c>
      <c r="H42" s="405">
        <v>1</v>
      </c>
      <c r="I42" s="637" cm="1">
        <f t="array" ref="I42">IF($CI42=0,0,IFERROR(INDEX(MHR[],$CI42,MATCH($CA42,MHR!$B$4:$AY$4,0)),0))</f>
        <v>53.32486055555556</v>
      </c>
      <c r="J42" s="634">
        <f>IF(COUNTBLANK($E42:$H42),0,IFERROR($F42/$H42/IF($G42="s",3600,IF($G42="min",60,IF($G42="h",1,0)))*I42,0))</f>
        <v>0.148124612654321</v>
      </c>
      <c r="K42" s="406" t="s">
        <v>49</v>
      </c>
      <c r="L42" s="407">
        <v>30</v>
      </c>
      <c r="M42" s="871">
        <v>3</v>
      </c>
      <c r="N42" s="407"/>
      <c r="O42" s="405"/>
      <c r="P42" s="645" cm="1">
        <f t="array" ref="P42">IF($K42=0,0,IFERROR(ROUNDUP(IF(ISNUMBER($K42),$K42,INDEX($D$1:$D42,$CD42)*INDEX(Premises!$A$13:$F$13,1,$CH42)/IF(OR($K42="T",$K42="D"),250,IF($K42="W",50,IF($K42="M",12,IF(OR($K42="HJ",$K42="HY"),2,IF(OR($K42="J",$K42="Y"),1,0)))))),0),0))</f>
        <v>3334</v>
      </c>
      <c r="Q42" s="637" cm="1">
        <f t="array" ref="Q42">IF($K42=0,0,IFERROR(INDEX(Premises!$A$22:$F$22,1,$CH42)*100/INDEX(Premises!$A$16:$F$16,1,$CH42),0))</f>
        <v>16.925000000000001</v>
      </c>
      <c r="R42" s="634">
        <f>IF($P42=0,0,IFERROR(($L42/60*($I42+$Q42*$M42)+($N42/60*($Q42*$O42)))/$P42,0))</f>
        <v>1.5611856711990937E-2</v>
      </c>
      <c r="S42" s="408">
        <v>1.5</v>
      </c>
      <c r="T42" s="409" t="s">
        <v>275</v>
      </c>
      <c r="U42" s="637" cm="1">
        <f t="array" ref="U42">IF(COUNTBLANK($S42:$T42),0,
IF(AND(INDEX(MHR[Schichtmodell],$CI42)&lt;&gt;0,INDEX(MHR[Schichtmodell],$CI42)&lt;&gt;INDEX(Premises!$A$20:$F$20,1,$CH42)),ExchangeRate*
IF(OR($T42="M",$T42="U"),IF(INDEX(MHR[Schichtmodell],$CI42)=1,INDEX(LOC[M1S],INDEX(Premises!$A$18:$F$18,1,$CH42+1)),IF(INDEX(MHR[Schichtmodell],$CI42)=2,INDEX(LOC[M2S],INDEX(Premises!$A$18:$F$18,1,$CH42+1),IF(INDEX(MHR[Schichtmodell],$CI42)=3,INDEX(LOC[M3S],INDEX(Premises!$A$18:$F$18,1,$CH42+1)),0)))),
IF(INDEX(MHR[Schichtmodell],$CI42)=1,INDEX(LOC[F1S],INDEX(Premises!$A$18:$F$18,1,$CH42+1)),IF(INDEX(MHR[Schichtmodell],$CI42)=2,INDEX(LOC[F2S],INDEX(Premises!$A$18:$F$18,1,$CH42+1)),IF(INDEX(MHR[Schichtmodell],$CI42)=3,INDEX(LOC[F3S],INDEX(Premises!$A$18:$F$18,1,$CH42+1)),0)))),
IF(OR($T42="M",$T42="U"),INDEX(Premises!$A$21:$F$21,1,$CH42),
IF(OR($T42="F",$T42="S"),INDEX(Premises!$A$22:$F$22,1,$CH42),0)))*100/INDEX(Premises!$A$16:$F$16,1,$CH42))</f>
        <v>12.037500000000001</v>
      </c>
      <c r="V42" s="631">
        <f>IF($U42=0,0,IFERROR($F42/$H42/IF($G42="s",3600,IF($G42="min",60,IF($G42="h",1,0)))*$S42*$U42,0))</f>
        <v>5.0156250000000006E-2</v>
      </c>
      <c r="W42" s="410"/>
      <c r="X42" s="403"/>
      <c r="Y42" s="411"/>
      <c r="Z42" s="412"/>
      <c r="AA42" s="628">
        <f>IFERROR($X42*$Z42/$Y42/MAX(1,$H42),0)</f>
        <v>0</v>
      </c>
      <c r="AB42" s="410"/>
      <c r="AC42" s="403"/>
      <c r="AD42" s="411"/>
      <c r="AE42" s="413"/>
      <c r="AF42" s="628">
        <f>IFERROR($AC42*$AE42/$AD42,0)</f>
        <v>0</v>
      </c>
      <c r="AG42" s="629" cm="1">
        <f t="array" ref="AG42">IF(($J42+$V42+$AF42)=0,0,INDEX(Premises!$A$30:$F$30,1,$CH42)/100)</f>
        <v>0.01</v>
      </c>
      <c r="AH42" s="414"/>
      <c r="AI42" s="415"/>
      <c r="AJ42" s="416"/>
      <c r="AK42" s="630">
        <f>IF(COUNTBLANK($AH42:$AI42),0,$AH42*$AI42*$AG42)</f>
        <v>0</v>
      </c>
      <c r="AL42" s="631">
        <f>($AK42+$AJ42*$AG42*(1-$AH42)+($J42+$V42+$AF42)*$AG42*(1-$AH42))</f>
        <v>1.9828086265432101E-3</v>
      </c>
      <c r="AM42" s="632" cm="1">
        <f t="array" ref="AM42">IF($CI42=0,0,IFERROR(INDEX(MHR[],$CI42,MATCH($CA42,MHR!$B$4:$AY$4,0)+11),0))</f>
        <v>10.405203261471994</v>
      </c>
      <c r="AN42" s="633" cm="1">
        <f t="array" ref="AN42">IF(($J42+$V42)=0,0,IFERROR(IF(INDEX(Premises!$A$41:$F$41,1,$CH42)&lt;&gt;0,INDEX(Premises!$A$41:$F$41,1,$CH42)/100,(IFERROR(($J42/$I42)*$AM42,0)/($V42+$J42+$R42+$AL42))),0))</f>
        <v>0.13388892507507558</v>
      </c>
      <c r="AO42" s="634">
        <f>IF(($J42+$V42)=0,0,IF(IFERROR(($J42+$R42+$V42+$AL42)*$AN42,0)&lt;&gt;IFERROR(($J42/$I42)*$AM42,0),($J42+$R42+$V42+$AL42)*$AN42,IFERROR(($J42/$I42)*$AM42,0)))</f>
        <v>2.8903342392977763E-2</v>
      </c>
      <c r="AP42" s="635">
        <f>$V42+$J42+$R42+$AA42+$AF42+$AL42+$AO42</f>
        <v>0.24477887038583293</v>
      </c>
      <c r="AQ42" s="410"/>
      <c r="AR42" s="409"/>
      <c r="AS42" s="636" cm="1">
        <f t="array" ref="AS42">IF($CJ42=0,0,IFERROR(INDEX(MAT[Einheit],$CJ42,1),0))</f>
        <v>0</v>
      </c>
      <c r="AT42" s="637" cm="1">
        <f t="array" ref="AT42">IF($CJ42=0,0,IFERROR(INDEX(MAT[Preis],$CJ42,1),0))</f>
        <v>0</v>
      </c>
      <c r="AU42" s="638">
        <f>$AR42*$AT42</f>
        <v>0</v>
      </c>
      <c r="AV42" s="639" cm="1">
        <f t="array" ref="AV42">IF($AU42&lt;=0,0,INDEX(Premises!$A$30:$F$30,1,$CH42)/100)</f>
        <v>0</v>
      </c>
      <c r="AW42" s="409"/>
      <c r="AX42" s="631">
        <f>IF($AV42=0,0,($AU42+$AW42)*$AV42)</f>
        <v>0</v>
      </c>
      <c r="AY42" s="640" cm="1">
        <f t="array" ref="AY42">IF($AT42&lt;=0,0,IFERROR(IF(INDEX(Premises!$A$42:$F$42,1,$CH42)&lt;&gt;0,INDEX(Premises!$A$42:$F$42,1,$CH42)/100,(INDEX(MAT[],$CJ42,MATCH($CA42,MAT!$B$4:$AE$4,0))/($AR42*$CK42*INDEX(Premises!$A$13:$F$13,1,$CH42))+INDEX(MAT[],$CJ42,MATCH($CA42,MAT!$B$4:$AE$4,0)+7))/$AT42),0))</f>
        <v>0</v>
      </c>
      <c r="AZ42" s="631">
        <f>IF($AY42=0,0,($AU42+$AX42)*$AY42)</f>
        <v>0</v>
      </c>
      <c r="BA42" s="635">
        <f>$AU42+$AX42+$AZ42</f>
        <v>0</v>
      </c>
      <c r="BB42" s="635">
        <f>$AP42+$BA42</f>
        <v>0.24477887038583293</v>
      </c>
      <c r="BC42" s="639" cm="1">
        <f t="array" ref="BC42">IF($BB42&lt;=0,0,IF(BC$2=-1,0,INDEX(Premises!$A$32:$F$32,1,$CH42)/100))</f>
        <v>0</v>
      </c>
      <c r="BD42" s="631">
        <f>IF($AP42&lt;=0,0,($AP42-$AA42-$AL42)*$BC42)</f>
        <v>0</v>
      </c>
      <c r="BE42" s="639" cm="1">
        <f t="array" ref="BE42">IF($BB42&lt;=0,0,IF(BE$2=-1,0,INDEX(Premises!$A$33:$F$33,1,$CH42)/100))</f>
        <v>0</v>
      </c>
      <c r="BF42" s="631">
        <f>IF($BA42&lt;=0,0,$BA42*$BE42)</f>
        <v>0</v>
      </c>
      <c r="BG42" s="639" cm="1">
        <f t="array" ref="BG42">IF($BB42&lt;=0,0,IF(BG$2=-1,0,INDEX(Premises!$A$31:$F$31,1,$CH42)/100))</f>
        <v>0.125</v>
      </c>
      <c r="BH42" s="631">
        <f>(($AP42-$AA42-$AL42)+$BA42)*$BG42</f>
        <v>3.0349507719911215E-2</v>
      </c>
      <c r="BI42" s="635">
        <f>$BB42+$BD42+$BF42+$BH42</f>
        <v>0.27512837810574414</v>
      </c>
      <c r="BJ42" s="639" cm="1">
        <f t="array" ref="BJ42">IF($BB42&lt;=0,0,IF(BJ$2=-1,0,INDEX(Premises!$A$35:$F$35,1,$CH42)/100))</f>
        <v>0</v>
      </c>
      <c r="BK42" s="631">
        <f>IF($AP42&lt;=0,0,($AP42-$AL42-$AA42)*$BJ42)</f>
        <v>0</v>
      </c>
      <c r="BL42" s="639" cm="1">
        <f t="array" ref="BL42">IF($BB42&lt;=0,0,IF(BL$2=-1,0,INDEX(Premises!$A$36:$F$36,1,$CH42)/100))</f>
        <v>0</v>
      </c>
      <c r="BM42" s="631">
        <f>IF($AU42&lt;=0,0,($AR42*$AT42)*$BL42)</f>
        <v>0</v>
      </c>
      <c r="BN42" s="639" cm="1">
        <f t="array" ref="BN42">IF($BB42&lt;=0,0,IF(BN$2=-1,0,INDEX(Premises!$A$34:$F$34,1,$CH42)/100))</f>
        <v>0.06</v>
      </c>
      <c r="BO42" s="631">
        <f>(($AP42-$AL42-$AA42)+($AR42*$AT42))*$BN42</f>
        <v>1.4567763705557383E-2</v>
      </c>
      <c r="BP42" s="639" cm="1">
        <f t="array" ref="BP42">IF($BI42=0,0,INDEX(Premises!$A$37:$F$37,1,$CH42)/100)</f>
        <v>0</v>
      </c>
      <c r="BQ42" s="409"/>
      <c r="BR42" s="631">
        <f>($BI42+$BK42+$BM42+$BO42)*$BP42+$BQ42</f>
        <v>0</v>
      </c>
      <c r="BS42" s="641">
        <f>BI42+BK42+BM42+BO42+BR42</f>
        <v>0.28969614181130154</v>
      </c>
      <c r="BT42" s="641">
        <f>IF($BS42=0,0,$CK42*$BS42)</f>
        <v>0.28969614181130154</v>
      </c>
      <c r="BU42" s="642">
        <f>IF($BT42=0,0,MAX(1,$EB42/$DP42))</f>
        <v>1</v>
      </c>
      <c r="BV42" s="1147"/>
      <c r="BW42" s="418"/>
      <c r="BX42" s="418"/>
      <c r="BY42" s="419"/>
      <c r="BZ42" s="968"/>
      <c r="CA42" s="280" cm="1">
        <f t="array" ref="CA42">IF($BZ42&gt;0,VALUE(LEFT($BZ42,IF(ISERROR(FIND("-",$BZ42)),LEN($BZ42),FIND("-",$BZ42)-1))),INDEX($CA$1:$CA42,MAX(1,$CD42)))</f>
        <v>1</v>
      </c>
      <c r="CB42" s="280" cm="1">
        <f t="array" ref="CB42">IF($BT42=0,0,IF(LEN($BZ42)-LEN(SUBSTITUTE($BZ42,"-",""))&gt;1,
VALUE(MID($BZ42,FIND("-",$BZ42)+1,FIND("-",$BZ42,FIND("-",$BZ42)+1)-FIND("-",$BZ42)-1)),IF($BZ42&gt;0,0,INDEX($CB$1:$CB42,MAX(1,$CD42)))))</f>
        <v>0</v>
      </c>
      <c r="CC42" s="280" cm="1">
        <f t="array" ref="CC42">IF($BT42=0,0,IF(NOT(ISERROR(FIND("-",BZ42))),
VALUE(RIGHT($BZ42,LEN($BZ42)-IF(LEN($BZ42)-LEN(SUBSTITUTE($BZ42,"-",""))=1,FIND("-",$BZ42),FIND("-",$BZ42,FIND("-",$BZ42)+1)))),
IF($BZ42&gt;0,0,INDEX($CC$1:$CC42,MAX(1,$CD42)))))</f>
        <v>0</v>
      </c>
      <c r="CD42" s="393">
        <f>MATCH(0,$CE$1:$CE42,-1)</f>
        <v>37</v>
      </c>
      <c r="CE42" s="280"/>
      <c r="CF42" s="394"/>
      <c r="CG42" s="393" cm="1">
        <f t="array" ref="CG42">INDEX($CG$1:$CG42,$CD42)</f>
        <v>6</v>
      </c>
      <c r="CH42" s="280">
        <f>MATCH($CA42,Premises!$A$10:$F$10,0)</f>
        <v>4</v>
      </c>
      <c r="CI42" s="280">
        <f>IF(ISBLANK($E42),0,IFERROR(MATCH($E42,MHR[Bezeichnung],0),0))</f>
        <v>4</v>
      </c>
      <c r="CJ42" s="394">
        <f>IF(ISBLANK($AQ42),0,IFERROR(MATCH($AQ42,MAT[Bezeichnung],0),0))</f>
        <v>0</v>
      </c>
      <c r="CK42" s="280" cm="1">
        <f t="array" ref="CK42">INDEX($D$1:$D42,$CD42)</f>
        <v>1</v>
      </c>
      <c r="CL42" s="280"/>
      <c r="CM42" s="395"/>
      <c r="CN42" s="396" cm="1">
        <f t="array" ref="CN42">IF($CB42=0,0,IF($CB42=INDEX($CB$1:$CB42,$CD42),INDEX($CN$1:$CN42,$CD42),$CP42))</f>
        <v>0</v>
      </c>
      <c r="CO42" s="395"/>
      <c r="CP42" s="396" cm="1">
        <f t="array" ref="CP42">IF($CC42=0,0,INDEX($CP$1:$CP42,$CD42))</f>
        <v>0</v>
      </c>
      <c r="CQ42" s="397"/>
      <c r="CR42" s="398"/>
      <c r="CS42" s="398"/>
      <c r="CT42" s="1152"/>
      <c r="CU42" s="1149"/>
      <c r="CV42" s="647">
        <f>$J42*$CK42</f>
        <v>0.148124612654321</v>
      </c>
      <c r="CW42" s="648">
        <f>$R42*$CK42</f>
        <v>1.5611856711990937E-2</v>
      </c>
      <c r="CX42" s="648">
        <f>$V42*$CK42</f>
        <v>5.0156250000000006E-2</v>
      </c>
      <c r="CY42" s="648">
        <f>$AA42*$CK42</f>
        <v>0</v>
      </c>
      <c r="CZ42" s="648">
        <f>$AF42*$CK42</f>
        <v>0</v>
      </c>
      <c r="DA42" s="648">
        <f>$AL42*$CK42</f>
        <v>1.9828086265432101E-3</v>
      </c>
      <c r="DB42" s="648">
        <f>$AO42*$CK42</f>
        <v>2.8903342392977763E-2</v>
      </c>
      <c r="DC42" s="649">
        <f>$AP42*$CK42</f>
        <v>0.24477887038583293</v>
      </c>
      <c r="DD42" s="648">
        <f>$AU42*$CK42</f>
        <v>0</v>
      </c>
      <c r="DE42" s="648">
        <f>$AX42*$CK42</f>
        <v>0</v>
      </c>
      <c r="DF42" s="648">
        <f>$AZ42*$CK42</f>
        <v>0</v>
      </c>
      <c r="DG42" s="649">
        <f>$BA42*$CK42</f>
        <v>0</v>
      </c>
      <c r="DH42" s="649">
        <f>$BB42*$CK42</f>
        <v>0.24477887038583293</v>
      </c>
      <c r="DI42" s="648">
        <f>$BD42*$CK42</f>
        <v>0</v>
      </c>
      <c r="DJ42" s="648">
        <f>$BF42*$CK42</f>
        <v>0</v>
      </c>
      <c r="DK42" s="648">
        <f>$BH42*$CK42</f>
        <v>3.0349507719911215E-2</v>
      </c>
      <c r="DL42" s="648">
        <f>$BK42*$CK42</f>
        <v>0</v>
      </c>
      <c r="DM42" s="648">
        <f>$BM42*$CK42</f>
        <v>0</v>
      </c>
      <c r="DN42" s="648">
        <f>$BO42*$CK42</f>
        <v>1.4567763705557383E-2</v>
      </c>
      <c r="DO42" s="648">
        <f>$BR42*$CK42</f>
        <v>0</v>
      </c>
      <c r="DP42" s="651">
        <f>$CK42*($BB42+$BD42+$BF42+$BH42+$BK42+$BM42+$BO42+$BR42)</f>
        <v>0.28969614181130154</v>
      </c>
      <c r="DQ42" s="951">
        <f>IF($CB42=0,0,$DP42*_xlfn.XLOOKUP($CB42,Premises!$A$10:$F$10,Premises!$A$30:$F$30)/100)</f>
        <v>0</v>
      </c>
      <c r="DR42" s="650">
        <f>IFERROR(SUM($DP42:$DQ42)*IF(INDEX(Premises!$A$42:$F$42,1,MATCH($CB42,Premises!$A$10:$F$10,0))&gt;0,INDEX(Premises!$A$42:$F$42,1,MATCH($CB42,Premises!$A$10:$F$10,0))%,$CN42),0)</f>
        <v>0</v>
      </c>
      <c r="DS42" s="650" cm="1">
        <f t="array" ref="DS42">IF($CB42=0,0,SUM($DP42:$DR42)*_xlfn.XLOOKUP($CB42,Premises!$A$10:$F$10,IF(INDEX(Settings[],MATCH(3001,Settings[ID],0),2)="B",Premises!$A$33:$F$33,Premises!$A$31:$F$31))/100)</f>
        <v>0</v>
      </c>
      <c r="DT42" s="650" cm="1">
        <f t="array" ref="DT42">IF($CB42=0,0,$DP42*_xlfn.XLOOKUP($CB42,Premises!$A$10:$F$10,IF(INDEX(Settings[],MATCH(3002,Settings[ID],0),2)="B",Premises!$A$36:$F$36,Premises!$A$34:$F$34))/100)</f>
        <v>0</v>
      </c>
      <c r="DU42" s="650">
        <f>IF($CB42=0,0,SUM($DP42:$DT42)*_xlfn.XLOOKUP($CB42,Premises!$A$10:$F$10,Premises!$A$37:$F$37)/100)</f>
        <v>0</v>
      </c>
      <c r="DV42" s="954">
        <f>SUM($DP42:$DU42)</f>
        <v>0.28969614181130154</v>
      </c>
      <c r="DW42" s="951">
        <f>IF($CC42=0,0,$DV42*_xlfn.XLOOKUP($CC42,Premises!$A$10:$F$10,Premises!$A$30:$F$30)/100)</f>
        <v>0</v>
      </c>
      <c r="DX42" s="650">
        <f>IFERROR(SUM($DV42:$DW42)*IF(INDEX(Premises!$A$42:$F$42,1,MATCH($CC42,Premises!$A$10:$F$10,0))&gt;0,INDEX(Premises!$A$42:$F$42,1,MATCH($CC42,Premises!$A$10:$F$10,0))%,$CP42),0)</f>
        <v>0</v>
      </c>
      <c r="DY42" s="650" cm="1">
        <f t="array" ref="DY42">IF($CC42=0,0,SUM($DV42:$DX42)*_xlfn.XLOOKUP($CC42,Premises!$A$10:$F$10,IF(INDEX(Settings[],MATCH(3001,Settings[ID],0),2)="B",Premises!$A$33:$F$33,Premises!$A$31:$F$31))/100)</f>
        <v>0</v>
      </c>
      <c r="DZ42" s="650" cm="1">
        <f t="array" ref="DZ42">IF($CC42=0,0,$DV42*_xlfn.XLOOKUP($CC42,Premises!$A$10:$F$10,IF(INDEX(Settings[],MATCH(3002,Settings[ID],0),2)="B",Premises!$A$36:$F$36,Premises!$A$34:$F$34))/100)</f>
        <v>0</v>
      </c>
      <c r="EA42" s="650">
        <f>IF($CC42=0,0,SUM($DV42:$DZ42)*_xlfn.XLOOKUP($CC42,Premises!$A$10:$F$10,Premises!$A$37:$F$37)/100)</f>
        <v>0</v>
      </c>
      <c r="EB42" s="651">
        <f>SUM($DV42:$EA42)</f>
        <v>0.28969614181130154</v>
      </c>
      <c r="EC42" s="805"/>
      <c r="ED42" s="1104"/>
      <c r="EE42" s="650"/>
      <c r="EF42" s="1110"/>
      <c r="EG42" s="1108"/>
      <c r="EH42" s="1108"/>
      <c r="EI42" s="1108"/>
      <c r="EJ42" s="1108"/>
      <c r="EK42" s="1108"/>
      <c r="EL42" s="1108"/>
      <c r="EM42" s="1110"/>
      <c r="EN42" s="1108"/>
      <c r="EO42" s="1108"/>
      <c r="EP42" s="1108"/>
      <c r="EQ42" s="1108"/>
      <c r="ER42" s="1110"/>
      <c r="ES42" s="1108"/>
      <c r="ET42" s="1108"/>
      <c r="EU42" s="1108"/>
      <c r="EV42" s="1108"/>
      <c r="EW42" s="1108"/>
      <c r="EX42" s="1111"/>
      <c r="EY42" s="2"/>
      <c r="EZ42" s="2"/>
      <c r="FA42" s="2"/>
      <c r="FB42" s="2"/>
      <c r="FC42" s="2"/>
      <c r="FD42" s="2"/>
      <c r="FE42" s="2"/>
      <c r="FF42" s="2"/>
      <c r="FG42" s="2"/>
      <c r="FH42" s="2"/>
      <c r="FI42" s="2"/>
      <c r="FJ42" s="420"/>
      <c r="FK42" s="421"/>
      <c r="FL42" s="422"/>
      <c r="FM42" s="1153"/>
    </row>
    <row r="43" spans="1:169" s="13" customFormat="1" ht="12.75" customHeight="1">
      <c r="A43" s="221"/>
      <c r="B43" s="402"/>
      <c r="C43" s="403"/>
      <c r="D43" s="646"/>
      <c r="E43" s="404"/>
      <c r="F43" s="405"/>
      <c r="G43" s="405"/>
      <c r="H43" s="405"/>
      <c r="I43" s="637" cm="1">
        <f t="array" ref="I43">IF($CI43=0,0,IFERROR(INDEX(MHR[],$CI43,MATCH($CA43,MHR!$B$4:$AY$4,0)),0))</f>
        <v>0</v>
      </c>
      <c r="J43" s="634">
        <f>IF(COUNTBLANK($E43:$H43),0,IFERROR($F43/$H43/IF($G43="s",3600,IF($G43="min",60,IF($G43="h",1,0)))*I43,0))</f>
        <v>0</v>
      </c>
      <c r="K43" s="406"/>
      <c r="L43" s="407"/>
      <c r="M43" s="871"/>
      <c r="N43" s="407"/>
      <c r="O43" s="405"/>
      <c r="P43" s="645" cm="1">
        <f t="array" ref="P43">IF($K43=0,0,IFERROR(ROUNDUP(IF(ISNUMBER($K43),$K43,INDEX($D$1:$D43,$CD43)*INDEX(Premises!$A$13:$F$13,1,$CH43)/IF(OR($K43="T",$K43="D"),250,IF($K43="W",50,IF($K43="M",12,IF(OR($K43="HJ",$K43="HY"),2,IF(OR($K43="J",$K43="Y"),1,0)))))),0),0))</f>
        <v>0</v>
      </c>
      <c r="Q43" s="637" cm="1">
        <f t="array" ref="Q43">IF($K43=0,0,IFERROR(INDEX(Premises!$A$22:$F$22,1,$CH43)*100/INDEX(Premises!$A$16:$F$16,1,$CH43),0))</f>
        <v>0</v>
      </c>
      <c r="R43" s="634">
        <f>IF($P43=0,0,IFERROR(($L43/60*($I43+$Q43*$M43)+($N43/60*($Q43*$O43)))/$P43,0))</f>
        <v>0</v>
      </c>
      <c r="S43" s="408"/>
      <c r="T43" s="409"/>
      <c r="U43" s="637" cm="1">
        <f t="array" ref="U43">IF(COUNTBLANK($S43:$T43),0,
IF(AND(INDEX(MHR[Schichtmodell],$CI43)&lt;&gt;0,INDEX(MHR[Schichtmodell],$CI43)&lt;&gt;INDEX(Premises!$A$20:$F$20,1,$CH43)),ExchangeRate*
IF(OR($T43="M",$T43="U"),IF(INDEX(MHR[Schichtmodell],$CI43)=1,INDEX(LOC[M1S],INDEX(Premises!$A$18:$F$18,1,$CH43+1)),IF(INDEX(MHR[Schichtmodell],$CI43)=2,INDEX(LOC[M2S],INDEX(Premises!$A$18:$F$18,1,$CH43+1),IF(INDEX(MHR[Schichtmodell],$CI43)=3,INDEX(LOC[M3S],INDEX(Premises!$A$18:$F$18,1,$CH43+1)),0)))),
IF(INDEX(MHR[Schichtmodell],$CI43)=1,INDEX(LOC[F1S],INDEX(Premises!$A$18:$F$18,1,$CH43+1)),IF(INDEX(MHR[Schichtmodell],$CI43)=2,INDEX(LOC[F2S],INDEX(Premises!$A$18:$F$18,1,$CH43+1)),IF(INDEX(MHR[Schichtmodell],$CI43)=3,INDEX(LOC[F3S],INDEX(Premises!$A$18:$F$18,1,$CH43+1)),0)))),
IF(OR($T43="M",$T43="U"),INDEX(Premises!$A$21:$F$21,1,$CH43),
IF(OR($T43="F",$T43="S"),INDEX(Premises!$A$22:$F$22,1,$CH43),0)))*100/INDEX(Premises!$A$16:$F$16,1,$CH43))</f>
        <v>0</v>
      </c>
      <c r="V43" s="631">
        <f>IF($U43=0,0,IFERROR($F43/$H43/IF($G43="s",3600,IF($G43="min",60,IF($G43="h",1,0)))*$S43*$U43,0))</f>
        <v>0</v>
      </c>
      <c r="W43" s="410"/>
      <c r="X43" s="403"/>
      <c r="Y43" s="411"/>
      <c r="Z43" s="412"/>
      <c r="AA43" s="628">
        <f>IFERROR($X43*$Z43/$Y43/MAX(1,$H43),0)</f>
        <v>0</v>
      </c>
      <c r="AB43" s="410"/>
      <c r="AC43" s="403"/>
      <c r="AD43" s="411"/>
      <c r="AE43" s="413"/>
      <c r="AF43" s="628">
        <f>IFERROR($AC43*$AE43/$AD43,0)</f>
        <v>0</v>
      </c>
      <c r="AG43" s="629" cm="1">
        <f t="array" ref="AG43">IF(($J43+$V43+$AF43)=0,0,INDEX(Premises!$A$30:$F$30,1,$CH43)/100)</f>
        <v>0</v>
      </c>
      <c r="AH43" s="414"/>
      <c r="AI43" s="415"/>
      <c r="AJ43" s="416"/>
      <c r="AK43" s="630">
        <f>IF(COUNTBLANK($AH43:$AI43),0,$AH43*$AI43*$AG43)</f>
        <v>0</v>
      </c>
      <c r="AL43" s="631">
        <f>($AK43+$AJ43*$AG43*(1-$AH43)+($J43+$V43+$AF43)*$AG43*(1-$AH43))</f>
        <v>0</v>
      </c>
      <c r="AM43" s="632" cm="1">
        <f t="array" ref="AM43">IF($CI43=0,0,IFERROR(INDEX(MHR[],$CI43,MATCH($CA43,MHR!$B$4:$AY$4,0)+11),0))</f>
        <v>0</v>
      </c>
      <c r="AN43" s="633" cm="1">
        <f t="array" ref="AN43">IF(($J43+$V43)=0,0,IFERROR(IF(INDEX(Premises!$A$41:$F$41,1,$CH43)&lt;&gt;0,INDEX(Premises!$A$41:$F$41,1,$CH43)/100,(IFERROR(($J43/$I43)*$AM43,0)/($V43+$J43+$R43+$AL43))),0))</f>
        <v>0</v>
      </c>
      <c r="AO43" s="634">
        <f>IF(($J43+$V43)=0,0,IF(IFERROR(($J43+$R43+$V43+$AL43)*$AN43,0)&lt;&gt;IFERROR(($J43/$I43)*$AM43,0),($J43+$R43+$V43+$AL43)*$AN43,IFERROR(($J43/$I43)*$AM43,0)))</f>
        <v>0</v>
      </c>
      <c r="AP43" s="635">
        <f>$V43+$J43+$R43+$AA43+$AF43+$AL43+$AO43</f>
        <v>0</v>
      </c>
      <c r="AQ43" s="410"/>
      <c r="AR43" s="409"/>
      <c r="AS43" s="636" cm="1">
        <f t="array" ref="AS43">IF($CJ43=0,0,IFERROR(INDEX(MAT[Einheit],$CJ43,1),0))</f>
        <v>0</v>
      </c>
      <c r="AT43" s="637" cm="1">
        <f t="array" ref="AT43">IF($CJ43=0,0,IFERROR(INDEX(MAT[Preis],$CJ43,1),0))</f>
        <v>0</v>
      </c>
      <c r="AU43" s="638">
        <f>$AR43*$AT43</f>
        <v>0</v>
      </c>
      <c r="AV43" s="639" cm="1">
        <f t="array" ref="AV43">IF($AU43&lt;=0,0,INDEX(Premises!$A$30:$F$30,1,$CH43)/100)</f>
        <v>0</v>
      </c>
      <c r="AW43" s="409"/>
      <c r="AX43" s="631">
        <f>IF($AV43=0,0,($AU43+$AW43)*$AV43)</f>
        <v>0</v>
      </c>
      <c r="AY43" s="640" cm="1">
        <f t="array" ref="AY43">IF($AT43&lt;=0,0,IFERROR(IF(INDEX(Premises!$A$42:$F$42,1,$CH43)&lt;&gt;0,INDEX(Premises!$A$42:$F$42,1,$CH43)/100,(INDEX(MAT[],$CJ43,MATCH($CA43,MAT!$B$4:$AE$4,0))/($AR43*$CK43*INDEX(Premises!$A$13:$F$13,1,$CH43))+INDEX(MAT[],$CJ43,MATCH($CA43,MAT!$B$4:$AE$4,0)+7))/$AT43),0))</f>
        <v>0</v>
      </c>
      <c r="AZ43" s="631">
        <f>IF($AY43=0,0,($AU43+$AX43)*$AY43)</f>
        <v>0</v>
      </c>
      <c r="BA43" s="635">
        <f>$AU43+$AX43+$AZ43</f>
        <v>0</v>
      </c>
      <c r="BB43" s="635">
        <f>$AP43+$BA43</f>
        <v>0</v>
      </c>
      <c r="BC43" s="639" cm="1">
        <f t="array" ref="BC43">IF($BB43&lt;=0,0,IF(BC$2=-1,0,INDEX(Premises!$A$32:$F$32,1,$CH43)/100))</f>
        <v>0</v>
      </c>
      <c r="BD43" s="631">
        <f>IF($AP43&lt;=0,0,($AP43-$AA43-$AL43)*$BC43)</f>
        <v>0</v>
      </c>
      <c r="BE43" s="639" cm="1">
        <f t="array" ref="BE43">IF($BB43&lt;=0,0,IF(BE$2=-1,0,INDEX(Premises!$A$33:$F$33,1,$CH43)/100))</f>
        <v>0</v>
      </c>
      <c r="BF43" s="631">
        <f>IF($BA43&lt;=0,0,$BA43*$BE43)</f>
        <v>0</v>
      </c>
      <c r="BG43" s="639" cm="1">
        <f t="array" ref="BG43">IF($BB43&lt;=0,0,IF(BG$2=-1,0,INDEX(Premises!$A$31:$F$31,1,$CH43)/100))</f>
        <v>0</v>
      </c>
      <c r="BH43" s="631">
        <f>(($AP43-$AA43-$AL43)+$BA43)*$BG43</f>
        <v>0</v>
      </c>
      <c r="BI43" s="635">
        <f>$BB43+$BD43+$BF43+$BH43</f>
        <v>0</v>
      </c>
      <c r="BJ43" s="639" cm="1">
        <f t="array" ref="BJ43">IF($BB43&lt;=0,0,IF(BJ$2=-1,0,INDEX(Premises!$A$35:$F$35,1,$CH43)/100))</f>
        <v>0</v>
      </c>
      <c r="BK43" s="631">
        <f>IF($AP43&lt;=0,0,($AP43-$AL43-$AA43)*$BJ43)</f>
        <v>0</v>
      </c>
      <c r="BL43" s="639" cm="1">
        <f t="array" ref="BL43">IF($BB43&lt;=0,0,IF(BL$2=-1,0,INDEX(Premises!$A$36:$F$36,1,$CH43)/100))</f>
        <v>0</v>
      </c>
      <c r="BM43" s="631">
        <f>IF($AU43&lt;=0,0,($AR43*$AT43)*$BL43)</f>
        <v>0</v>
      </c>
      <c r="BN43" s="639" cm="1">
        <f t="array" ref="BN43">IF($BB43&lt;=0,0,IF(BN$2=-1,0,INDEX(Premises!$A$34:$F$34,1,$CH43)/100))</f>
        <v>0</v>
      </c>
      <c r="BO43" s="631">
        <f>(($AP43-$AL43-$AA43)+($AR43*$AT43))*$BN43</f>
        <v>0</v>
      </c>
      <c r="BP43" s="639" cm="1">
        <f t="array" ref="BP43">IF($BI43=0,0,INDEX(Premises!$A$37:$F$37,1,$CH43)/100)</f>
        <v>0</v>
      </c>
      <c r="BQ43" s="409"/>
      <c r="BR43" s="631">
        <f>($BI43+$BK43+$BM43+$BO43)*$BP43+$BQ43</f>
        <v>0</v>
      </c>
      <c r="BS43" s="641">
        <f>BI43+BK43+BM43+BO43+BR43</f>
        <v>0</v>
      </c>
      <c r="BT43" s="641">
        <f>IF($BS43=0,0,$CK43*$BS43)</f>
        <v>0</v>
      </c>
      <c r="BU43" s="642">
        <f>IF($BT43=0,0,MAX(1,$EB43/$DP43))</f>
        <v>0</v>
      </c>
      <c r="BV43" s="1147"/>
      <c r="BW43" s="418"/>
      <c r="BX43" s="418"/>
      <c r="BY43" s="419"/>
      <c r="BZ43" s="968"/>
      <c r="CA43" s="280" cm="1">
        <f t="array" ref="CA43">IF($BZ43&gt;0,VALUE(LEFT($BZ43,IF(ISERROR(FIND("-",$BZ43)),LEN($BZ43),FIND("-",$BZ43)-1))),INDEX($CA$1:$CA43,MAX(1,$CD43)))</f>
        <v>1</v>
      </c>
      <c r="CB43" s="280" cm="1">
        <f t="array" ref="CB43">IF($BT43=0,0,IF(LEN($BZ43)-LEN(SUBSTITUTE($BZ43,"-",""))&gt;1,
VALUE(MID($BZ43,FIND("-",$BZ43)+1,FIND("-",$BZ43,FIND("-",$BZ43)+1)-FIND("-",$BZ43)-1)),IF($BZ43&gt;0,0,INDEX($CB$1:$CB43,MAX(1,$CD43)))))</f>
        <v>0</v>
      </c>
      <c r="CC43" s="280" cm="1">
        <f t="array" ref="CC43">IF($BT43=0,0,IF(NOT(ISERROR(FIND("-",BZ43))),
VALUE(RIGHT($BZ43,LEN($BZ43)-IF(LEN($BZ43)-LEN(SUBSTITUTE($BZ43,"-",""))=1,FIND("-",$BZ43),FIND("-",$BZ43,FIND("-",$BZ43)+1)))),
IF($BZ43&gt;0,0,INDEX($CC$1:$CC43,MAX(1,$CD43)))))</f>
        <v>0</v>
      </c>
      <c r="CD43" s="393">
        <f>MATCH(0,$CE$1:$CE43,-1)</f>
        <v>37</v>
      </c>
      <c r="CE43" s="280"/>
      <c r="CF43" s="394"/>
      <c r="CG43" s="393" cm="1">
        <f t="array" ref="CG43">INDEX($CG$1:$CG43,$CD43)</f>
        <v>6</v>
      </c>
      <c r="CH43" s="280">
        <f>MATCH($CA43,Premises!$A$10:$F$10,0)</f>
        <v>4</v>
      </c>
      <c r="CI43" s="280">
        <f>IF(ISBLANK($E43),0,IFERROR(MATCH($E43,MHR[Bezeichnung],0),0))</f>
        <v>0</v>
      </c>
      <c r="CJ43" s="394">
        <f>IF(ISBLANK($AQ43),0,IFERROR(MATCH($AQ43,MAT[Bezeichnung],0),0))</f>
        <v>0</v>
      </c>
      <c r="CK43" s="280" cm="1">
        <f t="array" ref="CK43">INDEX($D$1:$D43,$CD43)</f>
        <v>1</v>
      </c>
      <c r="CL43" s="280"/>
      <c r="CM43" s="395"/>
      <c r="CN43" s="396" cm="1">
        <f t="array" ref="CN43">IF($CB43=0,0,IF($CB43=INDEX($CB$1:$CB43,$CD43),INDEX($CN$1:$CN43,$CD43),$CP43))</f>
        <v>0</v>
      </c>
      <c r="CO43" s="395"/>
      <c r="CP43" s="396" cm="1">
        <f t="array" ref="CP43">IF($CC43=0,0,INDEX($CP$1:$CP43,$CD43))</f>
        <v>0</v>
      </c>
      <c r="CQ43" s="397"/>
      <c r="CR43" s="398"/>
      <c r="CS43" s="398"/>
      <c r="CT43" s="1152"/>
      <c r="CU43" s="1149"/>
      <c r="CV43" s="647">
        <f>$J43*$CK43</f>
        <v>0</v>
      </c>
      <c r="CW43" s="648">
        <f>$R43*$CK43</f>
        <v>0</v>
      </c>
      <c r="CX43" s="648">
        <f>$V43*$CK43</f>
        <v>0</v>
      </c>
      <c r="CY43" s="648">
        <f>$AA43*$CK43</f>
        <v>0</v>
      </c>
      <c r="CZ43" s="648">
        <f>$AF43*$CK43</f>
        <v>0</v>
      </c>
      <c r="DA43" s="648">
        <f>$AL43*$CK43</f>
        <v>0</v>
      </c>
      <c r="DB43" s="648">
        <f>$AO43*$CK43</f>
        <v>0</v>
      </c>
      <c r="DC43" s="649">
        <f>$AP43*$CK43</f>
        <v>0</v>
      </c>
      <c r="DD43" s="648">
        <f>$AU43*$CK43</f>
        <v>0</v>
      </c>
      <c r="DE43" s="648">
        <f>$AX43*$CK43</f>
        <v>0</v>
      </c>
      <c r="DF43" s="648">
        <f>$AZ43*$CK43</f>
        <v>0</v>
      </c>
      <c r="DG43" s="649">
        <f>$BA43*$CK43</f>
        <v>0</v>
      </c>
      <c r="DH43" s="649">
        <f>$BB43*$CK43</f>
        <v>0</v>
      </c>
      <c r="DI43" s="648">
        <f>$BD43*$CK43</f>
        <v>0</v>
      </c>
      <c r="DJ43" s="648">
        <f>$BF43*$CK43</f>
        <v>0</v>
      </c>
      <c r="DK43" s="648">
        <f>$BH43*$CK43</f>
        <v>0</v>
      </c>
      <c r="DL43" s="648">
        <f>$BK43*$CK43</f>
        <v>0</v>
      </c>
      <c r="DM43" s="648">
        <f>$BM43*$CK43</f>
        <v>0</v>
      </c>
      <c r="DN43" s="648">
        <f>$BO43*$CK43</f>
        <v>0</v>
      </c>
      <c r="DO43" s="648">
        <f>$BR43*$CK43</f>
        <v>0</v>
      </c>
      <c r="DP43" s="651">
        <f>$CK43*($BB43+$BD43+$BF43+$BH43+$BK43+$BM43+$BO43+$BR43)</f>
        <v>0</v>
      </c>
      <c r="DQ43" s="951">
        <f>IF($CB43=0,0,$DP43*_xlfn.XLOOKUP($CB43,Premises!$A$10:$F$10,Premises!$A$30:$F$30)/100)</f>
        <v>0</v>
      </c>
      <c r="DR43" s="650">
        <f>IFERROR(SUM($DP43:$DQ43)*IF(INDEX(Premises!$A$42:$F$42,1,MATCH($CB43,Premises!$A$10:$F$10,0))&gt;0,INDEX(Premises!$A$42:$F$42,1,MATCH($CB43,Premises!$A$10:$F$10,0))%,$CN43),0)</f>
        <v>0</v>
      </c>
      <c r="DS43" s="650" cm="1">
        <f t="array" ref="DS43">IF($CB43=0,0,SUM($DP43:$DR43)*_xlfn.XLOOKUP($CB43,Premises!$A$10:$F$10,IF(INDEX(Settings[],MATCH(3001,Settings[ID],0),2)="B",Premises!$A$33:$F$33,Premises!$A$31:$F$31))/100)</f>
        <v>0</v>
      </c>
      <c r="DT43" s="650" cm="1">
        <f t="array" ref="DT43">IF($CB43=0,0,$DP43*_xlfn.XLOOKUP($CB43,Premises!$A$10:$F$10,IF(INDEX(Settings[],MATCH(3002,Settings[ID],0),2)="B",Premises!$A$36:$F$36,Premises!$A$34:$F$34))/100)</f>
        <v>0</v>
      </c>
      <c r="DU43" s="650">
        <f>IF($CB43=0,0,SUM($DP43:$DT43)*_xlfn.XLOOKUP($CB43,Premises!$A$10:$F$10,Premises!$A$37:$F$37)/100)</f>
        <v>0</v>
      </c>
      <c r="DV43" s="954">
        <f>SUM($DP43:$DU43)</f>
        <v>0</v>
      </c>
      <c r="DW43" s="951">
        <f>IF($CC43=0,0,$DV43*_xlfn.XLOOKUP($CC43,Premises!$A$10:$F$10,Premises!$A$30:$F$30)/100)</f>
        <v>0</v>
      </c>
      <c r="DX43" s="650">
        <f>IFERROR(SUM($DV43:$DW43)*IF(INDEX(Premises!$A$42:$F$42,1,MATCH($CC43,Premises!$A$10:$F$10,0))&gt;0,INDEX(Premises!$A$42:$F$42,1,MATCH($CC43,Premises!$A$10:$F$10,0))%,$CP43),0)</f>
        <v>0</v>
      </c>
      <c r="DY43" s="650" cm="1">
        <f t="array" ref="DY43">IF($CC43=0,0,SUM($DV43:$DX43)*_xlfn.XLOOKUP($CC43,Premises!$A$10:$F$10,IF(INDEX(Settings[],MATCH(3001,Settings[ID],0),2)="B",Premises!$A$33:$F$33,Premises!$A$31:$F$31))/100)</f>
        <v>0</v>
      </c>
      <c r="DZ43" s="650" cm="1">
        <f t="array" ref="DZ43">IF($CC43=0,0,$DV43*_xlfn.XLOOKUP($CC43,Premises!$A$10:$F$10,IF(INDEX(Settings[],MATCH(3002,Settings[ID],0),2)="B",Premises!$A$36:$F$36,Premises!$A$34:$F$34))/100)</f>
        <v>0</v>
      </c>
      <c r="EA43" s="650">
        <f>IF($CC43=0,0,SUM($DV43:$DZ43)*_xlfn.XLOOKUP($CC43,Premises!$A$10:$F$10,Premises!$A$37:$F$37)/100)</f>
        <v>0</v>
      </c>
      <c r="EB43" s="651">
        <f>SUM($DV43:$EA43)</f>
        <v>0</v>
      </c>
      <c r="EC43" s="805"/>
      <c r="ED43" s="1104"/>
      <c r="EE43" s="650"/>
      <c r="EF43" s="1110"/>
      <c r="EG43" s="1108"/>
      <c r="EH43" s="1108"/>
      <c r="EI43" s="1108"/>
      <c r="EJ43" s="1108"/>
      <c r="EK43" s="1108"/>
      <c r="EL43" s="1108"/>
      <c r="EM43" s="1110"/>
      <c r="EN43" s="1108"/>
      <c r="EO43" s="1108"/>
      <c r="EP43" s="1108"/>
      <c r="EQ43" s="1108"/>
      <c r="ER43" s="1110"/>
      <c r="ES43" s="1108"/>
      <c r="ET43" s="1108"/>
      <c r="EU43" s="1108"/>
      <c r="EV43" s="1108"/>
      <c r="EW43" s="1108"/>
      <c r="EX43" s="1111"/>
      <c r="EY43" s="2"/>
      <c r="EZ43" s="2"/>
      <c r="FA43" s="2"/>
      <c r="FB43" s="2"/>
      <c r="FC43" s="2"/>
      <c r="FD43" s="2"/>
      <c r="FE43" s="2"/>
      <c r="FF43" s="2"/>
      <c r="FG43" s="2"/>
      <c r="FH43" s="2"/>
      <c r="FI43" s="2"/>
      <c r="FJ43" s="420"/>
      <c r="FK43" s="421"/>
      <c r="FL43" s="422"/>
      <c r="FM43" s="1153"/>
    </row>
    <row r="44" spans="1:169" s="13" customFormat="1" ht="12.75" customHeight="1">
      <c r="A44" s="221"/>
      <c r="B44" s="1329" t="s">
        <v>4323</v>
      </c>
      <c r="C44" s="403"/>
      <c r="D44" s="646"/>
      <c r="E44" s="404"/>
      <c r="F44" s="405"/>
      <c r="G44" s="405"/>
      <c r="H44" s="405"/>
      <c r="I44" s="637" cm="1">
        <f t="array" ref="I44">IF($CI44=0,0,IFERROR(INDEX(MHR[],$CI44,MATCH($CA44,MHR!$B$4:$AY$4,0)),0))</f>
        <v>0</v>
      </c>
      <c r="J44" s="634">
        <f>IF(COUNTBLANK($E44:$H44),0,IFERROR($F44/$H44/IF($G44="s",3600,IF($G44="min",60,IF($G44="h",1,0)))*I44,0))</f>
        <v>0</v>
      </c>
      <c r="K44" s="406"/>
      <c r="L44" s="407"/>
      <c r="M44" s="871"/>
      <c r="N44" s="407"/>
      <c r="O44" s="405"/>
      <c r="P44" s="645" cm="1">
        <f t="array" ref="P44">IF($K44=0,0,IFERROR(ROUNDUP(IF(ISNUMBER($K44),$K44,INDEX($D$1:$D44,$CD44)*INDEX(Premises!$A$13:$F$13,1,$CH44)/IF(OR($K44="T",$K44="D"),250,IF($K44="W",50,IF($K44="M",12,IF(OR($K44="HJ",$K44="HY"),2,IF(OR($K44="J",$K44="Y"),1,0)))))),0),0))</f>
        <v>0</v>
      </c>
      <c r="Q44" s="637" cm="1">
        <f t="array" ref="Q44">IF($K44=0,0,IFERROR(INDEX(Premises!$A$22:$F$22,1,$CH44)*100/INDEX(Premises!$A$16:$F$16,1,$CH44),0))</f>
        <v>0</v>
      </c>
      <c r="R44" s="634">
        <f>IF($P44=0,0,IFERROR(($L44/60*($I44+$Q44*$M44)+($N44/60*($Q44*$O44)))/$P44,0))</f>
        <v>0</v>
      </c>
      <c r="S44" s="408"/>
      <c r="T44" s="409"/>
      <c r="U44" s="637" cm="1">
        <f t="array" ref="U44">IF(COUNTBLANK($S44:$T44),0,
IF(AND(INDEX(MHR[Schichtmodell],$CI44)&lt;&gt;0,INDEX(MHR[Schichtmodell],$CI44)&lt;&gt;INDEX(Premises!$A$20:$F$20,1,$CH44)),ExchangeRate*
IF(OR($T44="M",$T44="U"),IF(INDEX(MHR[Schichtmodell],$CI44)=1,INDEX(LOC[M1S],INDEX(Premises!$A$18:$F$18,1,$CH44+1)),IF(INDEX(MHR[Schichtmodell],$CI44)=2,INDEX(LOC[M2S],INDEX(Premises!$A$18:$F$18,1,$CH44+1),IF(INDEX(MHR[Schichtmodell],$CI44)=3,INDEX(LOC[M3S],INDEX(Premises!$A$18:$F$18,1,$CH44+1)),0)))),
IF(INDEX(MHR[Schichtmodell],$CI44)=1,INDEX(LOC[F1S],INDEX(Premises!$A$18:$F$18,1,$CH44+1)),IF(INDEX(MHR[Schichtmodell],$CI44)=2,INDEX(LOC[F2S],INDEX(Premises!$A$18:$F$18,1,$CH44+1)),IF(INDEX(MHR[Schichtmodell],$CI44)=3,INDEX(LOC[F3S],INDEX(Premises!$A$18:$F$18,1,$CH44+1)),0)))),
IF(OR($T44="M",$T44="U"),INDEX(Premises!$A$21:$F$21,1,$CH44),
IF(OR($T44="F",$T44="S"),INDEX(Premises!$A$22:$F$22,1,$CH44),0)))*100/INDEX(Premises!$A$16:$F$16,1,$CH44))</f>
        <v>0</v>
      </c>
      <c r="V44" s="631">
        <f>IF($U44=0,0,IFERROR($F44/$H44/IF($G44="s",3600,IF($G44="min",60,IF($G44="h",1,0)))*$S44*$U44,0))</f>
        <v>0</v>
      </c>
      <c r="W44" s="410"/>
      <c r="X44" s="403"/>
      <c r="Y44" s="411"/>
      <c r="Z44" s="412"/>
      <c r="AA44" s="628">
        <f>IFERROR($X44*$Z44/$Y44/MAX(1,$H44),0)</f>
        <v>0</v>
      </c>
      <c r="AB44" s="410"/>
      <c r="AC44" s="403"/>
      <c r="AD44" s="411"/>
      <c r="AE44" s="413"/>
      <c r="AF44" s="628">
        <f>IFERROR($AC44*$AE44/$AD44,0)</f>
        <v>0</v>
      </c>
      <c r="AG44" s="629" cm="1">
        <f t="array" ref="AG44">IF(($J44+$V44+$AF44)=0,0,INDEX(Premises!$A$30:$F$30,1,$CH44)/100)</f>
        <v>0</v>
      </c>
      <c r="AH44" s="414"/>
      <c r="AI44" s="415"/>
      <c r="AJ44" s="416"/>
      <c r="AK44" s="630">
        <f>IF(COUNTBLANK($AH44:$AI44),0,$AH44*$AI44*$AG44)</f>
        <v>0</v>
      </c>
      <c r="AL44" s="631">
        <f>($AK44+$AJ44*$AG44*(1-$AH44)+($J44+$V44+$AF44)*$AG44*(1-$AH44))</f>
        <v>0</v>
      </c>
      <c r="AM44" s="632" cm="1">
        <f t="array" ref="AM44">IF($CI44=0,0,IFERROR(INDEX(MHR[],$CI44,MATCH($CA44,MHR!$B$4:$AY$4,0)+11),0))</f>
        <v>0</v>
      </c>
      <c r="AN44" s="633" cm="1">
        <f t="array" ref="AN44">IF(($J44+$V44)=0,0,IFERROR(IF(INDEX(Premises!$A$41:$F$41,1,$CH44)&lt;&gt;0,INDEX(Premises!$A$41:$F$41,1,$CH44)/100,(IFERROR(($J44/$I44)*$AM44,0)/($V44+$J44+$R44+$AL44))),0))</f>
        <v>0</v>
      </c>
      <c r="AO44" s="634">
        <f>IF(($J44+$V44)=0,0,IF(IFERROR(($J44+$R44+$V44+$AL44)*$AN44,0)&lt;&gt;IFERROR(($J44/$I44)*$AM44,0),($J44+$R44+$V44+$AL44)*$AN44,IFERROR(($J44/$I44)*$AM44,0)))</f>
        <v>0</v>
      </c>
      <c r="AP44" s="635">
        <f>$V44+$J44+$R44+$AA44+$AF44+$AL44+$AO44</f>
        <v>0</v>
      </c>
      <c r="AQ44" s="410"/>
      <c r="AR44" s="409"/>
      <c r="AS44" s="636" cm="1">
        <f t="array" ref="AS44">IF($CJ44=0,0,IFERROR(INDEX(MAT[Einheit],$CJ44,1),0))</f>
        <v>0</v>
      </c>
      <c r="AT44" s="637" cm="1">
        <f t="array" ref="AT44">IF($CJ44=0,0,IFERROR(INDEX(MAT[Preis],$CJ44,1),0))</f>
        <v>0</v>
      </c>
      <c r="AU44" s="638">
        <f>$AR44*$AT44</f>
        <v>0</v>
      </c>
      <c r="AV44" s="639" cm="1">
        <f t="array" ref="AV44">IF($AU44&lt;=0,0,INDEX(Premises!$A$30:$F$30,1,$CH44)/100)</f>
        <v>0</v>
      </c>
      <c r="AW44" s="409"/>
      <c r="AX44" s="631">
        <f>IF($AV44=0,0,($AU44+$AW44)*$AV44)</f>
        <v>0</v>
      </c>
      <c r="AY44" s="640" cm="1">
        <f t="array" ref="AY44">IF($AT44&lt;=0,0,IFERROR(IF(INDEX(Premises!$A$42:$F$42,1,$CH44)&lt;&gt;0,INDEX(Premises!$A$42:$F$42,1,$CH44)/100,(INDEX(MAT[],$CJ44,MATCH($CA44,MAT!$B$4:$AE$4,0))/($AR44*$CK44*INDEX(Premises!$A$13:$F$13,1,$CH44))+INDEX(MAT[],$CJ44,MATCH($CA44,MAT!$B$4:$AE$4,0)+7))/$AT44),0))</f>
        <v>0</v>
      </c>
      <c r="AZ44" s="631">
        <f>IF($AY44=0,0,($AU44+$AX44)*$AY44)</f>
        <v>0</v>
      </c>
      <c r="BA44" s="635">
        <f>$AU44+$AX44+$AZ44</f>
        <v>0</v>
      </c>
      <c r="BB44" s="635">
        <f>$AP44+$BA44</f>
        <v>0</v>
      </c>
      <c r="BC44" s="639" cm="1">
        <f t="array" ref="BC44">IF($BB44&lt;=0,0,IF(BC$2=-1,0,INDEX(Premises!$A$32:$F$32,1,$CH44)/100))</f>
        <v>0</v>
      </c>
      <c r="BD44" s="631">
        <f>IF($AP44&lt;=0,0,($AP44-$AA44-$AL44)*$BC44)</f>
        <v>0</v>
      </c>
      <c r="BE44" s="639" cm="1">
        <f t="array" ref="BE44">IF($BB44&lt;=0,0,IF(BE$2=-1,0,INDEX(Premises!$A$33:$F$33,1,$CH44)/100))</f>
        <v>0</v>
      </c>
      <c r="BF44" s="631">
        <f>IF($BA44&lt;=0,0,$BA44*$BE44)</f>
        <v>0</v>
      </c>
      <c r="BG44" s="639" cm="1">
        <f t="array" ref="BG44">IF($BB44&lt;=0,0,IF(BG$2=-1,0,INDEX(Premises!$A$31:$F$31,1,$CH44)/100))</f>
        <v>0</v>
      </c>
      <c r="BH44" s="631">
        <f>(($AP44-$AA44-$AL44)+$BA44)*$BG44</f>
        <v>0</v>
      </c>
      <c r="BI44" s="635">
        <f>$BB44+$BD44+$BF44+$BH44</f>
        <v>0</v>
      </c>
      <c r="BJ44" s="639" cm="1">
        <f t="array" ref="BJ44">IF($BB44&lt;=0,0,IF(BJ$2=-1,0,INDEX(Premises!$A$35:$F$35,1,$CH44)/100))</f>
        <v>0</v>
      </c>
      <c r="BK44" s="631">
        <f>IF($AP44&lt;=0,0,($AP44-$AL44-$AA44)*$BJ44)</f>
        <v>0</v>
      </c>
      <c r="BL44" s="639" cm="1">
        <f t="array" ref="BL44">IF($BB44&lt;=0,0,IF(BL$2=-1,0,INDEX(Premises!$A$36:$F$36,1,$CH44)/100))</f>
        <v>0</v>
      </c>
      <c r="BM44" s="631">
        <f>IF($AU44&lt;=0,0,($AR44*$AT44)*$BL44)</f>
        <v>0</v>
      </c>
      <c r="BN44" s="639" cm="1">
        <f t="array" ref="BN44">IF($BB44&lt;=0,0,IF(BN$2=-1,0,INDEX(Premises!$A$34:$F$34,1,$CH44)/100))</f>
        <v>0</v>
      </c>
      <c r="BO44" s="631">
        <f>(($AP44-$AL44-$AA44)+($AR44*$AT44))*$BN44</f>
        <v>0</v>
      </c>
      <c r="BP44" s="639" cm="1">
        <f t="array" ref="BP44">IF($BI44=0,0,INDEX(Premises!$A$37:$F$37,1,$CH44)/100)</f>
        <v>0</v>
      </c>
      <c r="BQ44" s="409"/>
      <c r="BR44" s="631">
        <f>($BI44+$BK44+$BM44+$BO44)*$BP44+$BQ44</f>
        <v>0</v>
      </c>
      <c r="BS44" s="641">
        <f>BI44+BK44+BM44+BO44+BR44</f>
        <v>0</v>
      </c>
      <c r="BT44" s="641">
        <f>IF($BS44=0,0,$CK44*$BS44)</f>
        <v>0</v>
      </c>
      <c r="BU44" s="642">
        <f>IF($BT44=0,0,MAX(1,$EB44/$DP44))</f>
        <v>0</v>
      </c>
      <c r="BV44" s="1147"/>
      <c r="BW44" s="418"/>
      <c r="BX44" s="418"/>
      <c r="BY44" s="419"/>
      <c r="BZ44" s="968"/>
      <c r="CA44" s="280" cm="1">
        <f t="array" ref="CA44">IF($BZ44&gt;0,VALUE(LEFT($BZ44,IF(ISERROR(FIND("-",$BZ44)),LEN($BZ44),FIND("-",$BZ44)-1))),INDEX($CA$1:$CA44,MAX(1,$CD44)))</f>
        <v>1</v>
      </c>
      <c r="CB44" s="280" cm="1">
        <f t="array" ref="CB44">IF($BT44=0,0,IF(LEN($BZ44)-LEN(SUBSTITUTE($BZ44,"-",""))&gt;1,
VALUE(MID($BZ44,FIND("-",$BZ44)+1,FIND("-",$BZ44,FIND("-",$BZ44)+1)-FIND("-",$BZ44)-1)),IF($BZ44&gt;0,0,INDEX($CB$1:$CB44,MAX(1,$CD44)))))</f>
        <v>0</v>
      </c>
      <c r="CC44" s="280" cm="1">
        <f t="array" ref="CC44">IF($BT44=0,0,IF(NOT(ISERROR(FIND("-",BZ44))),
VALUE(RIGHT($BZ44,LEN($BZ44)-IF(LEN($BZ44)-LEN(SUBSTITUTE($BZ44,"-",""))=1,FIND("-",$BZ44),FIND("-",$BZ44,FIND("-",$BZ44)+1)))),
IF($BZ44&gt;0,0,INDEX($CC$1:$CC44,MAX(1,$CD44)))))</f>
        <v>0</v>
      </c>
      <c r="CD44" s="393">
        <f>MATCH(0,$CE$1:$CE44,-1)</f>
        <v>37</v>
      </c>
      <c r="CE44" s="280"/>
      <c r="CF44" s="394"/>
      <c r="CG44" s="393" cm="1">
        <f t="array" ref="CG44">INDEX($CG$1:$CG44,$CD44)</f>
        <v>6</v>
      </c>
      <c r="CH44" s="280">
        <f>MATCH($CA44,Premises!$A$10:$F$10,0)</f>
        <v>4</v>
      </c>
      <c r="CI44" s="280">
        <f>IF(ISBLANK($E44),0,IFERROR(MATCH($E44,MHR[Bezeichnung],0),0))</f>
        <v>0</v>
      </c>
      <c r="CJ44" s="394">
        <f>IF(ISBLANK($AQ44),0,IFERROR(MATCH($AQ44,MAT[Bezeichnung],0),0))</f>
        <v>0</v>
      </c>
      <c r="CK44" s="280" cm="1">
        <f t="array" ref="CK44">INDEX($D$1:$D44,$CD44)</f>
        <v>1</v>
      </c>
      <c r="CL44" s="280"/>
      <c r="CM44" s="395"/>
      <c r="CN44" s="396" cm="1">
        <f t="array" ref="CN44">IF($CB44=0,0,IF($CB44=INDEX($CB$1:$CB44,$CD44),INDEX($CN$1:$CN44,$CD44),$CP44))</f>
        <v>0</v>
      </c>
      <c r="CO44" s="395"/>
      <c r="CP44" s="396" cm="1">
        <f t="array" ref="CP44">IF($CC44=0,0,INDEX($CP$1:$CP44,$CD44))</f>
        <v>0</v>
      </c>
      <c r="CQ44" s="397"/>
      <c r="CR44" s="398"/>
      <c r="CS44" s="398"/>
      <c r="CT44" s="1152"/>
      <c r="CU44" s="1149"/>
      <c r="CV44" s="647">
        <f>$J44*$CK44</f>
        <v>0</v>
      </c>
      <c r="CW44" s="648">
        <f>$R44*$CK44</f>
        <v>0</v>
      </c>
      <c r="CX44" s="648">
        <f>$V44*$CK44</f>
        <v>0</v>
      </c>
      <c r="CY44" s="648">
        <f>$AA44*$CK44</f>
        <v>0</v>
      </c>
      <c r="CZ44" s="648">
        <f>$AF44*$CK44</f>
        <v>0</v>
      </c>
      <c r="DA44" s="648">
        <f>$AL44*$CK44</f>
        <v>0</v>
      </c>
      <c r="DB44" s="648">
        <f>$AO44*$CK44</f>
        <v>0</v>
      </c>
      <c r="DC44" s="649">
        <f>$AP44*$CK44</f>
        <v>0</v>
      </c>
      <c r="DD44" s="648">
        <f>$AU44*$CK44</f>
        <v>0</v>
      </c>
      <c r="DE44" s="648">
        <f>$AX44*$CK44</f>
        <v>0</v>
      </c>
      <c r="DF44" s="648">
        <f>$AZ44*$CK44</f>
        <v>0</v>
      </c>
      <c r="DG44" s="649">
        <f>$BA44*$CK44</f>
        <v>0</v>
      </c>
      <c r="DH44" s="649">
        <f>$BB44*$CK44</f>
        <v>0</v>
      </c>
      <c r="DI44" s="648">
        <f>$BD44*$CK44</f>
        <v>0</v>
      </c>
      <c r="DJ44" s="648">
        <f>$BF44*$CK44</f>
        <v>0</v>
      </c>
      <c r="DK44" s="648">
        <f>$BH44*$CK44</f>
        <v>0</v>
      </c>
      <c r="DL44" s="648">
        <f>$BK44*$CK44</f>
        <v>0</v>
      </c>
      <c r="DM44" s="648">
        <f>$BM44*$CK44</f>
        <v>0</v>
      </c>
      <c r="DN44" s="648">
        <f>$BO44*$CK44</f>
        <v>0</v>
      </c>
      <c r="DO44" s="648">
        <f>$BR44*$CK44</f>
        <v>0</v>
      </c>
      <c r="DP44" s="651">
        <f>$CK44*($BB44+$BD44+$BF44+$BH44+$BK44+$BM44+$BO44+$BR44)</f>
        <v>0</v>
      </c>
      <c r="DQ44" s="951">
        <f>IF($CB44=0,0,$DP44*_xlfn.XLOOKUP($CB44,Premises!$A$10:$F$10,Premises!$A$30:$F$30)/100)</f>
        <v>0</v>
      </c>
      <c r="DR44" s="650">
        <f>IFERROR(SUM($DP44:$DQ44)*IF(INDEX(Premises!$A$42:$F$42,1,MATCH($CB44,Premises!$A$10:$F$10,0))&gt;0,INDEX(Premises!$A$42:$F$42,1,MATCH($CB44,Premises!$A$10:$F$10,0))%,$CN44),0)</f>
        <v>0</v>
      </c>
      <c r="DS44" s="650" cm="1">
        <f t="array" ref="DS44">IF($CB44=0,0,SUM($DP44:$DR44)*_xlfn.XLOOKUP($CB44,Premises!$A$10:$F$10,IF(INDEX(Settings[],MATCH(3001,Settings[ID],0),2)="B",Premises!$A$33:$F$33,Premises!$A$31:$F$31))/100)</f>
        <v>0</v>
      </c>
      <c r="DT44" s="650" cm="1">
        <f t="array" ref="DT44">IF($CB44=0,0,$DP44*_xlfn.XLOOKUP($CB44,Premises!$A$10:$F$10,IF(INDEX(Settings[],MATCH(3002,Settings[ID],0),2)="B",Premises!$A$36:$F$36,Premises!$A$34:$F$34))/100)</f>
        <v>0</v>
      </c>
      <c r="DU44" s="650">
        <f>IF($CB44=0,0,SUM($DP44:$DT44)*_xlfn.XLOOKUP($CB44,Premises!$A$10:$F$10,Premises!$A$37:$F$37)/100)</f>
        <v>0</v>
      </c>
      <c r="DV44" s="954">
        <f>SUM($DP44:$DU44)</f>
        <v>0</v>
      </c>
      <c r="DW44" s="951">
        <f>IF($CC44=0,0,$DV44*_xlfn.XLOOKUP($CC44,Premises!$A$10:$F$10,Premises!$A$30:$F$30)/100)</f>
        <v>0</v>
      </c>
      <c r="DX44" s="650">
        <f>IFERROR(SUM($DV44:$DW44)*IF(INDEX(Premises!$A$42:$F$42,1,MATCH($CC44,Premises!$A$10:$F$10,0))&gt;0,INDEX(Premises!$A$42:$F$42,1,MATCH($CC44,Premises!$A$10:$F$10,0))%,$CP44),0)</f>
        <v>0</v>
      </c>
      <c r="DY44" s="650" cm="1">
        <f t="array" ref="DY44">IF($CC44=0,0,SUM($DV44:$DX44)*_xlfn.XLOOKUP($CC44,Premises!$A$10:$F$10,IF(INDEX(Settings[],MATCH(3001,Settings[ID],0),2)="B",Premises!$A$33:$F$33,Premises!$A$31:$F$31))/100)</f>
        <v>0</v>
      </c>
      <c r="DZ44" s="650" cm="1">
        <f t="array" ref="DZ44">IF($CC44=0,0,$DV44*_xlfn.XLOOKUP($CC44,Premises!$A$10:$F$10,IF(INDEX(Settings[],MATCH(3002,Settings[ID],0),2)="B",Premises!$A$36:$F$36,Premises!$A$34:$F$34))/100)</f>
        <v>0</v>
      </c>
      <c r="EA44" s="650">
        <f>IF($CC44=0,0,SUM($DV44:$DZ44)*_xlfn.XLOOKUP($CC44,Premises!$A$10:$F$10,Premises!$A$37:$F$37)/100)</f>
        <v>0</v>
      </c>
      <c r="EB44" s="651">
        <f>SUM($DV44:$EA44)</f>
        <v>0</v>
      </c>
      <c r="EC44" s="805"/>
      <c r="ED44" s="1104"/>
      <c r="EE44" s="650"/>
      <c r="EF44" s="1110"/>
      <c r="EG44" s="1108"/>
      <c r="EH44" s="1108"/>
      <c r="EI44" s="1108"/>
      <c r="EJ44" s="1108"/>
      <c r="EK44" s="1108"/>
      <c r="EL44" s="1108"/>
      <c r="EM44" s="1110"/>
      <c r="EN44" s="1108"/>
      <c r="EO44" s="1108"/>
      <c r="EP44" s="1108"/>
      <c r="EQ44" s="1108"/>
      <c r="ER44" s="1110"/>
      <c r="ES44" s="1108"/>
      <c r="ET44" s="1108"/>
      <c r="EU44" s="1108"/>
      <c r="EV44" s="1108"/>
      <c r="EW44" s="1108"/>
      <c r="EX44" s="1111"/>
      <c r="EY44" s="2"/>
      <c r="EZ44" s="2"/>
      <c r="FA44" s="2"/>
      <c r="FB44" s="2"/>
      <c r="FC44" s="2"/>
      <c r="FD44" s="2"/>
      <c r="FE44" s="2"/>
      <c r="FF44" s="2"/>
      <c r="FG44" s="2"/>
      <c r="FH44" s="2"/>
      <c r="FI44" s="2"/>
      <c r="FJ44" s="420"/>
      <c r="FK44" s="421"/>
      <c r="FL44" s="422"/>
      <c r="FM44" s="1153"/>
    </row>
    <row r="45" spans="1:169" s="13" customFormat="1" ht="12.75" customHeight="1">
      <c r="A45" s="221"/>
      <c r="B45" s="402" t="s">
        <v>4334</v>
      </c>
      <c r="C45" s="403"/>
      <c r="D45" s="646"/>
      <c r="E45" s="404" t="s">
        <v>4328</v>
      </c>
      <c r="F45" s="405">
        <v>7.3476189999999999</v>
      </c>
      <c r="G45" s="405" t="s">
        <v>93</v>
      </c>
      <c r="H45" s="405">
        <v>1</v>
      </c>
      <c r="I45" s="637" cm="1">
        <f t="array" ref="I45">IF($CI45=0,0,IFERROR(INDEX(MHR[],$CI45,MATCH($CA45,MHR!$B$4:$AY$4,0)),0))</f>
        <v>8.8645982142857136</v>
      </c>
      <c r="J45" s="634">
        <f>IF(COUNTBLANK($E45:$H45),0,IFERROR($F45/$H45/IF($G45="s",3600,IF($G45="min",60,IF($G45="h",1,0)))*I45,0))</f>
        <v>1.8092691740736605E-2</v>
      </c>
      <c r="K45" s="406" t="s">
        <v>49</v>
      </c>
      <c r="L45" s="407">
        <v>10</v>
      </c>
      <c r="M45" s="871">
        <v>1</v>
      </c>
      <c r="N45" s="407"/>
      <c r="O45" s="405"/>
      <c r="P45" s="645" cm="1">
        <f t="array" ref="P45">IF($K45=0,0,IFERROR(ROUNDUP(IF(ISNUMBER($K45),$K45,INDEX($D$1:$D45,$CD45)*INDEX(Premises!$A$13:$F$13,1,$CH45)/IF(OR($K45="T",$K45="D"),250,IF($K45="W",50,IF($K45="M",12,IF(OR($K45="HJ",$K45="HY"),2,IF(OR($K45="J",$K45="Y"),1,0)))))),0),0))</f>
        <v>3334</v>
      </c>
      <c r="Q45" s="637" cm="1">
        <f t="array" ref="Q45">IF($K45=0,0,IFERROR(INDEX(Premises!$A$22:$F$22,1,$CH45)*100/INDEX(Premises!$A$16:$F$16,1,$CH45),0))</f>
        <v>16.925000000000001</v>
      </c>
      <c r="R45" s="634">
        <f>IF($P45=0,0,IFERROR(($L45/60*($I45+$Q45*$M45)+($N45/60*($Q45*$O45)))/$P45,0))</f>
        <v>1.2892220663010255E-3</v>
      </c>
      <c r="S45" s="408">
        <v>0.2</v>
      </c>
      <c r="T45" s="409" t="s">
        <v>275</v>
      </c>
      <c r="U45" s="637" cm="1">
        <f t="array" ref="U45">IF(COUNTBLANK($S45:$T45),0,
IF(AND(INDEX(MHR[Schichtmodell],$CI45)&lt;&gt;0,INDEX(MHR[Schichtmodell],$CI45)&lt;&gt;INDEX(Premises!$A$20:$F$20,1,$CH45)),ExchangeRate*
IF(OR($T45="M",$T45="U"),IF(INDEX(MHR[Schichtmodell],$CI45)=1,INDEX(LOC[M1S],INDEX(Premises!$A$18:$F$18,1,$CH45+1)),IF(INDEX(MHR[Schichtmodell],$CI45)=2,INDEX(LOC[M2S],INDEX(Premises!$A$18:$F$18,1,$CH45+1),IF(INDEX(MHR[Schichtmodell],$CI45)=3,INDEX(LOC[M3S],INDEX(Premises!$A$18:$F$18,1,$CH45+1)),0)))),
IF(INDEX(MHR[Schichtmodell],$CI45)=1,INDEX(LOC[F1S],INDEX(Premises!$A$18:$F$18,1,$CH45+1)),IF(INDEX(MHR[Schichtmodell],$CI45)=2,INDEX(LOC[F2S],INDEX(Premises!$A$18:$F$18,1,$CH45+1)),IF(INDEX(MHR[Schichtmodell],$CI45)=3,INDEX(LOC[F3S],INDEX(Premises!$A$18:$F$18,1,$CH45+1)),0)))),
IF(OR($T45="M",$T45="U"),INDEX(Premises!$A$21:$F$21,1,$CH45),
IF(OR($T45="F",$T45="S"),INDEX(Premises!$A$22:$F$22,1,$CH45),0)))*100/INDEX(Premises!$A$16:$F$16,1,$CH45))</f>
        <v>12.037500000000001</v>
      </c>
      <c r="V45" s="631">
        <f>IF($U45=0,0,IFERROR($F45/$H45/IF($G45="s",3600,IF($G45="min",60,IF($G45="h",1,0)))*$S45*$U45,0))</f>
        <v>4.9137202062500005E-3</v>
      </c>
      <c r="W45" s="410"/>
      <c r="X45" s="403"/>
      <c r="Y45" s="411"/>
      <c r="Z45" s="412"/>
      <c r="AA45" s="628">
        <f>IFERROR($X45*$Z45/$Y45/MAX(1,$H45),0)</f>
        <v>0</v>
      </c>
      <c r="AB45" s="410"/>
      <c r="AC45" s="403"/>
      <c r="AD45" s="411"/>
      <c r="AE45" s="413"/>
      <c r="AF45" s="628">
        <f>IFERROR($AC45*$AE45/$AD45,0)</f>
        <v>0</v>
      </c>
      <c r="AG45" s="629" cm="1">
        <f t="array" ref="AG45">IF(($J45+$V45+$AF45)=0,0,INDEX(Premises!$A$30:$F$30,1,$CH45)/100)</f>
        <v>0.01</v>
      </c>
      <c r="AH45" s="414"/>
      <c r="AI45" s="415"/>
      <c r="AJ45" s="416"/>
      <c r="AK45" s="630">
        <f>IF(COUNTBLANK($AH45:$AI45),0,$AH45*$AI45*$AG45)</f>
        <v>0</v>
      </c>
      <c r="AL45" s="631">
        <f>($AK45+$AJ45*$AG45*(1-$AH45)+($J45+$V45+$AF45)*$AG45*(1-$AH45))</f>
        <v>2.3006411946986606E-4</v>
      </c>
      <c r="AM45" s="632" cm="1">
        <f t="array" ref="AM45">IF($CI45=0,0,IFERROR(INDEX(MHR[],$CI45,MATCH($CA45,MHR!$B$4:$AY$4,0)+11),0))</f>
        <v>2.4753275148630598</v>
      </c>
      <c r="AN45" s="633" cm="1">
        <f t="array" ref="AN45">IF(($J45+$V45)=0,0,IFERROR(IF(INDEX(Premises!$A$41:$F$41,1,$CH45)&lt;&gt;0,INDEX(Premises!$A$41:$F$41,1,$CH45)/100,(IFERROR(($J45/$I45)*$AM45,0)/($V45+$J45+$R45+$AL45))),0))</f>
        <v>0.20599440206418404</v>
      </c>
      <c r="AO45" s="634">
        <f>IF(($J45+$V45)=0,0,IF(IFERROR(($J45+$R45+$V45+$AL45)*$AN45,0)&lt;&gt;IFERROR(($J45/$I45)*$AM45,0),($J45+$R45+$V45+$AL45)*$AN45,IFERROR(($J45/$I45)*$AM45,0)))</f>
        <v>5.0521565220640555E-3</v>
      </c>
      <c r="AP45" s="635">
        <f>$V45+$J45+$R45+$AA45+$AF45+$AL45+$AO45</f>
        <v>2.9577854654821552E-2</v>
      </c>
      <c r="AQ45" s="410"/>
      <c r="AR45" s="409"/>
      <c r="AS45" s="636" cm="1">
        <f t="array" ref="AS45">IF($CJ45=0,0,IFERROR(INDEX(MAT[Einheit],$CJ45,1),0))</f>
        <v>0</v>
      </c>
      <c r="AT45" s="637" cm="1">
        <f t="array" ref="AT45">IF($CJ45=0,0,IFERROR(INDEX(MAT[Preis],$CJ45,1),0))</f>
        <v>0</v>
      </c>
      <c r="AU45" s="638">
        <f>$AR45*$AT45</f>
        <v>0</v>
      </c>
      <c r="AV45" s="639" cm="1">
        <f t="array" ref="AV45">IF($AU45&lt;=0,0,INDEX(Premises!$A$30:$F$30,1,$CH45)/100)</f>
        <v>0</v>
      </c>
      <c r="AW45" s="409"/>
      <c r="AX45" s="631">
        <f>IF($AV45=0,0,($AU45+$AW45)*$AV45)</f>
        <v>0</v>
      </c>
      <c r="AY45" s="640" cm="1">
        <f t="array" ref="AY45">IF($AT45&lt;=0,0,IFERROR(IF(INDEX(Premises!$A$42:$F$42,1,$CH45)&lt;&gt;0,INDEX(Premises!$A$42:$F$42,1,$CH45)/100,(INDEX(MAT[],$CJ45,MATCH($CA45,MAT!$B$4:$AE$4,0))/($AR45*$CK45*INDEX(Premises!$A$13:$F$13,1,$CH45))+INDEX(MAT[],$CJ45,MATCH($CA45,MAT!$B$4:$AE$4,0)+7))/$AT45),0))</f>
        <v>0</v>
      </c>
      <c r="AZ45" s="631">
        <f>IF($AY45=0,0,($AU45+$AX45)*$AY45)</f>
        <v>0</v>
      </c>
      <c r="BA45" s="635">
        <f>$AU45+$AX45+$AZ45</f>
        <v>0</v>
      </c>
      <c r="BB45" s="635">
        <f>$AP45+$BA45</f>
        <v>2.9577854654821552E-2</v>
      </c>
      <c r="BC45" s="639" cm="1">
        <f t="array" ref="BC45">IF($BB45&lt;=0,0,IF(BC$2=-1,0,INDEX(Premises!$A$32:$F$32,1,$CH45)/100))</f>
        <v>0</v>
      </c>
      <c r="BD45" s="631">
        <f>IF($AP45&lt;=0,0,($AP45-$AA45-$AL45)*$BC45)</f>
        <v>0</v>
      </c>
      <c r="BE45" s="639" cm="1">
        <f t="array" ref="BE45">IF($BB45&lt;=0,0,IF(BE$2=-1,0,INDEX(Premises!$A$33:$F$33,1,$CH45)/100))</f>
        <v>0</v>
      </c>
      <c r="BF45" s="631">
        <f>IF($BA45&lt;=0,0,$BA45*$BE45)</f>
        <v>0</v>
      </c>
      <c r="BG45" s="639" cm="1">
        <f t="array" ref="BG45">IF($BB45&lt;=0,0,IF(BG$2=-1,0,INDEX(Premises!$A$31:$F$31,1,$CH45)/100))</f>
        <v>0.125</v>
      </c>
      <c r="BH45" s="631">
        <f>(($AP45-$AA45-$AL45)+$BA45)*$BG45</f>
        <v>3.6684738169189606E-3</v>
      </c>
      <c r="BI45" s="635">
        <f>$BB45+$BD45+$BF45+$BH45</f>
        <v>3.3246328471740513E-2</v>
      </c>
      <c r="BJ45" s="639" cm="1">
        <f t="array" ref="BJ45">IF($BB45&lt;=0,0,IF(BJ$2=-1,0,INDEX(Premises!$A$35:$F$35,1,$CH45)/100))</f>
        <v>0</v>
      </c>
      <c r="BK45" s="631">
        <f>IF($AP45&lt;=0,0,($AP45-$AL45-$AA45)*$BJ45)</f>
        <v>0</v>
      </c>
      <c r="BL45" s="639" cm="1">
        <f t="array" ref="BL45">IF($BB45&lt;=0,0,IF(BL$2=-1,0,INDEX(Premises!$A$36:$F$36,1,$CH45)/100))</f>
        <v>0</v>
      </c>
      <c r="BM45" s="631">
        <f>IF($AU45&lt;=0,0,($AR45*$AT45)*$BL45)</f>
        <v>0</v>
      </c>
      <c r="BN45" s="639" cm="1">
        <f t="array" ref="BN45">IF($BB45&lt;=0,0,IF(BN$2=-1,0,INDEX(Premises!$A$34:$F$34,1,$CH45)/100))</f>
        <v>0.06</v>
      </c>
      <c r="BO45" s="631">
        <f>(($AP45-$AL45-$AA45)+($AR45*$AT45))*$BN45</f>
        <v>1.760867432121101E-3</v>
      </c>
      <c r="BP45" s="639" cm="1">
        <f t="array" ref="BP45">IF($BI45=0,0,INDEX(Premises!$A$37:$F$37,1,$CH45)/100)</f>
        <v>0</v>
      </c>
      <c r="BQ45" s="409"/>
      <c r="BR45" s="631">
        <f>($BI45+$BK45+$BM45+$BO45)*$BP45+$BQ45</f>
        <v>0</v>
      </c>
      <c r="BS45" s="641">
        <f>BI45+BK45+BM45+BO45+BR45</f>
        <v>3.5007195903861615E-2</v>
      </c>
      <c r="BT45" s="641">
        <f>IF($BS45=0,0,$CK45*$BS45)</f>
        <v>3.5007195903861615E-2</v>
      </c>
      <c r="BU45" s="642">
        <f>IF($BT45=0,0,MAX(1,$EB45/$DP45))</f>
        <v>1</v>
      </c>
      <c r="BV45" s="1147"/>
      <c r="BW45" s="418"/>
      <c r="BX45" s="418"/>
      <c r="BY45" s="419"/>
      <c r="BZ45" s="968"/>
      <c r="CA45" s="280" cm="1">
        <f t="array" ref="CA45">IF($BZ45&gt;0,VALUE(LEFT($BZ45,IF(ISERROR(FIND("-",$BZ45)),LEN($BZ45),FIND("-",$BZ45)-1))),INDEX($CA$1:$CA45,MAX(1,$CD45)))</f>
        <v>1</v>
      </c>
      <c r="CB45" s="280" cm="1">
        <f t="array" ref="CB45">IF($BT45=0,0,IF(LEN($BZ45)-LEN(SUBSTITUTE($BZ45,"-",""))&gt;1,
VALUE(MID($BZ45,FIND("-",$BZ45)+1,FIND("-",$BZ45,FIND("-",$BZ45)+1)-FIND("-",$BZ45)-1)),IF($BZ45&gt;0,0,INDEX($CB$1:$CB45,MAX(1,$CD45)))))</f>
        <v>0</v>
      </c>
      <c r="CC45" s="280" cm="1">
        <f t="array" ref="CC45">IF($BT45=0,0,IF(NOT(ISERROR(FIND("-",BZ45))),
VALUE(RIGHT($BZ45,LEN($BZ45)-IF(LEN($BZ45)-LEN(SUBSTITUTE($BZ45,"-",""))=1,FIND("-",$BZ45),FIND("-",$BZ45,FIND("-",$BZ45)+1)))),
IF($BZ45&gt;0,0,INDEX($CC$1:$CC45,MAX(1,$CD45)))))</f>
        <v>0</v>
      </c>
      <c r="CD45" s="393">
        <f>MATCH(0,$CE$1:$CE45,-1)</f>
        <v>37</v>
      </c>
      <c r="CE45" s="280"/>
      <c r="CF45" s="394"/>
      <c r="CG45" s="393" cm="1">
        <f t="array" ref="CG45">INDEX($CG$1:$CG45,$CD45)</f>
        <v>6</v>
      </c>
      <c r="CH45" s="280">
        <f>MATCH($CA45,Premises!$A$10:$F$10,0)</f>
        <v>4</v>
      </c>
      <c r="CI45" s="280">
        <f>IF(ISBLANK($E45),0,IFERROR(MATCH($E45,MHR[Bezeichnung],0),0))</f>
        <v>3</v>
      </c>
      <c r="CJ45" s="394">
        <f>IF(ISBLANK($AQ45),0,IFERROR(MATCH($AQ45,MAT[Bezeichnung],0),0))</f>
        <v>0</v>
      </c>
      <c r="CK45" s="280" cm="1">
        <f t="array" ref="CK45">INDEX($D$1:$D45,$CD45)</f>
        <v>1</v>
      </c>
      <c r="CL45" s="280"/>
      <c r="CM45" s="395"/>
      <c r="CN45" s="396" cm="1">
        <f t="array" ref="CN45">IF($CB45=0,0,IF($CB45=INDEX($CB$1:$CB45,$CD45),INDEX($CN$1:$CN45,$CD45),$CP45))</f>
        <v>0</v>
      </c>
      <c r="CO45" s="395"/>
      <c r="CP45" s="396" cm="1">
        <f t="array" ref="CP45">IF($CC45=0,0,INDEX($CP$1:$CP45,$CD45))</f>
        <v>0</v>
      </c>
      <c r="CQ45" s="397"/>
      <c r="CR45" s="398"/>
      <c r="CS45" s="398"/>
      <c r="CT45" s="1152"/>
      <c r="CU45" s="1149"/>
      <c r="CV45" s="647">
        <f>$J45*$CK45</f>
        <v>1.8092691740736605E-2</v>
      </c>
      <c r="CW45" s="648">
        <f>$R45*$CK45</f>
        <v>1.2892220663010255E-3</v>
      </c>
      <c r="CX45" s="648">
        <f>$V45*$CK45</f>
        <v>4.9137202062500005E-3</v>
      </c>
      <c r="CY45" s="648">
        <f>$AA45*$CK45</f>
        <v>0</v>
      </c>
      <c r="CZ45" s="648">
        <f>$AF45*$CK45</f>
        <v>0</v>
      </c>
      <c r="DA45" s="648">
        <f>$AL45*$CK45</f>
        <v>2.3006411946986606E-4</v>
      </c>
      <c r="DB45" s="648">
        <f>$AO45*$CK45</f>
        <v>5.0521565220640555E-3</v>
      </c>
      <c r="DC45" s="649">
        <f>$AP45*$CK45</f>
        <v>2.9577854654821552E-2</v>
      </c>
      <c r="DD45" s="648">
        <f>$AU45*$CK45</f>
        <v>0</v>
      </c>
      <c r="DE45" s="648">
        <f>$AX45*$CK45</f>
        <v>0</v>
      </c>
      <c r="DF45" s="648">
        <f>$AZ45*$CK45</f>
        <v>0</v>
      </c>
      <c r="DG45" s="649">
        <f>$BA45*$CK45</f>
        <v>0</v>
      </c>
      <c r="DH45" s="649">
        <f>$BB45*$CK45</f>
        <v>2.9577854654821552E-2</v>
      </c>
      <c r="DI45" s="648">
        <f>$BD45*$CK45</f>
        <v>0</v>
      </c>
      <c r="DJ45" s="648">
        <f>$BF45*$CK45</f>
        <v>0</v>
      </c>
      <c r="DK45" s="648">
        <f>$BH45*$CK45</f>
        <v>3.6684738169189606E-3</v>
      </c>
      <c r="DL45" s="648">
        <f>$BK45*$CK45</f>
        <v>0</v>
      </c>
      <c r="DM45" s="648">
        <f>$BM45*$CK45</f>
        <v>0</v>
      </c>
      <c r="DN45" s="648">
        <f>$BO45*$CK45</f>
        <v>1.760867432121101E-3</v>
      </c>
      <c r="DO45" s="648">
        <f>$BR45*$CK45</f>
        <v>0</v>
      </c>
      <c r="DP45" s="651">
        <f>$CK45*($BB45+$BD45+$BF45+$BH45+$BK45+$BM45+$BO45+$BR45)</f>
        <v>3.5007195903861615E-2</v>
      </c>
      <c r="DQ45" s="951">
        <f>IF($CB45=0,0,$DP45*_xlfn.XLOOKUP($CB45,Premises!$A$10:$F$10,Premises!$A$30:$F$30)/100)</f>
        <v>0</v>
      </c>
      <c r="DR45" s="650">
        <f>IFERROR(SUM($DP45:$DQ45)*IF(INDEX(Premises!$A$42:$F$42,1,MATCH($CB45,Premises!$A$10:$F$10,0))&gt;0,INDEX(Premises!$A$42:$F$42,1,MATCH($CB45,Premises!$A$10:$F$10,0))%,$CN45),0)</f>
        <v>0</v>
      </c>
      <c r="DS45" s="650" cm="1">
        <f t="array" ref="DS45">IF($CB45=0,0,SUM($DP45:$DR45)*_xlfn.XLOOKUP($CB45,Premises!$A$10:$F$10,IF(INDEX(Settings[],MATCH(3001,Settings[ID],0),2)="B",Premises!$A$33:$F$33,Premises!$A$31:$F$31))/100)</f>
        <v>0</v>
      </c>
      <c r="DT45" s="650" cm="1">
        <f t="array" ref="DT45">IF($CB45=0,0,$DP45*_xlfn.XLOOKUP($CB45,Premises!$A$10:$F$10,IF(INDEX(Settings[],MATCH(3002,Settings[ID],0),2)="B",Premises!$A$36:$F$36,Premises!$A$34:$F$34))/100)</f>
        <v>0</v>
      </c>
      <c r="DU45" s="650">
        <f>IF($CB45=0,0,SUM($DP45:$DT45)*_xlfn.XLOOKUP($CB45,Premises!$A$10:$F$10,Premises!$A$37:$F$37)/100)</f>
        <v>0</v>
      </c>
      <c r="DV45" s="954">
        <f>SUM($DP45:$DU45)</f>
        <v>3.5007195903861615E-2</v>
      </c>
      <c r="DW45" s="951">
        <f>IF($CC45=0,0,$DV45*_xlfn.XLOOKUP($CC45,Premises!$A$10:$F$10,Premises!$A$30:$F$30)/100)</f>
        <v>0</v>
      </c>
      <c r="DX45" s="650">
        <f>IFERROR(SUM($DV45:$DW45)*IF(INDEX(Premises!$A$42:$F$42,1,MATCH($CC45,Premises!$A$10:$F$10,0))&gt;0,INDEX(Premises!$A$42:$F$42,1,MATCH($CC45,Premises!$A$10:$F$10,0))%,$CP45),0)</f>
        <v>0</v>
      </c>
      <c r="DY45" s="650" cm="1">
        <f t="array" ref="DY45">IF($CC45=0,0,SUM($DV45:$DX45)*_xlfn.XLOOKUP($CC45,Premises!$A$10:$F$10,IF(INDEX(Settings[],MATCH(3001,Settings[ID],0),2)="B",Premises!$A$33:$F$33,Premises!$A$31:$F$31))/100)</f>
        <v>0</v>
      </c>
      <c r="DZ45" s="650" cm="1">
        <f t="array" ref="DZ45">IF($CC45=0,0,$DV45*_xlfn.XLOOKUP($CC45,Premises!$A$10:$F$10,IF(INDEX(Settings[],MATCH(3002,Settings[ID],0),2)="B",Premises!$A$36:$F$36,Premises!$A$34:$F$34))/100)</f>
        <v>0</v>
      </c>
      <c r="EA45" s="650">
        <f>IF($CC45=0,0,SUM($DV45:$DZ45)*_xlfn.XLOOKUP($CC45,Premises!$A$10:$F$10,Premises!$A$37:$F$37)/100)</f>
        <v>0</v>
      </c>
      <c r="EB45" s="651">
        <f>SUM($DV45:$EA45)</f>
        <v>3.5007195903861615E-2</v>
      </c>
      <c r="EC45" s="805"/>
      <c r="ED45" s="1104"/>
      <c r="EE45" s="650"/>
      <c r="EF45" s="1110"/>
      <c r="EG45" s="1108"/>
      <c r="EH45" s="1108"/>
      <c r="EI45" s="1108"/>
      <c r="EJ45" s="1108"/>
      <c r="EK45" s="1108"/>
      <c r="EL45" s="1108"/>
      <c r="EM45" s="1110"/>
      <c r="EN45" s="1108"/>
      <c r="EO45" s="1108"/>
      <c r="EP45" s="1108"/>
      <c r="EQ45" s="1108"/>
      <c r="ER45" s="1110"/>
      <c r="ES45" s="1108"/>
      <c r="ET45" s="1108"/>
      <c r="EU45" s="1108"/>
      <c r="EV45" s="1108"/>
      <c r="EW45" s="1108"/>
      <c r="EX45" s="1111"/>
      <c r="EY45" s="2"/>
      <c r="EZ45" s="2"/>
      <c r="FA45" s="2"/>
      <c r="FB45" s="2"/>
      <c r="FC45" s="2"/>
      <c r="FD45" s="2"/>
      <c r="FE45" s="2"/>
      <c r="FF45" s="2"/>
      <c r="FG45" s="2"/>
      <c r="FH45" s="2"/>
      <c r="FI45" s="2"/>
      <c r="FJ45" s="420"/>
      <c r="FK45" s="421"/>
      <c r="FL45" s="422"/>
      <c r="FM45" s="1153"/>
    </row>
    <row r="46" spans="1:169" s="13" customFormat="1" ht="12.75" customHeight="1">
      <c r="A46" s="221"/>
      <c r="B46" s="402"/>
      <c r="C46" s="403"/>
      <c r="D46" s="646"/>
      <c r="E46" s="404"/>
      <c r="F46" s="405"/>
      <c r="G46" s="405"/>
      <c r="H46" s="405"/>
      <c r="I46" s="637" cm="1">
        <f t="array" ref="I46">IF($CI46=0,0,IFERROR(INDEX(MHR[],$CI46,MATCH($CA46,MHR!$B$4:$AY$4,0)),0))</f>
        <v>0</v>
      </c>
      <c r="J46" s="634">
        <f t="shared" si="96"/>
        <v>0</v>
      </c>
      <c r="K46" s="406"/>
      <c r="L46" s="407"/>
      <c r="M46" s="871"/>
      <c r="N46" s="407"/>
      <c r="O46" s="405"/>
      <c r="P46" s="645" cm="1">
        <f t="array" ref="P46">IF($K46=0,0,IFERROR(ROUNDUP(IF(ISNUMBER($K46),$K46,INDEX($D$1:$D46,$CD46)*INDEX(Premises!$A$13:$F$13,1,$CH46)/IF(OR($K46="T",$K46="D"),250,IF($K46="W",50,IF($K46="M",12,IF(OR($K46="HJ",$K46="HY"),2,IF(OR($K46="J",$K46="Y"),1,0)))))),0),0))</f>
        <v>0</v>
      </c>
      <c r="Q46" s="637" cm="1">
        <f t="array" ref="Q46">IF($K46=0,0,IFERROR(INDEX(Premises!$A$22:$F$22,1,$CH46)*100/INDEX(Premises!$A$16:$F$16,1,$CH46),0))</f>
        <v>0</v>
      </c>
      <c r="R46" s="634">
        <f t="shared" si="97"/>
        <v>0</v>
      </c>
      <c r="S46" s="408"/>
      <c r="T46" s="409"/>
      <c r="U46" s="637" cm="1">
        <f t="array" ref="U46">IF(COUNTBLANK($S46:$T46),0,
IF(AND(INDEX(MHR[Schichtmodell],$CI46)&lt;&gt;0,INDEX(MHR[Schichtmodell],$CI46)&lt;&gt;INDEX(Premises!$A$20:$F$20,1,$CH46)),ExchangeRate*
IF(OR($T46="M",$T46="U"),IF(INDEX(MHR[Schichtmodell],$CI46)=1,INDEX(LOC[M1S],INDEX(Premises!$A$18:$F$18,1,$CH46+1)),IF(INDEX(MHR[Schichtmodell],$CI46)=2,INDEX(LOC[M2S],INDEX(Premises!$A$18:$F$18,1,$CH46+1),IF(INDEX(MHR[Schichtmodell],$CI46)=3,INDEX(LOC[M3S],INDEX(Premises!$A$18:$F$18,1,$CH46+1)),0)))),
IF(INDEX(MHR[Schichtmodell],$CI46)=1,INDEX(LOC[F1S],INDEX(Premises!$A$18:$F$18,1,$CH46+1)),IF(INDEX(MHR[Schichtmodell],$CI46)=2,INDEX(LOC[F2S],INDEX(Premises!$A$18:$F$18,1,$CH46+1)),IF(INDEX(MHR[Schichtmodell],$CI46)=3,INDEX(LOC[F3S],INDEX(Premises!$A$18:$F$18,1,$CH46+1)),0)))),
IF(OR($T46="M",$T46="U"),INDEX(Premises!$A$21:$F$21,1,$CH46),
IF(OR($T46="F",$T46="S"),INDEX(Premises!$A$22:$F$22,1,$CH46),0)))*100/INDEX(Premises!$A$16:$F$16,1,$CH46))</f>
        <v>0</v>
      </c>
      <c r="V46" s="631">
        <f t="shared" si="98"/>
        <v>0</v>
      </c>
      <c r="W46" s="410"/>
      <c r="X46" s="403"/>
      <c r="Y46" s="411"/>
      <c r="Z46" s="412"/>
      <c r="AA46" s="628">
        <f t="shared" si="99"/>
        <v>0</v>
      </c>
      <c r="AB46" s="410"/>
      <c r="AC46" s="403"/>
      <c r="AD46" s="411"/>
      <c r="AE46" s="413"/>
      <c r="AF46" s="628">
        <f t="shared" si="100"/>
        <v>0</v>
      </c>
      <c r="AG46" s="629" cm="1">
        <f t="array" ref="AG46">IF(($J46+$V46+$AF46)=0,0,INDEX(Premises!$A$30:$F$30,1,$CH46)/100)</f>
        <v>0</v>
      </c>
      <c r="AH46" s="414"/>
      <c r="AI46" s="415"/>
      <c r="AJ46" s="416"/>
      <c r="AK46" s="630">
        <f t="shared" si="101"/>
        <v>0</v>
      </c>
      <c r="AL46" s="631">
        <f t="shared" si="102"/>
        <v>0</v>
      </c>
      <c r="AM46" s="632" cm="1">
        <f t="array" ref="AM46">IF($CI46=0,0,IFERROR(INDEX(MHR[],$CI46,MATCH($CA46,MHR!$B$4:$AY$4,0)+11),0))</f>
        <v>0</v>
      </c>
      <c r="AN46" s="633" cm="1">
        <f t="array" ref="AN46">IF(($J46+$V46)=0,0,IFERROR(IF(INDEX(Premises!$A$41:$F$41,1,$CH46)&lt;&gt;0,INDEX(Premises!$A$41:$F$41,1,$CH46)/100,(IFERROR(($J46/$I46)*$AM46,0)/($V46+$J46+$R46+$AL46))),0))</f>
        <v>0</v>
      </c>
      <c r="AO46" s="634">
        <f t="shared" si="103"/>
        <v>0</v>
      </c>
      <c r="AP46" s="635">
        <f t="shared" si="104"/>
        <v>0</v>
      </c>
      <c r="AQ46" s="410"/>
      <c r="AR46" s="409"/>
      <c r="AS46" s="636" cm="1">
        <f t="array" ref="AS46">IF($CJ46=0,0,IFERROR(INDEX(MAT[Einheit],$CJ46,1),0))</f>
        <v>0</v>
      </c>
      <c r="AT46" s="637" cm="1">
        <f t="array" ref="AT46">IF($CJ46=0,0,IFERROR(INDEX(MAT[Preis],$CJ46,1),0))</f>
        <v>0</v>
      </c>
      <c r="AU46" s="638">
        <f t="shared" si="105"/>
        <v>0</v>
      </c>
      <c r="AV46" s="639" cm="1">
        <f t="array" ref="AV46">IF($AU46&lt;=0,0,INDEX(Premises!$A$30:$F$30,1,$CH46)/100)</f>
        <v>0</v>
      </c>
      <c r="AW46" s="409"/>
      <c r="AX46" s="631">
        <f t="shared" si="106"/>
        <v>0</v>
      </c>
      <c r="AY46" s="640" cm="1">
        <f t="array" ref="AY46">IF($AT46&lt;=0,0,IFERROR(IF(INDEX(Premises!$A$42:$F$42,1,$CH46)&lt;&gt;0,INDEX(Premises!$A$42:$F$42,1,$CH46)/100,(INDEX(MAT[],$CJ46,MATCH($CA46,MAT!$B$4:$AE$4,0))/($AR46*$CK46*INDEX(Premises!$A$13:$F$13,1,$CH46))+INDEX(MAT[],$CJ46,MATCH($CA46,MAT!$B$4:$AE$4,0)+7))/$AT46),0))</f>
        <v>0</v>
      </c>
      <c r="AZ46" s="631">
        <f t="shared" si="107"/>
        <v>0</v>
      </c>
      <c r="BA46" s="635">
        <f t="shared" si="108"/>
        <v>0</v>
      </c>
      <c r="BB46" s="635">
        <f t="shared" si="109"/>
        <v>0</v>
      </c>
      <c r="BC46" s="639" cm="1">
        <f t="array" ref="BC46">IF($BB46&lt;=0,0,IF(BC$2=-1,0,INDEX(Premises!$A$32:$F$32,1,$CH46)/100))</f>
        <v>0</v>
      </c>
      <c r="BD46" s="631">
        <f t="shared" si="110"/>
        <v>0</v>
      </c>
      <c r="BE46" s="639" cm="1">
        <f t="array" ref="BE46">IF($BB46&lt;=0,0,IF(BE$2=-1,0,INDEX(Premises!$A$33:$F$33,1,$CH46)/100))</f>
        <v>0</v>
      </c>
      <c r="BF46" s="631">
        <f t="shared" si="111"/>
        <v>0</v>
      </c>
      <c r="BG46" s="639" cm="1">
        <f t="array" ref="BG46">IF($BB46&lt;=0,0,IF(BG$2=-1,0,INDEX(Premises!$A$31:$F$31,1,$CH46)/100))</f>
        <v>0</v>
      </c>
      <c r="BH46" s="631">
        <f t="shared" si="112"/>
        <v>0</v>
      </c>
      <c r="BI46" s="635">
        <f t="shared" si="113"/>
        <v>0</v>
      </c>
      <c r="BJ46" s="639" cm="1">
        <f t="array" ref="BJ46">IF($BB46&lt;=0,0,IF(BJ$2=-1,0,INDEX(Premises!$A$35:$F$35,1,$CH46)/100))</f>
        <v>0</v>
      </c>
      <c r="BK46" s="631">
        <f t="shared" si="114"/>
        <v>0</v>
      </c>
      <c r="BL46" s="639" cm="1">
        <f t="array" ref="BL46">IF($BB46&lt;=0,0,IF(BL$2=-1,0,INDEX(Premises!$A$36:$F$36,1,$CH46)/100))</f>
        <v>0</v>
      </c>
      <c r="BM46" s="631">
        <f t="shared" si="115"/>
        <v>0</v>
      </c>
      <c r="BN46" s="639" cm="1">
        <f t="array" ref="BN46">IF($BB46&lt;=0,0,IF(BN$2=-1,0,INDEX(Premises!$A$34:$F$34,1,$CH46)/100))</f>
        <v>0</v>
      </c>
      <c r="BO46" s="631">
        <f t="shared" si="116"/>
        <v>0</v>
      </c>
      <c r="BP46" s="639" cm="1">
        <f t="array" ref="BP46">IF($BI46=0,0,INDEX(Premises!$A$37:$F$37,1,$CH46)/100)</f>
        <v>0</v>
      </c>
      <c r="BQ46" s="409"/>
      <c r="BR46" s="631">
        <f t="shared" si="117"/>
        <v>0</v>
      </c>
      <c r="BS46" s="641">
        <f t="shared" si="118"/>
        <v>0</v>
      </c>
      <c r="BT46" s="641">
        <f t="shared" si="119"/>
        <v>0</v>
      </c>
      <c r="BU46" s="642">
        <f t="shared" si="120"/>
        <v>0</v>
      </c>
      <c r="BV46" s="1147"/>
      <c r="BW46" s="418"/>
      <c r="BX46" s="418"/>
      <c r="BY46" s="419"/>
      <c r="BZ46" s="968"/>
      <c r="CA46" s="280" cm="1">
        <f t="array" ref="CA46">IF($BZ46&gt;0,VALUE(LEFT($BZ46,IF(ISERROR(FIND("-",$BZ46)),LEN($BZ46),FIND("-",$BZ46)-1))),INDEX($CA$1:$CA46,MAX(1,$CD46)))</f>
        <v>1</v>
      </c>
      <c r="CB46" s="280" cm="1">
        <f t="array" ref="CB46">IF($BT46=0,0,IF(LEN($BZ46)-LEN(SUBSTITUTE($BZ46,"-",""))&gt;1,
VALUE(MID($BZ46,FIND("-",$BZ46)+1,FIND("-",$BZ46,FIND("-",$BZ46)+1)-FIND("-",$BZ46)-1)),IF($BZ46&gt;0,0,INDEX($CB$1:$CB46,MAX(1,$CD46)))))</f>
        <v>0</v>
      </c>
      <c r="CC46" s="280" cm="1">
        <f t="array" ref="CC46">IF($BT46=0,0,IF(NOT(ISERROR(FIND("-",BZ46))),
VALUE(RIGHT($BZ46,LEN($BZ46)-IF(LEN($BZ46)-LEN(SUBSTITUTE($BZ46,"-",""))=1,FIND("-",$BZ46),FIND("-",$BZ46,FIND("-",$BZ46)+1)))),
IF($BZ46&gt;0,0,INDEX($CC$1:$CC46,MAX(1,$CD46)))))</f>
        <v>0</v>
      </c>
      <c r="CD46" s="393">
        <f>MATCH(0,$CE$1:$CE46,-1)</f>
        <v>37</v>
      </c>
      <c r="CE46" s="280"/>
      <c r="CF46" s="394"/>
      <c r="CG46" s="393" cm="1">
        <f t="array" ref="CG46">INDEX($CG$1:$CG46,$CD46)</f>
        <v>6</v>
      </c>
      <c r="CH46" s="280">
        <f>MATCH($CA46,Premises!$A$10:$F$10,0)</f>
        <v>4</v>
      </c>
      <c r="CI46" s="280">
        <f>IF(ISBLANK($E46),0,IFERROR(MATCH($E46,MHR[Bezeichnung],0),0))</f>
        <v>0</v>
      </c>
      <c r="CJ46" s="394">
        <f>IF(ISBLANK($AQ46),0,IFERROR(MATCH($AQ46,MAT[Bezeichnung],0),0))</f>
        <v>0</v>
      </c>
      <c r="CK46" s="280" cm="1">
        <f t="array" ref="CK46">INDEX($D$1:$D46,$CD46)</f>
        <v>1</v>
      </c>
      <c r="CL46" s="280"/>
      <c r="CM46" s="395"/>
      <c r="CN46" s="396" cm="1">
        <f t="array" ref="CN46">IF($CB46=0,0,IF($CB46=INDEX($CB$1:$CB46,$CD46),INDEX($CN$1:$CN46,$CD46),$CP46))</f>
        <v>0</v>
      </c>
      <c r="CO46" s="395"/>
      <c r="CP46" s="396" cm="1">
        <f t="array" ref="CP46">IF($CC46=0,0,INDEX($CP$1:$CP46,$CD46))</f>
        <v>0</v>
      </c>
      <c r="CQ46" s="397"/>
      <c r="CR46" s="398"/>
      <c r="CS46" s="398"/>
      <c r="CT46" s="1152"/>
      <c r="CU46" s="1149"/>
      <c r="CV46" s="647">
        <f t="shared" si="121"/>
        <v>0</v>
      </c>
      <c r="CW46" s="648">
        <f t="shared" si="122"/>
        <v>0</v>
      </c>
      <c r="CX46" s="648">
        <f t="shared" si="123"/>
        <v>0</v>
      </c>
      <c r="CY46" s="648">
        <f t="shared" si="124"/>
        <v>0</v>
      </c>
      <c r="CZ46" s="648">
        <f t="shared" si="125"/>
        <v>0</v>
      </c>
      <c r="DA46" s="648">
        <f t="shared" si="126"/>
        <v>0</v>
      </c>
      <c r="DB46" s="648">
        <f t="shared" si="127"/>
        <v>0</v>
      </c>
      <c r="DC46" s="649">
        <f t="shared" si="128"/>
        <v>0</v>
      </c>
      <c r="DD46" s="648">
        <f t="shared" si="129"/>
        <v>0</v>
      </c>
      <c r="DE46" s="648">
        <f t="shared" si="130"/>
        <v>0</v>
      </c>
      <c r="DF46" s="648">
        <f t="shared" si="131"/>
        <v>0</v>
      </c>
      <c r="DG46" s="649">
        <f t="shared" si="132"/>
        <v>0</v>
      </c>
      <c r="DH46" s="649">
        <f t="shared" si="133"/>
        <v>0</v>
      </c>
      <c r="DI46" s="648">
        <f t="shared" si="134"/>
        <v>0</v>
      </c>
      <c r="DJ46" s="648">
        <f t="shared" si="135"/>
        <v>0</v>
      </c>
      <c r="DK46" s="648">
        <f t="shared" si="136"/>
        <v>0</v>
      </c>
      <c r="DL46" s="648">
        <f t="shared" si="137"/>
        <v>0</v>
      </c>
      <c r="DM46" s="648">
        <f t="shared" si="138"/>
        <v>0</v>
      </c>
      <c r="DN46" s="648">
        <f t="shared" si="139"/>
        <v>0</v>
      </c>
      <c r="DO46" s="648">
        <f t="shared" si="140"/>
        <v>0</v>
      </c>
      <c r="DP46" s="651">
        <f t="shared" si="141"/>
        <v>0</v>
      </c>
      <c r="DQ46" s="951">
        <f>IF($CB46=0,0,$DP46*_xlfn.XLOOKUP($CB46,Premises!$A$10:$F$10,Premises!$A$30:$F$30)/100)</f>
        <v>0</v>
      </c>
      <c r="DR46" s="650">
        <f>IFERROR(SUM($DP46:$DQ46)*IF(INDEX(Premises!$A$42:$F$42,1,MATCH($CB46,Premises!$A$10:$F$10,0))&gt;0,INDEX(Premises!$A$42:$F$42,1,MATCH($CB46,Premises!$A$10:$F$10,0))%,$CN46),0)</f>
        <v>0</v>
      </c>
      <c r="DS46" s="650" cm="1">
        <f t="array" ref="DS46">IF($CB46=0,0,SUM($DP46:$DR46)*_xlfn.XLOOKUP($CB46,Premises!$A$10:$F$10,IF(INDEX(Settings[],MATCH(3001,Settings[ID],0),2)="B",Premises!$A$33:$F$33,Premises!$A$31:$F$31))/100)</f>
        <v>0</v>
      </c>
      <c r="DT46" s="650" cm="1">
        <f t="array" ref="DT46">IF($CB46=0,0,$DP46*_xlfn.XLOOKUP($CB46,Premises!$A$10:$F$10,IF(INDEX(Settings[],MATCH(3002,Settings[ID],0),2)="B",Premises!$A$36:$F$36,Premises!$A$34:$F$34))/100)</f>
        <v>0</v>
      </c>
      <c r="DU46" s="650">
        <f>IF($CB46=0,0,SUM($DP46:$DT46)*_xlfn.XLOOKUP($CB46,Premises!$A$10:$F$10,Premises!$A$37:$F$37)/100)</f>
        <v>0</v>
      </c>
      <c r="DV46" s="954">
        <f t="shared" si="142"/>
        <v>0</v>
      </c>
      <c r="DW46" s="951">
        <f>IF($CC46=0,0,$DV46*_xlfn.XLOOKUP($CC46,Premises!$A$10:$F$10,Premises!$A$30:$F$30)/100)</f>
        <v>0</v>
      </c>
      <c r="DX46" s="650">
        <f>IFERROR(SUM($DV46:$DW46)*IF(INDEX(Premises!$A$42:$F$42,1,MATCH($CC46,Premises!$A$10:$F$10,0))&gt;0,INDEX(Premises!$A$42:$F$42,1,MATCH($CC46,Premises!$A$10:$F$10,0))%,$CP46),0)</f>
        <v>0</v>
      </c>
      <c r="DY46" s="650" cm="1">
        <f t="array" ref="DY46">IF($CC46=0,0,SUM($DV46:$DX46)*_xlfn.XLOOKUP($CC46,Premises!$A$10:$F$10,IF(INDEX(Settings[],MATCH(3001,Settings[ID],0),2)="B",Premises!$A$33:$F$33,Premises!$A$31:$F$31))/100)</f>
        <v>0</v>
      </c>
      <c r="DZ46" s="650" cm="1">
        <f t="array" ref="DZ46">IF($CC46=0,0,$DV46*_xlfn.XLOOKUP($CC46,Premises!$A$10:$F$10,IF(INDEX(Settings[],MATCH(3002,Settings[ID],0),2)="B",Premises!$A$36:$F$36,Premises!$A$34:$F$34))/100)</f>
        <v>0</v>
      </c>
      <c r="EA46" s="650">
        <f>IF($CC46=0,0,SUM($DV46:$DZ46)*_xlfn.XLOOKUP($CC46,Premises!$A$10:$F$10,Premises!$A$37:$F$37)/100)</f>
        <v>0</v>
      </c>
      <c r="EB46" s="651">
        <f t="shared" si="143"/>
        <v>0</v>
      </c>
      <c r="EC46" s="805"/>
      <c r="ED46" s="1104"/>
      <c r="EE46" s="650"/>
      <c r="EF46" s="1110"/>
      <c r="EG46" s="1108"/>
      <c r="EH46" s="1108"/>
      <c r="EI46" s="1108"/>
      <c r="EJ46" s="1108"/>
      <c r="EK46" s="1108"/>
      <c r="EL46" s="1108"/>
      <c r="EM46" s="1110"/>
      <c r="EN46" s="1108"/>
      <c r="EO46" s="1108"/>
      <c r="EP46" s="1108"/>
      <c r="EQ46" s="1108"/>
      <c r="ER46" s="1110"/>
      <c r="ES46" s="1108"/>
      <c r="ET46" s="1108"/>
      <c r="EU46" s="1108"/>
      <c r="EV46" s="1108"/>
      <c r="EW46" s="1108"/>
      <c r="EX46" s="1111"/>
      <c r="EY46" s="2"/>
      <c r="EZ46" s="2"/>
      <c r="FA46" s="2"/>
      <c r="FB46" s="2"/>
      <c r="FC46" s="2"/>
      <c r="FD46" s="2"/>
      <c r="FE46" s="2"/>
      <c r="FF46" s="2"/>
      <c r="FG46" s="2"/>
      <c r="FH46" s="2"/>
      <c r="FI46" s="2"/>
      <c r="FJ46" s="420"/>
      <c r="FK46" s="421"/>
      <c r="FL46" s="422"/>
      <c r="FM46" s="1153"/>
    </row>
    <row r="47" spans="1:169" s="13" customFormat="1" ht="12.75" customHeight="1">
      <c r="A47" s="221"/>
      <c r="B47" s="1329" t="s">
        <v>4324</v>
      </c>
      <c r="C47" s="403"/>
      <c r="D47" s="646"/>
      <c r="E47" s="404" t="s">
        <v>4325</v>
      </c>
      <c r="F47" s="405">
        <v>27.8</v>
      </c>
      <c r="G47" s="405" t="s">
        <v>93</v>
      </c>
      <c r="H47" s="405">
        <v>1</v>
      </c>
      <c r="I47" s="637" cm="1">
        <f t="array" ref="I47">IF($CI47=0,0,IFERROR(INDEX(MHR[],$CI47,MATCH($CA47,MHR!$B$4:$AY$4,0)),0))</f>
        <v>4.9595213293650797</v>
      </c>
      <c r="J47" s="634">
        <f t="shared" si="96"/>
        <v>3.8298525821208115E-2</v>
      </c>
      <c r="K47" s="406" t="s">
        <v>49</v>
      </c>
      <c r="L47" s="407">
        <v>15</v>
      </c>
      <c r="M47" s="871">
        <v>1</v>
      </c>
      <c r="N47" s="407"/>
      <c r="O47" s="405"/>
      <c r="P47" s="645" cm="1">
        <f t="array" ref="P47">IF($K47=0,0,IFERROR(ROUNDUP(IF(ISNUMBER($K47),$K47,INDEX($D$1:$D47,$CD47)*INDEX(Premises!$A$13:$F$13,1,$CH47)/IF(OR($K47="T",$K47="D"),250,IF($K47="W",50,IF($K47="M",12,IF(OR($K47="HJ",$K47="HY"),2,IF(OR($K47="J",$K47="Y"),1,0)))))),0),0))</f>
        <v>3334</v>
      </c>
      <c r="Q47" s="637" cm="1">
        <f t="array" ref="Q47">IF($K47=0,0,IFERROR(INDEX(Premises!$A$22:$F$22,1,$CH47)*100/INDEX(Premises!$A$16:$F$16,1,$CH47),0))</f>
        <v>16.925000000000001</v>
      </c>
      <c r="R47" s="634">
        <f t="shared" si="97"/>
        <v>1.6410108975228764E-3</v>
      </c>
      <c r="S47" s="408">
        <v>0.5</v>
      </c>
      <c r="T47" s="409" t="s">
        <v>275</v>
      </c>
      <c r="U47" s="637" cm="1">
        <f t="array" ref="U47">IF(COUNTBLANK($S47:$T47),0,
IF(AND(INDEX(MHR[Schichtmodell],$CI47)&lt;&gt;0,INDEX(MHR[Schichtmodell],$CI47)&lt;&gt;INDEX(Premises!$A$20:$F$20,1,$CH47)),ExchangeRate*
IF(OR($T47="M",$T47="U"),IF(INDEX(MHR[Schichtmodell],$CI47)=1,INDEX(LOC[M1S],INDEX(Premises!$A$18:$F$18,1,$CH47+1)),IF(INDEX(MHR[Schichtmodell],$CI47)=2,INDEX(LOC[M2S],INDEX(Premises!$A$18:$F$18,1,$CH47+1),IF(INDEX(MHR[Schichtmodell],$CI47)=3,INDEX(LOC[M3S],INDEX(Premises!$A$18:$F$18,1,$CH47+1)),0)))),
IF(INDEX(MHR[Schichtmodell],$CI47)=1,INDEX(LOC[F1S],INDEX(Premises!$A$18:$F$18,1,$CH47+1)),IF(INDEX(MHR[Schichtmodell],$CI47)=2,INDEX(LOC[F2S],INDEX(Premises!$A$18:$F$18,1,$CH47+1)),IF(INDEX(MHR[Schichtmodell],$CI47)=3,INDEX(LOC[F3S],INDEX(Premises!$A$18:$F$18,1,$CH47+1)),0)))),
IF(OR($T47="M",$T47="U"),INDEX(Premises!$A$21:$F$21,1,$CH47),
IF(OR($T47="F",$T47="S"),INDEX(Premises!$A$22:$F$22,1,$CH47),0)))*100/INDEX(Premises!$A$16:$F$16,1,$CH47))</f>
        <v>12.037500000000001</v>
      </c>
      <c r="V47" s="631">
        <f t="shared" si="98"/>
        <v>4.6478125000000009E-2</v>
      </c>
      <c r="W47" s="410"/>
      <c r="X47" s="403"/>
      <c r="Y47" s="411"/>
      <c r="Z47" s="412"/>
      <c r="AA47" s="628">
        <f t="shared" si="99"/>
        <v>0</v>
      </c>
      <c r="AB47" s="410"/>
      <c r="AC47" s="403"/>
      <c r="AD47" s="411"/>
      <c r="AE47" s="413"/>
      <c r="AF47" s="628">
        <f t="shared" si="100"/>
        <v>0</v>
      </c>
      <c r="AG47" s="629" cm="1">
        <f t="array" ref="AG47">IF(($J47+$V47+$AF47)=0,0,INDEX(Premises!$A$30:$F$30,1,$CH47)/100)</f>
        <v>0.01</v>
      </c>
      <c r="AH47" s="414"/>
      <c r="AI47" s="415"/>
      <c r="AJ47" s="416"/>
      <c r="AK47" s="630">
        <f t="shared" si="101"/>
        <v>0</v>
      </c>
      <c r="AL47" s="631">
        <f t="shared" si="102"/>
        <v>8.4776650821208127E-4</v>
      </c>
      <c r="AM47" s="632" cm="1">
        <f t="array" ref="AM47">IF($CI47=0,0,IFERROR(INDEX(MHR[],$CI47,MATCH($CA47,MHR!$B$4:$AY$4,0)+11),0))</f>
        <v>1.6554212648630602</v>
      </c>
      <c r="AN47" s="633" cm="1">
        <f t="array" ref="AN47">IF(($J47+$V47)=0,0,IFERROR(IF(INDEX(Premises!$A$41:$F$41,1,$CH47)&lt;&gt;0,INDEX(Premises!$A$41:$F$41,1,$CH47)/100,(IFERROR(($J47/$I47)*$AM47,0)/($V47+$J47+$R47+$AL47))),0))</f>
        <v>0.14649020967868059</v>
      </c>
      <c r="AO47" s="634">
        <f t="shared" si="103"/>
        <v>1.2783530878664743E-2</v>
      </c>
      <c r="AP47" s="635">
        <f t="shared" si="104"/>
        <v>0.10004895910560782</v>
      </c>
      <c r="AQ47" s="410"/>
      <c r="AR47" s="409"/>
      <c r="AS47" s="636" cm="1">
        <f t="array" ref="AS47">IF($CJ47=0,0,IFERROR(INDEX(MAT[Einheit],$CJ47,1),0))</f>
        <v>0</v>
      </c>
      <c r="AT47" s="637" cm="1">
        <f t="array" ref="AT47">IF($CJ47=0,0,IFERROR(INDEX(MAT[Preis],$CJ47,1),0))</f>
        <v>0</v>
      </c>
      <c r="AU47" s="638">
        <f t="shared" si="105"/>
        <v>0</v>
      </c>
      <c r="AV47" s="639" cm="1">
        <f t="array" ref="AV47">IF($AU47&lt;=0,0,INDEX(Premises!$A$30:$F$30,1,$CH47)/100)</f>
        <v>0</v>
      </c>
      <c r="AW47" s="409"/>
      <c r="AX47" s="631">
        <f t="shared" si="106"/>
        <v>0</v>
      </c>
      <c r="AY47" s="640" cm="1">
        <f t="array" ref="AY47">IF($AT47&lt;=0,0,IFERROR(IF(INDEX(Premises!$A$42:$F$42,1,$CH47)&lt;&gt;0,INDEX(Premises!$A$42:$F$42,1,$CH47)/100,(INDEX(MAT[],$CJ47,MATCH($CA47,MAT!$B$4:$AE$4,0))/($AR47*$CK47*INDEX(Premises!$A$13:$F$13,1,$CH47))+INDEX(MAT[],$CJ47,MATCH($CA47,MAT!$B$4:$AE$4,0)+7))/$AT47),0))</f>
        <v>0</v>
      </c>
      <c r="AZ47" s="631">
        <f t="shared" si="107"/>
        <v>0</v>
      </c>
      <c r="BA47" s="635">
        <f t="shared" si="108"/>
        <v>0</v>
      </c>
      <c r="BB47" s="635">
        <f t="shared" si="109"/>
        <v>0.10004895910560782</v>
      </c>
      <c r="BC47" s="639" cm="1">
        <f t="array" ref="BC47">IF($BB47&lt;=0,0,IF(BC$2=-1,0,INDEX(Premises!$A$32:$F$32,1,$CH47)/100))</f>
        <v>0</v>
      </c>
      <c r="BD47" s="631">
        <f t="shared" si="110"/>
        <v>0</v>
      </c>
      <c r="BE47" s="639" cm="1">
        <f t="array" ref="BE47">IF($BB47&lt;=0,0,IF(BE$2=-1,0,INDEX(Premises!$A$33:$F$33,1,$CH47)/100))</f>
        <v>0</v>
      </c>
      <c r="BF47" s="631">
        <f t="shared" si="111"/>
        <v>0</v>
      </c>
      <c r="BG47" s="639" cm="1">
        <f t="array" ref="BG47">IF($BB47&lt;=0,0,IF(BG$2=-1,0,INDEX(Premises!$A$31:$F$31,1,$CH47)/100))</f>
        <v>0.125</v>
      </c>
      <c r="BH47" s="631">
        <f t="shared" si="112"/>
        <v>1.2400149074674467E-2</v>
      </c>
      <c r="BI47" s="635">
        <f t="shared" si="113"/>
        <v>0.11244910818028228</v>
      </c>
      <c r="BJ47" s="639" cm="1">
        <f t="array" ref="BJ47">IF($BB47&lt;=0,0,IF(BJ$2=-1,0,INDEX(Premises!$A$35:$F$35,1,$CH47)/100))</f>
        <v>0</v>
      </c>
      <c r="BK47" s="631">
        <f t="shared" si="114"/>
        <v>0</v>
      </c>
      <c r="BL47" s="639" cm="1">
        <f t="array" ref="BL47">IF($BB47&lt;=0,0,IF(BL$2=-1,0,INDEX(Premises!$A$36:$F$36,1,$CH47)/100))</f>
        <v>0</v>
      </c>
      <c r="BM47" s="631">
        <f t="shared" si="115"/>
        <v>0</v>
      </c>
      <c r="BN47" s="639" cm="1">
        <f t="array" ref="BN47">IF($BB47&lt;=0,0,IF(BN$2=-1,0,INDEX(Premises!$A$34:$F$34,1,$CH47)/100))</f>
        <v>0.06</v>
      </c>
      <c r="BO47" s="631">
        <f t="shared" si="116"/>
        <v>5.952071555843744E-3</v>
      </c>
      <c r="BP47" s="639" cm="1">
        <f t="array" ref="BP47">IF($BI47=0,0,INDEX(Premises!$A$37:$F$37,1,$CH47)/100)</f>
        <v>0</v>
      </c>
      <c r="BQ47" s="409"/>
      <c r="BR47" s="631">
        <f t="shared" si="117"/>
        <v>0</v>
      </c>
      <c r="BS47" s="641">
        <f t="shared" si="118"/>
        <v>0.11840117973612603</v>
      </c>
      <c r="BT47" s="641">
        <f t="shared" si="119"/>
        <v>0.11840117973612603</v>
      </c>
      <c r="BU47" s="642">
        <f t="shared" si="120"/>
        <v>1</v>
      </c>
      <c r="BV47" s="1147"/>
      <c r="BW47" s="418"/>
      <c r="BX47" s="418"/>
      <c r="BY47" s="419"/>
      <c r="BZ47" s="968"/>
      <c r="CA47" s="280" cm="1">
        <f t="array" ref="CA47">IF($BZ47&gt;0,VALUE(LEFT($BZ47,IF(ISERROR(FIND("-",$BZ47)),LEN($BZ47),FIND("-",$BZ47)-1))),INDEX($CA$1:$CA47,MAX(1,$CD47)))</f>
        <v>1</v>
      </c>
      <c r="CB47" s="280" cm="1">
        <f t="array" ref="CB47">IF($BT47=0,0,IF(LEN($BZ47)-LEN(SUBSTITUTE($BZ47,"-",""))&gt;1,
VALUE(MID($BZ47,FIND("-",$BZ47)+1,FIND("-",$BZ47,FIND("-",$BZ47)+1)-FIND("-",$BZ47)-1)),IF($BZ47&gt;0,0,INDEX($CB$1:$CB47,MAX(1,$CD47)))))</f>
        <v>0</v>
      </c>
      <c r="CC47" s="280" cm="1">
        <f t="array" ref="CC47">IF($BT47=0,0,IF(NOT(ISERROR(FIND("-",BZ47))),
VALUE(RIGHT($BZ47,LEN($BZ47)-IF(LEN($BZ47)-LEN(SUBSTITUTE($BZ47,"-",""))=1,FIND("-",$BZ47),FIND("-",$BZ47,FIND("-",$BZ47)+1)))),
IF($BZ47&gt;0,0,INDEX($CC$1:$CC47,MAX(1,$CD47)))))</f>
        <v>0</v>
      </c>
      <c r="CD47" s="393">
        <f>MATCH(0,$CE$1:$CE47,-1)</f>
        <v>37</v>
      </c>
      <c r="CE47" s="280"/>
      <c r="CF47" s="394"/>
      <c r="CG47" s="393" cm="1">
        <f t="array" ref="CG47">INDEX($CG$1:$CG47,$CD47)</f>
        <v>6</v>
      </c>
      <c r="CH47" s="280">
        <f>MATCH($CA47,Premises!$A$10:$F$10,0)</f>
        <v>4</v>
      </c>
      <c r="CI47" s="280">
        <f>IF(ISBLANK($E47),0,IFERROR(MATCH($E47,MHR[Bezeichnung],0),0))</f>
        <v>2</v>
      </c>
      <c r="CJ47" s="394">
        <f>IF(ISBLANK($AQ47),0,IFERROR(MATCH($AQ47,MAT[Bezeichnung],0),0))</f>
        <v>0</v>
      </c>
      <c r="CK47" s="280" cm="1">
        <f t="array" ref="CK47">INDEX($D$1:$D47,$CD47)</f>
        <v>1</v>
      </c>
      <c r="CL47" s="280"/>
      <c r="CM47" s="395"/>
      <c r="CN47" s="396" cm="1">
        <f t="array" ref="CN47">IF($CB47=0,0,IF($CB47=INDEX($CB$1:$CB47,$CD47),INDEX($CN$1:$CN47,$CD47),$CP47))</f>
        <v>0</v>
      </c>
      <c r="CO47" s="395"/>
      <c r="CP47" s="396" cm="1">
        <f t="array" ref="CP47">IF($CC47=0,0,INDEX($CP$1:$CP47,$CD47))</f>
        <v>0</v>
      </c>
      <c r="CQ47" s="397"/>
      <c r="CR47" s="398"/>
      <c r="CS47" s="398"/>
      <c r="CT47" s="1152"/>
      <c r="CU47" s="1149"/>
      <c r="CV47" s="647">
        <f t="shared" si="121"/>
        <v>3.8298525821208115E-2</v>
      </c>
      <c r="CW47" s="648">
        <f t="shared" si="122"/>
        <v>1.6410108975228764E-3</v>
      </c>
      <c r="CX47" s="648">
        <f t="shared" si="123"/>
        <v>4.6478125000000009E-2</v>
      </c>
      <c r="CY47" s="648">
        <f t="shared" si="124"/>
        <v>0</v>
      </c>
      <c r="CZ47" s="648">
        <f t="shared" si="125"/>
        <v>0</v>
      </c>
      <c r="DA47" s="648">
        <f t="shared" si="126"/>
        <v>8.4776650821208127E-4</v>
      </c>
      <c r="DB47" s="648">
        <f t="shared" si="127"/>
        <v>1.2783530878664743E-2</v>
      </c>
      <c r="DC47" s="649">
        <f t="shared" si="128"/>
        <v>0.10004895910560782</v>
      </c>
      <c r="DD47" s="648">
        <f t="shared" si="129"/>
        <v>0</v>
      </c>
      <c r="DE47" s="648">
        <f t="shared" si="130"/>
        <v>0</v>
      </c>
      <c r="DF47" s="648">
        <f t="shared" si="131"/>
        <v>0</v>
      </c>
      <c r="DG47" s="649">
        <f t="shared" si="132"/>
        <v>0</v>
      </c>
      <c r="DH47" s="649">
        <f t="shared" si="133"/>
        <v>0.10004895910560782</v>
      </c>
      <c r="DI47" s="648">
        <f t="shared" si="134"/>
        <v>0</v>
      </c>
      <c r="DJ47" s="648">
        <f t="shared" si="135"/>
        <v>0</v>
      </c>
      <c r="DK47" s="648">
        <f t="shared" si="136"/>
        <v>1.2400149074674467E-2</v>
      </c>
      <c r="DL47" s="648">
        <f t="shared" si="137"/>
        <v>0</v>
      </c>
      <c r="DM47" s="648">
        <f t="shared" si="138"/>
        <v>0</v>
      </c>
      <c r="DN47" s="648">
        <f t="shared" si="139"/>
        <v>5.952071555843744E-3</v>
      </c>
      <c r="DO47" s="648">
        <f t="shared" si="140"/>
        <v>0</v>
      </c>
      <c r="DP47" s="651">
        <f t="shared" si="141"/>
        <v>0.11840117973612603</v>
      </c>
      <c r="DQ47" s="951">
        <f>IF($CB47=0,0,$DP47*_xlfn.XLOOKUP($CB47,Premises!$A$10:$F$10,Premises!$A$30:$F$30)/100)</f>
        <v>0</v>
      </c>
      <c r="DR47" s="650">
        <f>IFERROR(SUM($DP47:$DQ47)*IF(INDEX(Premises!$A$42:$F$42,1,MATCH($CB47,Premises!$A$10:$F$10,0))&gt;0,INDEX(Premises!$A$42:$F$42,1,MATCH($CB47,Premises!$A$10:$F$10,0))%,$CN47),0)</f>
        <v>0</v>
      </c>
      <c r="DS47" s="650" cm="1">
        <f t="array" ref="DS47">IF($CB47=0,0,SUM($DP47:$DR47)*_xlfn.XLOOKUP($CB47,Premises!$A$10:$F$10,IF(INDEX(Settings[],MATCH(3001,Settings[ID],0),2)="B",Premises!$A$33:$F$33,Premises!$A$31:$F$31))/100)</f>
        <v>0</v>
      </c>
      <c r="DT47" s="650" cm="1">
        <f t="array" ref="DT47">IF($CB47=0,0,$DP47*_xlfn.XLOOKUP($CB47,Premises!$A$10:$F$10,IF(INDEX(Settings[],MATCH(3002,Settings[ID],0),2)="B",Premises!$A$36:$F$36,Premises!$A$34:$F$34))/100)</f>
        <v>0</v>
      </c>
      <c r="DU47" s="650">
        <f>IF($CB47=0,0,SUM($DP47:$DT47)*_xlfn.XLOOKUP($CB47,Premises!$A$10:$F$10,Premises!$A$37:$F$37)/100)</f>
        <v>0</v>
      </c>
      <c r="DV47" s="954">
        <f t="shared" si="142"/>
        <v>0.11840117973612603</v>
      </c>
      <c r="DW47" s="951">
        <f>IF($CC47=0,0,$DV47*_xlfn.XLOOKUP($CC47,Premises!$A$10:$F$10,Premises!$A$30:$F$30)/100)</f>
        <v>0</v>
      </c>
      <c r="DX47" s="650">
        <f>IFERROR(SUM($DV47:$DW47)*IF(INDEX(Premises!$A$42:$F$42,1,MATCH($CC47,Premises!$A$10:$F$10,0))&gt;0,INDEX(Premises!$A$42:$F$42,1,MATCH($CC47,Premises!$A$10:$F$10,0))%,$CP47),0)</f>
        <v>0</v>
      </c>
      <c r="DY47" s="650" cm="1">
        <f t="array" ref="DY47">IF($CC47=0,0,SUM($DV47:$DX47)*_xlfn.XLOOKUP($CC47,Premises!$A$10:$F$10,IF(INDEX(Settings[],MATCH(3001,Settings[ID],0),2)="B",Premises!$A$33:$F$33,Premises!$A$31:$F$31))/100)</f>
        <v>0</v>
      </c>
      <c r="DZ47" s="650" cm="1">
        <f t="array" ref="DZ47">IF($CC47=0,0,$DV47*_xlfn.XLOOKUP($CC47,Premises!$A$10:$F$10,IF(INDEX(Settings[],MATCH(3002,Settings[ID],0),2)="B",Premises!$A$36:$F$36,Premises!$A$34:$F$34))/100)</f>
        <v>0</v>
      </c>
      <c r="EA47" s="650">
        <f>IF($CC47=0,0,SUM($DV47:$DZ47)*_xlfn.XLOOKUP($CC47,Premises!$A$10:$F$10,Premises!$A$37:$F$37)/100)</f>
        <v>0</v>
      </c>
      <c r="EB47" s="651">
        <f t="shared" si="143"/>
        <v>0.11840117973612603</v>
      </c>
      <c r="EC47" s="805"/>
      <c r="ED47" s="1104"/>
      <c r="EE47" s="650"/>
      <c r="EF47" s="1110"/>
      <c r="EG47" s="1108"/>
      <c r="EH47" s="1108"/>
      <c r="EI47" s="1108"/>
      <c r="EJ47" s="1108"/>
      <c r="EK47" s="1108"/>
      <c r="EL47" s="1108"/>
      <c r="EM47" s="1110"/>
      <c r="EN47" s="1108"/>
      <c r="EO47" s="1108"/>
      <c r="EP47" s="1108"/>
      <c r="EQ47" s="1108"/>
      <c r="ER47" s="1110"/>
      <c r="ES47" s="1108"/>
      <c r="ET47" s="1108"/>
      <c r="EU47" s="1108"/>
      <c r="EV47" s="1108"/>
      <c r="EW47" s="1108"/>
      <c r="EX47" s="1111"/>
      <c r="EY47" s="2"/>
      <c r="EZ47" s="2"/>
      <c r="FA47" s="2"/>
      <c r="FB47" s="2"/>
      <c r="FC47" s="2"/>
      <c r="FD47" s="2"/>
      <c r="FE47" s="2"/>
      <c r="FF47" s="2"/>
      <c r="FG47" s="2"/>
      <c r="FH47" s="2"/>
      <c r="FI47" s="2"/>
      <c r="FJ47" s="420"/>
      <c r="FK47" s="421"/>
      <c r="FL47" s="422"/>
      <c r="FM47" s="1153"/>
    </row>
    <row r="48" spans="1:169" s="13" customFormat="1" ht="12.75" customHeight="1">
      <c r="A48" s="221"/>
      <c r="B48" s="402"/>
      <c r="C48" s="403"/>
      <c r="D48" s="646"/>
      <c r="E48" s="404"/>
      <c r="F48" s="405"/>
      <c r="G48" s="405"/>
      <c r="H48" s="405"/>
      <c r="I48" s="637" cm="1">
        <f t="array" ref="I48">IF($CI48=0,0,IFERROR(INDEX(MHR[],$CI48,MATCH($CA48,MHR!$B$4:$AY$4,0)),0))</f>
        <v>0</v>
      </c>
      <c r="J48" s="634">
        <f t="shared" si="96"/>
        <v>0</v>
      </c>
      <c r="K48" s="406"/>
      <c r="L48" s="407"/>
      <c r="M48" s="871"/>
      <c r="N48" s="407"/>
      <c r="O48" s="405"/>
      <c r="P48" s="645" cm="1">
        <f t="array" ref="P48">IF($K48=0,0,IFERROR(ROUNDUP(IF(ISNUMBER($K48),$K48,INDEX($D$1:$D48,$CD48)*INDEX(Premises!$A$13:$F$13,1,$CH48)/IF(OR($K48="T",$K48="D"),250,IF($K48="W",50,IF($K48="M",12,IF(OR($K48="HJ",$K48="HY"),2,IF(OR($K48="J",$K48="Y"),1,0)))))),0),0))</f>
        <v>0</v>
      </c>
      <c r="Q48" s="637" cm="1">
        <f t="array" ref="Q48">IF($K48=0,0,IFERROR(INDEX(Premises!$A$22:$F$22,1,$CH48)*100/INDEX(Premises!$A$16:$F$16,1,$CH48),0))</f>
        <v>0</v>
      </c>
      <c r="R48" s="634">
        <f t="shared" si="97"/>
        <v>0</v>
      </c>
      <c r="S48" s="408"/>
      <c r="T48" s="409"/>
      <c r="U48" s="637" cm="1">
        <f t="array" ref="U48">IF(COUNTBLANK($S48:$T48),0,
IF(AND(INDEX(MHR[Schichtmodell],$CI48)&lt;&gt;0,INDEX(MHR[Schichtmodell],$CI48)&lt;&gt;INDEX(Premises!$A$20:$F$20,1,$CH48)),ExchangeRate*
IF(OR($T48="M",$T48="U"),IF(INDEX(MHR[Schichtmodell],$CI48)=1,INDEX(LOC[M1S],INDEX(Premises!$A$18:$F$18,1,$CH48+1)),IF(INDEX(MHR[Schichtmodell],$CI48)=2,INDEX(LOC[M2S],INDEX(Premises!$A$18:$F$18,1,$CH48+1),IF(INDEX(MHR[Schichtmodell],$CI48)=3,INDEX(LOC[M3S],INDEX(Premises!$A$18:$F$18,1,$CH48+1)),0)))),
IF(INDEX(MHR[Schichtmodell],$CI48)=1,INDEX(LOC[F1S],INDEX(Premises!$A$18:$F$18,1,$CH48+1)),IF(INDEX(MHR[Schichtmodell],$CI48)=2,INDEX(LOC[F2S],INDEX(Premises!$A$18:$F$18,1,$CH48+1)),IF(INDEX(MHR[Schichtmodell],$CI48)=3,INDEX(LOC[F3S],INDEX(Premises!$A$18:$F$18,1,$CH48+1)),0)))),
IF(OR($T48="M",$T48="U"),INDEX(Premises!$A$21:$F$21,1,$CH48),
IF(OR($T48="F",$T48="S"),INDEX(Premises!$A$22:$F$22,1,$CH48),0)))*100/INDEX(Premises!$A$16:$F$16,1,$CH48))</f>
        <v>0</v>
      </c>
      <c r="V48" s="631">
        <f t="shared" si="98"/>
        <v>0</v>
      </c>
      <c r="W48" s="410"/>
      <c r="X48" s="403"/>
      <c r="Y48" s="411"/>
      <c r="Z48" s="412"/>
      <c r="AA48" s="628">
        <f t="shared" si="99"/>
        <v>0</v>
      </c>
      <c r="AB48" s="410"/>
      <c r="AC48" s="403"/>
      <c r="AD48" s="411"/>
      <c r="AE48" s="413"/>
      <c r="AF48" s="628">
        <f t="shared" si="100"/>
        <v>0</v>
      </c>
      <c r="AG48" s="629" cm="1">
        <f t="array" ref="AG48">IF(($J48+$V48+$AF48)=0,0,INDEX(Premises!$A$30:$F$30,1,$CH48)/100)</f>
        <v>0</v>
      </c>
      <c r="AH48" s="414"/>
      <c r="AI48" s="415"/>
      <c r="AJ48" s="416"/>
      <c r="AK48" s="630">
        <f t="shared" si="101"/>
        <v>0</v>
      </c>
      <c r="AL48" s="631">
        <f t="shared" si="102"/>
        <v>0</v>
      </c>
      <c r="AM48" s="632" cm="1">
        <f t="array" ref="AM48">IF($CI48=0,0,IFERROR(INDEX(MHR[],$CI48,MATCH($CA48,MHR!$B$4:$AY$4,0)+11),0))</f>
        <v>0</v>
      </c>
      <c r="AN48" s="633" cm="1">
        <f t="array" ref="AN48">IF(($J48+$V48)=0,0,IFERROR(IF(INDEX(Premises!$A$41:$F$41,1,$CH48)&lt;&gt;0,INDEX(Premises!$A$41:$F$41,1,$CH48)/100,(IFERROR(($J48/$I48)*$AM48,0)/($V48+$J48+$R48+$AL48))),0))</f>
        <v>0</v>
      </c>
      <c r="AO48" s="634">
        <f t="shared" si="103"/>
        <v>0</v>
      </c>
      <c r="AP48" s="635">
        <f t="shared" si="104"/>
        <v>0</v>
      </c>
      <c r="AQ48" s="410"/>
      <c r="AR48" s="409"/>
      <c r="AS48" s="636" cm="1">
        <f t="array" ref="AS48">IF($CJ48=0,0,IFERROR(INDEX(MAT[Einheit],$CJ48,1),0))</f>
        <v>0</v>
      </c>
      <c r="AT48" s="637" cm="1">
        <f t="array" ref="AT48">IF($CJ48=0,0,IFERROR(INDEX(MAT[Preis],$CJ48,1),0))</f>
        <v>0</v>
      </c>
      <c r="AU48" s="638">
        <f t="shared" si="105"/>
        <v>0</v>
      </c>
      <c r="AV48" s="639" cm="1">
        <f t="array" ref="AV48">IF($AU48&lt;=0,0,INDEX(Premises!$A$30:$F$30,1,$CH48)/100)</f>
        <v>0</v>
      </c>
      <c r="AW48" s="409"/>
      <c r="AX48" s="631">
        <f t="shared" si="106"/>
        <v>0</v>
      </c>
      <c r="AY48" s="640" cm="1">
        <f t="array" ref="AY48">IF($AT48&lt;=0,0,IFERROR(IF(INDEX(Premises!$A$42:$F$42,1,$CH48)&lt;&gt;0,INDEX(Premises!$A$42:$F$42,1,$CH48)/100,(INDEX(MAT[],$CJ48,MATCH($CA48,MAT!$B$4:$AE$4,0))/($AR48*$CK48*INDEX(Premises!$A$13:$F$13,1,$CH48))+INDEX(MAT[],$CJ48,MATCH($CA48,MAT!$B$4:$AE$4,0)+7))/$AT48),0))</f>
        <v>0</v>
      </c>
      <c r="AZ48" s="631">
        <f t="shared" si="107"/>
        <v>0</v>
      </c>
      <c r="BA48" s="635">
        <f t="shared" si="108"/>
        <v>0</v>
      </c>
      <c r="BB48" s="635">
        <f t="shared" si="109"/>
        <v>0</v>
      </c>
      <c r="BC48" s="639" cm="1">
        <f t="array" ref="BC48">IF($BB48&lt;=0,0,IF(BC$2=-1,0,INDEX(Premises!$A$32:$F$32,1,$CH48)/100))</f>
        <v>0</v>
      </c>
      <c r="BD48" s="631">
        <f t="shared" si="110"/>
        <v>0</v>
      </c>
      <c r="BE48" s="639" cm="1">
        <f t="array" ref="BE48">IF($BB48&lt;=0,0,IF(BE$2=-1,0,INDEX(Premises!$A$33:$F$33,1,$CH48)/100))</f>
        <v>0</v>
      </c>
      <c r="BF48" s="631">
        <f t="shared" si="111"/>
        <v>0</v>
      </c>
      <c r="BG48" s="639" cm="1">
        <f t="array" ref="BG48">IF($BB48&lt;=0,0,IF(BG$2=-1,0,INDEX(Premises!$A$31:$F$31,1,$CH48)/100))</f>
        <v>0</v>
      </c>
      <c r="BH48" s="631">
        <f t="shared" si="112"/>
        <v>0</v>
      </c>
      <c r="BI48" s="635">
        <f t="shared" si="113"/>
        <v>0</v>
      </c>
      <c r="BJ48" s="639" cm="1">
        <f t="array" ref="BJ48">IF($BB48&lt;=0,0,IF(BJ$2=-1,0,INDEX(Premises!$A$35:$F$35,1,$CH48)/100))</f>
        <v>0</v>
      </c>
      <c r="BK48" s="631">
        <f t="shared" si="114"/>
        <v>0</v>
      </c>
      <c r="BL48" s="639" cm="1">
        <f t="array" ref="BL48">IF($BB48&lt;=0,0,IF(BL$2=-1,0,INDEX(Premises!$A$36:$F$36,1,$CH48)/100))</f>
        <v>0</v>
      </c>
      <c r="BM48" s="631">
        <f t="shared" si="115"/>
        <v>0</v>
      </c>
      <c r="BN48" s="639" cm="1">
        <f t="array" ref="BN48">IF($BB48&lt;=0,0,IF(BN$2=-1,0,INDEX(Premises!$A$34:$F$34,1,$CH48)/100))</f>
        <v>0</v>
      </c>
      <c r="BO48" s="631">
        <f t="shared" si="116"/>
        <v>0</v>
      </c>
      <c r="BP48" s="639" cm="1">
        <f t="array" ref="BP48">IF($BI48=0,0,INDEX(Premises!$A$37:$F$37,1,$CH48)/100)</f>
        <v>0</v>
      </c>
      <c r="BQ48" s="409"/>
      <c r="BR48" s="631">
        <f t="shared" si="117"/>
        <v>0</v>
      </c>
      <c r="BS48" s="641">
        <f t="shared" si="118"/>
        <v>0</v>
      </c>
      <c r="BT48" s="641">
        <f t="shared" si="119"/>
        <v>0</v>
      </c>
      <c r="BU48" s="642">
        <f t="shared" si="120"/>
        <v>0</v>
      </c>
      <c r="BV48" s="1147"/>
      <c r="BW48" s="418"/>
      <c r="BX48" s="418"/>
      <c r="BY48" s="419"/>
      <c r="BZ48" s="968"/>
      <c r="CA48" s="280" cm="1">
        <f t="array" ref="CA48">IF($BZ48&gt;0,VALUE(LEFT($BZ48,IF(ISERROR(FIND("-",$BZ48)),LEN($BZ48),FIND("-",$BZ48)-1))),INDEX($CA$1:$CA48,MAX(1,$CD48)))</f>
        <v>1</v>
      </c>
      <c r="CB48" s="280" cm="1">
        <f t="array" ref="CB48">IF($BT48=0,0,IF(LEN($BZ48)-LEN(SUBSTITUTE($BZ48,"-",""))&gt;1,
VALUE(MID($BZ48,FIND("-",$BZ48)+1,FIND("-",$BZ48,FIND("-",$BZ48)+1)-FIND("-",$BZ48)-1)),IF($BZ48&gt;0,0,INDEX($CB$1:$CB48,MAX(1,$CD48)))))</f>
        <v>0</v>
      </c>
      <c r="CC48" s="280" cm="1">
        <f t="array" ref="CC48">IF($BT48=0,0,IF(NOT(ISERROR(FIND("-",BZ48))),
VALUE(RIGHT($BZ48,LEN($BZ48)-IF(LEN($BZ48)-LEN(SUBSTITUTE($BZ48,"-",""))=1,FIND("-",$BZ48),FIND("-",$BZ48,FIND("-",$BZ48)+1)))),
IF($BZ48&gt;0,0,INDEX($CC$1:$CC48,MAX(1,$CD48)))))</f>
        <v>0</v>
      </c>
      <c r="CD48" s="393">
        <f>MATCH(0,$CE$1:$CE48,-1)</f>
        <v>37</v>
      </c>
      <c r="CE48" s="280"/>
      <c r="CF48" s="394"/>
      <c r="CG48" s="393" cm="1">
        <f t="array" ref="CG48">INDEX($CG$1:$CG48,$CD48)</f>
        <v>6</v>
      </c>
      <c r="CH48" s="280">
        <f>MATCH($CA48,Premises!$A$10:$F$10,0)</f>
        <v>4</v>
      </c>
      <c r="CI48" s="280">
        <f>IF(ISBLANK($E48),0,IFERROR(MATCH($E48,MHR[Bezeichnung],0),0))</f>
        <v>0</v>
      </c>
      <c r="CJ48" s="394">
        <f>IF(ISBLANK($AQ48),0,IFERROR(MATCH($AQ48,MAT[Bezeichnung],0),0))</f>
        <v>0</v>
      </c>
      <c r="CK48" s="280" cm="1">
        <f t="array" ref="CK48">INDEX($D$1:$D48,$CD48)</f>
        <v>1</v>
      </c>
      <c r="CL48" s="280"/>
      <c r="CM48" s="395"/>
      <c r="CN48" s="396" cm="1">
        <f t="array" ref="CN48">IF($CB48=0,0,IF($CB48=INDEX($CB$1:$CB48,$CD48),INDEX($CN$1:$CN48,$CD48),$CP48))</f>
        <v>0</v>
      </c>
      <c r="CO48" s="395"/>
      <c r="CP48" s="396" cm="1">
        <f t="array" ref="CP48">IF($CC48=0,0,INDEX($CP$1:$CP48,$CD48))</f>
        <v>0</v>
      </c>
      <c r="CQ48" s="397"/>
      <c r="CR48" s="398"/>
      <c r="CS48" s="398"/>
      <c r="CT48" s="1152"/>
      <c r="CU48" s="1149"/>
      <c r="CV48" s="647">
        <f t="shared" si="121"/>
        <v>0</v>
      </c>
      <c r="CW48" s="648">
        <f t="shared" si="122"/>
        <v>0</v>
      </c>
      <c r="CX48" s="648">
        <f t="shared" si="123"/>
        <v>0</v>
      </c>
      <c r="CY48" s="648">
        <f t="shared" si="124"/>
        <v>0</v>
      </c>
      <c r="CZ48" s="648">
        <f t="shared" si="125"/>
        <v>0</v>
      </c>
      <c r="DA48" s="648">
        <f t="shared" si="126"/>
        <v>0</v>
      </c>
      <c r="DB48" s="648">
        <f t="shared" si="127"/>
        <v>0</v>
      </c>
      <c r="DC48" s="649">
        <f t="shared" si="128"/>
        <v>0</v>
      </c>
      <c r="DD48" s="648">
        <f t="shared" si="129"/>
        <v>0</v>
      </c>
      <c r="DE48" s="648">
        <f t="shared" si="130"/>
        <v>0</v>
      </c>
      <c r="DF48" s="648">
        <f t="shared" si="131"/>
        <v>0</v>
      </c>
      <c r="DG48" s="649">
        <f t="shared" si="132"/>
        <v>0</v>
      </c>
      <c r="DH48" s="649">
        <f t="shared" si="133"/>
        <v>0</v>
      </c>
      <c r="DI48" s="648">
        <f t="shared" si="134"/>
        <v>0</v>
      </c>
      <c r="DJ48" s="648">
        <f t="shared" si="135"/>
        <v>0</v>
      </c>
      <c r="DK48" s="648">
        <f t="shared" si="136"/>
        <v>0</v>
      </c>
      <c r="DL48" s="648">
        <f t="shared" si="137"/>
        <v>0</v>
      </c>
      <c r="DM48" s="648">
        <f t="shared" si="138"/>
        <v>0</v>
      </c>
      <c r="DN48" s="648">
        <f t="shared" si="139"/>
        <v>0</v>
      </c>
      <c r="DO48" s="648">
        <f t="shared" si="140"/>
        <v>0</v>
      </c>
      <c r="DP48" s="651">
        <f t="shared" si="141"/>
        <v>0</v>
      </c>
      <c r="DQ48" s="951">
        <f>IF($CB48=0,0,$DP48*_xlfn.XLOOKUP($CB48,Premises!$A$10:$F$10,Premises!$A$30:$F$30)/100)</f>
        <v>0</v>
      </c>
      <c r="DR48" s="650">
        <f>IFERROR(SUM($DP48:$DQ48)*IF(INDEX(Premises!$A$42:$F$42,1,MATCH($CB48,Premises!$A$10:$F$10,0))&gt;0,INDEX(Premises!$A$42:$F$42,1,MATCH($CB48,Premises!$A$10:$F$10,0))%,$CN48),0)</f>
        <v>0</v>
      </c>
      <c r="DS48" s="650" cm="1">
        <f t="array" ref="DS48">IF($CB48=0,0,SUM($DP48:$DR48)*_xlfn.XLOOKUP($CB48,Premises!$A$10:$F$10,IF(INDEX(Settings[],MATCH(3001,Settings[ID],0),2)="B",Premises!$A$33:$F$33,Premises!$A$31:$F$31))/100)</f>
        <v>0</v>
      </c>
      <c r="DT48" s="650" cm="1">
        <f t="array" ref="DT48">IF($CB48=0,0,$DP48*_xlfn.XLOOKUP($CB48,Premises!$A$10:$F$10,IF(INDEX(Settings[],MATCH(3002,Settings[ID],0),2)="B",Premises!$A$36:$F$36,Premises!$A$34:$F$34))/100)</f>
        <v>0</v>
      </c>
      <c r="DU48" s="650">
        <f>IF($CB48=0,0,SUM($DP48:$DT48)*_xlfn.XLOOKUP($CB48,Premises!$A$10:$F$10,Premises!$A$37:$F$37)/100)</f>
        <v>0</v>
      </c>
      <c r="DV48" s="954">
        <f t="shared" si="142"/>
        <v>0</v>
      </c>
      <c r="DW48" s="951">
        <f>IF($CC48=0,0,$DV48*_xlfn.XLOOKUP($CC48,Premises!$A$10:$F$10,Premises!$A$30:$F$30)/100)</f>
        <v>0</v>
      </c>
      <c r="DX48" s="650">
        <f>IFERROR(SUM($DV48:$DW48)*IF(INDEX(Premises!$A$42:$F$42,1,MATCH($CC48,Premises!$A$10:$F$10,0))&gt;0,INDEX(Premises!$A$42:$F$42,1,MATCH($CC48,Premises!$A$10:$F$10,0))%,$CP48),0)</f>
        <v>0</v>
      </c>
      <c r="DY48" s="650" cm="1">
        <f t="array" ref="DY48">IF($CC48=0,0,SUM($DV48:$DX48)*_xlfn.XLOOKUP($CC48,Premises!$A$10:$F$10,IF(INDEX(Settings[],MATCH(3001,Settings[ID],0),2)="B",Premises!$A$33:$F$33,Premises!$A$31:$F$31))/100)</f>
        <v>0</v>
      </c>
      <c r="DZ48" s="650" cm="1">
        <f t="array" ref="DZ48">IF($CC48=0,0,$DV48*_xlfn.XLOOKUP($CC48,Premises!$A$10:$F$10,IF(INDEX(Settings[],MATCH(3002,Settings[ID],0),2)="B",Premises!$A$36:$F$36,Premises!$A$34:$F$34))/100)</f>
        <v>0</v>
      </c>
      <c r="EA48" s="650">
        <f>IF($CC48=0,0,SUM($DV48:$DZ48)*_xlfn.XLOOKUP($CC48,Premises!$A$10:$F$10,Premises!$A$37:$F$37)/100)</f>
        <v>0</v>
      </c>
      <c r="EB48" s="651">
        <f t="shared" si="143"/>
        <v>0</v>
      </c>
      <c r="EC48" s="805"/>
      <c r="ED48" s="1104"/>
      <c r="EE48" s="650"/>
      <c r="EF48" s="1110"/>
      <c r="EG48" s="1108"/>
      <c r="EH48" s="1108"/>
      <c r="EI48" s="1108"/>
      <c r="EJ48" s="1108"/>
      <c r="EK48" s="1108"/>
      <c r="EL48" s="1108"/>
      <c r="EM48" s="1110"/>
      <c r="EN48" s="1108"/>
      <c r="EO48" s="1108"/>
      <c r="EP48" s="1108"/>
      <c r="EQ48" s="1108"/>
      <c r="ER48" s="1110"/>
      <c r="ES48" s="1108"/>
      <c r="ET48" s="1108"/>
      <c r="EU48" s="1108"/>
      <c r="EV48" s="1108"/>
      <c r="EW48" s="1108"/>
      <c r="EX48" s="1111"/>
      <c r="EY48" s="2"/>
      <c r="EZ48" s="2"/>
      <c r="FA48" s="2"/>
      <c r="FB48" s="2"/>
      <c r="FC48" s="2"/>
      <c r="FD48" s="2"/>
      <c r="FE48" s="2"/>
      <c r="FF48" s="2"/>
      <c r="FG48" s="2"/>
      <c r="FH48" s="2"/>
      <c r="FI48" s="2"/>
      <c r="FJ48" s="420"/>
      <c r="FK48" s="421"/>
      <c r="FL48" s="422"/>
      <c r="FM48" s="1153"/>
    </row>
    <row r="49" spans="1:169" s="13" customFormat="1" ht="12.75" customHeight="1">
      <c r="A49" s="221"/>
      <c r="B49" s="387" t="str">
        <f>BOM!$A$7</f>
        <v>01-01-03 Display Unit</v>
      </c>
      <c r="C49" s="388"/>
      <c r="D49" s="389" cm="1">
        <f t="array" ref="D49">IF($CG49=0,0,INDEX(BOM!$N:$N,$CG49))</f>
        <v>1</v>
      </c>
      <c r="E49" s="644" t="s">
        <v>664</v>
      </c>
      <c r="F49" s="644" t="s">
        <v>664</v>
      </c>
      <c r="G49" s="644" t="s">
        <v>664</v>
      </c>
      <c r="H49" s="644" t="s">
        <v>664</v>
      </c>
      <c r="I49" s="644" t="s">
        <v>664</v>
      </c>
      <c r="J49" s="644" t="s">
        <v>664</v>
      </c>
      <c r="K49" s="644" t="s">
        <v>664</v>
      </c>
      <c r="L49" s="644" t="s">
        <v>664</v>
      </c>
      <c r="M49" s="644" t="s">
        <v>664</v>
      </c>
      <c r="N49" s="644" t="s">
        <v>664</v>
      </c>
      <c r="O49" s="644" t="s">
        <v>664</v>
      </c>
      <c r="P49" s="644" t="s">
        <v>664</v>
      </c>
      <c r="Q49" s="644" t="s">
        <v>664</v>
      </c>
      <c r="R49" s="644" t="s">
        <v>664</v>
      </c>
      <c r="S49" s="644" t="s">
        <v>664</v>
      </c>
      <c r="T49" s="644" t="s">
        <v>664</v>
      </c>
      <c r="U49" s="644" t="s">
        <v>664</v>
      </c>
      <c r="V49" s="644" t="s">
        <v>664</v>
      </c>
      <c r="W49" s="644" t="s">
        <v>664</v>
      </c>
      <c r="X49" s="644" t="s">
        <v>664</v>
      </c>
      <c r="Y49" s="644" t="s">
        <v>664</v>
      </c>
      <c r="Z49" s="644" t="s">
        <v>664</v>
      </c>
      <c r="AA49" s="644" t="s">
        <v>664</v>
      </c>
      <c r="AB49" s="644" t="s">
        <v>664</v>
      </c>
      <c r="AC49" s="644" t="s">
        <v>664</v>
      </c>
      <c r="AD49" s="644" t="s">
        <v>664</v>
      </c>
      <c r="AE49" s="644" t="s">
        <v>664</v>
      </c>
      <c r="AF49" s="644" t="s">
        <v>664</v>
      </c>
      <c r="AG49" s="644" t="s">
        <v>664</v>
      </c>
      <c r="AH49" s="644" t="s">
        <v>664</v>
      </c>
      <c r="AI49" s="644" t="s">
        <v>664</v>
      </c>
      <c r="AJ49" s="644" t="s">
        <v>664</v>
      </c>
      <c r="AK49" s="644" t="s">
        <v>664</v>
      </c>
      <c r="AL49" s="644" t="s">
        <v>664</v>
      </c>
      <c r="AM49" s="644" t="s">
        <v>664</v>
      </c>
      <c r="AN49" s="644" t="s">
        <v>664</v>
      </c>
      <c r="AO49" s="644" t="s">
        <v>664</v>
      </c>
      <c r="AP49" s="644" t="s">
        <v>664</v>
      </c>
      <c r="AQ49" s="644" t="s">
        <v>664</v>
      </c>
      <c r="AR49" s="644" t="s">
        <v>664</v>
      </c>
      <c r="AS49" s="644" t="s">
        <v>664</v>
      </c>
      <c r="AT49" s="644" t="s">
        <v>664</v>
      </c>
      <c r="AU49" s="644" t="s">
        <v>664</v>
      </c>
      <c r="AV49" s="644" t="s">
        <v>664</v>
      </c>
      <c r="AW49" s="644" t="s">
        <v>664</v>
      </c>
      <c r="AX49" s="644" t="s">
        <v>664</v>
      </c>
      <c r="AY49" s="644" t="s">
        <v>664</v>
      </c>
      <c r="AZ49" s="644" t="s">
        <v>664</v>
      </c>
      <c r="BA49" s="644" t="s">
        <v>664</v>
      </c>
      <c r="BB49" s="644" t="s">
        <v>664</v>
      </c>
      <c r="BC49" s="644" t="s">
        <v>664</v>
      </c>
      <c r="BD49" s="644" t="s">
        <v>664</v>
      </c>
      <c r="BE49" s="644" t="s">
        <v>664</v>
      </c>
      <c r="BF49" s="644" t="s">
        <v>664</v>
      </c>
      <c r="BG49" s="644" t="s">
        <v>664</v>
      </c>
      <c r="BH49" s="644" t="s">
        <v>664</v>
      </c>
      <c r="BI49" s="644" t="s">
        <v>664</v>
      </c>
      <c r="BJ49" s="644" t="s">
        <v>664</v>
      </c>
      <c r="BK49" s="644" t="s">
        <v>664</v>
      </c>
      <c r="BL49" s="644" t="s">
        <v>664</v>
      </c>
      <c r="BM49" s="644" t="s">
        <v>664</v>
      </c>
      <c r="BN49" s="644" t="s">
        <v>664</v>
      </c>
      <c r="BO49" s="644" t="s">
        <v>664</v>
      </c>
      <c r="BP49" s="644" t="s">
        <v>664</v>
      </c>
      <c r="BQ49" s="644" t="s">
        <v>664</v>
      </c>
      <c r="BR49" s="644" t="s">
        <v>664</v>
      </c>
      <c r="BS49" s="920">
        <f>SUM(INDEX($BS:$BS,ROW()+1):INDEX($BS:$BS,$CE49))</f>
        <v>8.5976705537089221E-2</v>
      </c>
      <c r="BT49" s="920">
        <f>SUM(INDEX($BT:$BT,ROW()+1):INDEX($BT:$BT,$CE49))</f>
        <v>8.5976705537089221E-2</v>
      </c>
      <c r="BU49" s="644" t="s">
        <v>664</v>
      </c>
      <c r="BV49" s="643">
        <f>SUMPRODUCT($BS49:INDEX($BS:$BS,$CE49),$BU49:INDEX($BU:$BU,$CE49))</f>
        <v>8.5976705537089221E-2</v>
      </c>
      <c r="BW49" s="390">
        <f>$D49*$BV49</f>
        <v>8.5976705537089221E-2</v>
      </c>
      <c r="BX49" s="816" cm="1">
        <f t="array" ref="BX49">IF($CG49=0,0,IF(INDEX(BOM!$P:$P,$CG49)=0,0,
SUMPRODUCT($BW49:INDEX($BW:$BW,IFERROR(ROW()+MATCH($CL49,INDEX($CL:$CL,ROW()+1):INDEX($CL:$CL,MAX($CE:$CE)),0)-1,MAX($CE:$CE))),
($CL49:INDEX($CL:$CL,IFERROR(ROW()+MATCH($CL49,INDEX($CL:$CL,ROW()+1):INDEX($CL:$CL,MAX($CE:$CE)),0)-1,MAX($CE:$CE)))&gt;=$CL49)*1)
))</f>
        <v>6.8977281346231187</v>
      </c>
      <c r="BY49" s="391"/>
      <c r="BZ49" s="392" cm="1">
        <f t="array" ref="BZ49">IF($CG49=0,0,INDEX(BOM!$M:$M,$CG49))</f>
        <v>1</v>
      </c>
      <c r="CA49" s="280">
        <f>IF($BZ49&gt;0,VALUE(LEFT($BZ49,IF(ISERROR(FIND("-",$BZ49)),LEN($BZ49),FIND("-",$BZ49)-1))),INDEX($BZ$1:BZ49,MATCH("",$A$1:A49,-1)))</f>
        <v>1</v>
      </c>
      <c r="CB49" s="280">
        <f>IF(LEN($BZ49)-LEN(SUBSTITUTE($BZ49,"-",))&gt;1,
VALUE(MID($BZ49,FIND("-",$BZ49)+1,FIND("-",$BZ49,FIND("-",$BZ49)+1)-FIND("-",$BZ49)-1)),0)</f>
        <v>0</v>
      </c>
      <c r="CC49" s="280">
        <f>IF(NOT(ISERROR(FIND("-",BZ49))),
VALUE(RIGHT($BZ49,LEN($BZ49)-IF(LEN($BZ49)-LEN(SUBSTITUTE($BZ49,"-",""))=1,FIND("-",$BZ49),FIND("-",$BZ49,FIND("-",$BZ49)+1)))),0)</f>
        <v>0</v>
      </c>
      <c r="CD49" s="393"/>
      <c r="CE49" s="280" cm="1">
        <f t="array" ref="CE49">ROW()+MATCH(TRUE,_xlfn.ISFORMULA(INDEX(BW:BW,ROW()+1):INDEX(BW:BW,ROW()+MaxNumberOfRowsPerBlock)),0)-1</f>
        <v>79</v>
      </c>
      <c r="CF49" s="394" cm="1">
        <f t="array" ref="CF49">IF(CL49=0,-1,IF(CL49=1,7,MAX(IF($CL$1:$CL49=CL49-1,ROW($CL$1:$CL49),0))))</f>
        <v>15</v>
      </c>
      <c r="CG49" s="393">
        <f>IFERROR(MATCH($B49,BOM!$A:$A,0),0)</f>
        <v>7</v>
      </c>
      <c r="CH49" s="280">
        <f>MATCH($CA49,Premises!$A$10:$F$10,0)</f>
        <v>4</v>
      </c>
      <c r="CI49" s="280"/>
      <c r="CJ49" s="394"/>
      <c r="CK49" s="280"/>
      <c r="CL49" s="280" cm="1">
        <f t="array" ref="CL49">IF($CG49=0,0,INDEX(BOM!$C:$C,$CG49))</f>
        <v>3</v>
      </c>
      <c r="CM49" s="395" cm="1">
        <f t="array" ref="CM49">IF($CG49=0,0,IF(OR($CF49&lt;0,AND(INDEX($CB:$CB,$CF49)=$CB49,INDEX($CC:$CC,$CF49)=$CC49)),0,IF(INDEX(BOM!$P:$P,$CG49)=0,$BT49,(SUMIF($CA49:INDEX($CA:$CA,IFERROR(ROW()+MATCH($CL49,INDEX($CL:$CL,ROW()+1):INDEX($CL:$CL,MAX($CE:$CE)),0)-1,MAX($CE:$CE))),$CA49,$BT49:INDEX($BT:$BT,IFERROR(ROW()+MATCH($CL49,INDEX($CL:$CL,ROW()+1):INDEX($CL:$CL,MAX($CE:$CE)),0)-1,MAX($CE:$CE))))+SUMIF($CB49:INDEX($CB:$CB,IFERROR(ROW()+MATCH($CL49,INDEX($CL:$CL,ROW()+1):INDEX($CL:$CL,MAX($CE:$CE)),0)-1,MAX($CE:$CE))),$CA49,$BT49:INDEX($BT:$BT,IFERROR(ROW()+MATCH($CL49,INDEX($CL:$CL,ROW()+1):INDEX($CL:$CL,MAX($CE:$CE)),0)-1,MAX($CE:$CE)))))/2)))</f>
        <v>0</v>
      </c>
      <c r="CN49" s="396" cm="1">
        <f t="array" ref="CN49">IFERROR(IF($CB49=0,0,IF($CM49=0,INDEX($CN$1:$CN49,$CF49),INDEX(IF($CM49&lt;0.2,Premises!$A$43:$F$43,IF($CM49&lt;5,Premises!$A$46:$F$46,Premises!$A$49:$F$49)),MATCH($CB49,Premises!$A$10:$F$10,0))/($CM49*INDEX(Premises!$A$13:$F$13,MATCH($CB49,Premises!$A$10:$F$10,0)))+INDEX(IF($CM49&lt;0.2,Premises!$A$44:$F$44,IF($CM49&lt;5,Premises!$A$47:$F$47,Premises!$A$50:$F$50)),MATCH($CB49,Premises!$A$10:$F$10,0))+INDEX(IF($CM49&lt;0.2,Premises!$A$45:$F$45,IF($CM49&lt;5,Premises!$A$48:$F$48,Premises!$A$51:$F$51)),MATCH($CB49,Premises!$A$10:$F$10,0))/$CM49)),0.01)</f>
        <v>0</v>
      </c>
      <c r="CO49" s="395" cm="1">
        <f t="array" ref="CO49">IF($CG49=0,0,IF(INDEX($CC:$CC,$CF49)=$CC49,0,$CM49*(1+IFERROR(INDEX(Premises!$A$52:$F$52,1,MATCH($CB49,Premises!$A$10:$F$10,0)),0)+$CN49)))</f>
        <v>0</v>
      </c>
      <c r="CP49" s="396" cm="1">
        <f t="array" ref="CP49">IFERROR(IF($CC49=0,0,IF($CO49=0,INDEX($CP$1:$CP49,$CF49),INDEX(IF($CO49&lt;0.2,Premises!$A$43:$F$43,IF($CO49&lt;5,Premises!$A$46:$F$46,Premises!$A$49:$F$49)),MATCH($CC49,Premises!$A$10:$F$10,0))/($CO49*INDEX(Premises!$A$13:$F$13,MATCH($CC49,Premises!$A$10:$F$10,0)))+INDEX(IF($CO49&lt;0.2,Premises!$A$44:$F$44,IF($CO49&lt;5,Premises!$A$47:$F$47,Premises!$A$50:$F$50)),MATCH($CC49,Premises!$A$10:$F$10,0))+INDEX(IF($CO49&lt;0.2,Premises!$A$45:$F$45,IF($CO49&lt;5,Premises!$A$48:$F$48,Premises!$A$51:$F$51)),MATCH($CC49,Premises!$A$10:$F$10,0))/$CO49)),0.01)</f>
        <v>0</v>
      </c>
      <c r="CQ49" s="397" cm="1">
        <f t="array" ref="CQ49">IF(AND($CM49=0,$CO49=0),0,INDEX(BOM!$O:$O,$CG49))</f>
        <v>0</v>
      </c>
      <c r="CR49" s="398" cm="1">
        <f t="array" ref="CR49">IF(OR($CM49=0,$CN49=0),0,ACOS(COS(RADIANS(90-INDEX(Premises!$A$66:$F$66,1,$CH49)))*COS(RADIANS(90-INDEX(Premises!$A$66:$F$66,1,MATCH($CB49,Premises!$A$10:$F$10,0))))
+SIN(RADIANS(90-INDEX(Premises!$A$66:$F$66,1,$CH49)))*SIN(RADIANS(90-INDEX(Premises!$A$66:$F$66,1,MATCH($CB49,Premises!$A$10:$F$10,0)))) * COS(RADIANS(INDEX(Premises!$A$67:$F$67,1,$CH49)-INDEX(Premises!$A$67:$F$67,1,MATCH($CB49,Premises!$A$10:$F$10,0)))))*6371)</f>
        <v>0</v>
      </c>
      <c r="CS49" s="398" cm="1">
        <f t="array" ref="CS49">IF(OR($CO49=0,$CP49=0),0,
IF($CR49=0,ACOS(COS(RADIANS(90-INDEX(Premises!$A$66:$F$66,1,$CH49)))*COS(RADIANS(90-INDEX(Premises!$A$66:$F$66,1,MATCH($CC49,Premises!$A$10:$F$10,0))))
+SIN(RADIANS(90-INDEX(Premises!$A$66:$F$66,1,$CH49)))*SIN(RADIANS(90-INDEX(Premises!$A$66:$F$66,1,MATCH($CC49,Premises!$A$10:$F$10,0))))*COS(RADIANS(INDEX(Premises!$A$67:$F$67,1,$CH49)-INDEX(Premises!$A$67:$F$67,1,MATCH($CC49,Premises!$A$10:$F$10,0)))))*6371,
ACOS(COS(RADIANS(90-INDEX(Premises!$A$66:$F$66,1,MATCH($CB49,Premises!$A$10:$F$10,0))))*COS(RADIANS(90-INDEX(Premises!$A$66:$F$66,1,MATCH($CC49,Premises!$A$10:$F$10,0))))
+SIN(RADIANS(90-INDEX(Premises!$A$66:$F$66,1,MATCH($CB49,Premises!$A$10:$F$10,0))))*SIN(RADIANS(90-INDEX(Premises!$A$66:$F$66,1,MATCH($CC49,Premises!$A$10:$F$10,0))))*COS(RADIANS(INDEX(Premises!$A$67:$F$67,1,MATCH($CB49,Premises!$A$10:$F$10,0))-INDEX(Premises!$A$67:$F$67,1,MATCH($CC49,Premises!$A$10:$F$10,0)))))*6371))</f>
        <v>0</v>
      </c>
      <c r="CT49" s="969"/>
      <c r="CU49" s="2"/>
      <c r="CV49" s="399">
        <f>SUM(INDEX(CV:CV,ROW()+1):INDEX(CV:CV,$CE49))</f>
        <v>1.7271546214944158E-2</v>
      </c>
      <c r="CW49" s="400">
        <f>SUM(INDEX(CW:CW,ROW()+1):INDEX(CW:CW,$CE49))</f>
        <v>3.8703523518253268E-3</v>
      </c>
      <c r="CX49" s="400">
        <f>SUM(INDEX(CX:CX,ROW()+1):INDEX(CX:CX,$CE49))</f>
        <v>4.6812500000000007E-2</v>
      </c>
      <c r="CY49" s="400">
        <f>SUM(INDEX(CY:CY,ROW()+1):INDEX(CY:CY,$CE49))</f>
        <v>0</v>
      </c>
      <c r="CZ49" s="400">
        <f>SUM(INDEX(CZ:CZ,ROW()+1):INDEX(CZ:CZ,$CE49))</f>
        <v>0</v>
      </c>
      <c r="DA49" s="400">
        <f>SUM(INDEX(DA:DA,ROW()+1):INDEX(DA:DA,$CE49))</f>
        <v>6.4084046214944171E-4</v>
      </c>
      <c r="DB49" s="400">
        <f>SUM(INDEX(DB:DB,ROW()+1):INDEX(DB:DB,$CE49))</f>
        <v>4.058989682124833E-3</v>
      </c>
      <c r="DC49" s="400">
        <f>SUM(INDEX(DC:DC,ROW()+1):INDEX(DC:DC,$CE49))</f>
        <v>7.2654228711043767E-2</v>
      </c>
      <c r="DD49" s="400">
        <f>SUM(INDEX(DD:DD,ROW()+1):INDEX(DD:DD,$CE49))</f>
        <v>0</v>
      </c>
      <c r="DE49" s="400">
        <f>SUM(INDEX(DE:DE,ROW()+1):INDEX(DE:DE,$CE49))</f>
        <v>0</v>
      </c>
      <c r="DF49" s="400">
        <f>SUM(INDEX(DF:DF,ROW()+1):INDEX(DF:DF,$CE49))</f>
        <v>0</v>
      </c>
      <c r="DG49" s="400">
        <f>SUM(INDEX(DG:DG,ROW()+1):INDEX(DG:DG,$CE49))</f>
        <v>0</v>
      </c>
      <c r="DH49" s="400">
        <f>SUM(INDEX(DH:DH,ROW()+1):INDEX(DH:DH,$CE49))</f>
        <v>7.2654228711043767E-2</v>
      </c>
      <c r="DI49" s="400">
        <f>SUM(INDEX(DI:DI,ROW()+1):INDEX(DI:DI,$CE49))</f>
        <v>0</v>
      </c>
      <c r="DJ49" s="400">
        <f>SUM(INDEX(DJ:DJ,ROW()+1):INDEX(DJ:DJ,$CE49))</f>
        <v>0</v>
      </c>
      <c r="DK49" s="400">
        <f>SUM(INDEX(DK:DK,ROW()+1):INDEX(DK:DK,$CE49))</f>
        <v>9.0016735311117899E-3</v>
      </c>
      <c r="DL49" s="400">
        <f>SUM(INDEX(DL:DL,ROW()+1):INDEX(DL:DL,$CE49))</f>
        <v>0</v>
      </c>
      <c r="DM49" s="400">
        <f>SUM(INDEX(DM:DM,ROW()+1):INDEX(DM:DM,$CE49))</f>
        <v>0</v>
      </c>
      <c r="DN49" s="400">
        <f>SUM(INDEX(DN:DN,ROW()+1):INDEX(DN:DN,$CE49))</f>
        <v>4.3208032949336589E-3</v>
      </c>
      <c r="DO49" s="400">
        <f>SUM(INDEX(DO:DO,ROW()+1):INDEX(DO:DO,$CE49))</f>
        <v>0</v>
      </c>
      <c r="DP49" s="400">
        <f>SUM(INDEX(DP:DP,ROW()+1):INDEX(DP:DP,$CE49))</f>
        <v>8.5976705537089221E-2</v>
      </c>
      <c r="DQ49" s="400">
        <f>SUM(INDEX(DQ:DQ,ROW()+1):INDEX(DQ:DQ,$CE49))</f>
        <v>0</v>
      </c>
      <c r="DR49" s="400">
        <f>SUM(INDEX(DR:DR,ROW()+1):INDEX(DR:DR,$CE49))</f>
        <v>0</v>
      </c>
      <c r="DS49" s="400">
        <f>SUM(INDEX(DS:DS,ROW()+1):INDEX(DS:DS,$CE49))</f>
        <v>0</v>
      </c>
      <c r="DT49" s="400">
        <f>SUM(INDEX(DT:DT,ROW()+1):INDEX(DT:DT,$CE49))</f>
        <v>0</v>
      </c>
      <c r="DU49" s="400">
        <f>SUM(INDEX(DU:DU,ROW()+1):INDEX(DU:DU,$CE49))</f>
        <v>0</v>
      </c>
      <c r="DV49" s="400">
        <f>SUM(INDEX(DV:DV,ROW()+1):INDEX(DV:DV,$CE49))</f>
        <v>8.5976705537089221E-2</v>
      </c>
      <c r="DW49" s="400">
        <f>SUM(INDEX(DW:DW,ROW()+1):INDEX(DW:DW,$CE49))</f>
        <v>0</v>
      </c>
      <c r="DX49" s="400">
        <f>SUM(INDEX(DX:DX,ROW()+1):INDEX(DX:DX,$CE49))</f>
        <v>0</v>
      </c>
      <c r="DY49" s="400">
        <f>SUM(INDEX(DY:DY,ROW()+1):INDEX(DY:DY,$CE49))</f>
        <v>0</v>
      </c>
      <c r="DZ49" s="400">
        <f>SUM(INDEX(DZ:DZ,ROW()+1):INDEX(DZ:DZ,$CE49))</f>
        <v>0</v>
      </c>
      <c r="EA49" s="400">
        <f>SUM(INDEX(EA:EA,ROW()+1):INDEX(EA:EA,$CE49))</f>
        <v>0</v>
      </c>
      <c r="EB49" s="401">
        <f>SUM(INDEX(EB:EB,ROW()+1):INDEX(EB:EB,$CE49))</f>
        <v>8.5976705537089221E-2</v>
      </c>
      <c r="EC49" s="805"/>
      <c r="ED49" s="399"/>
      <c r="EE49" s="400"/>
      <c r="EF49" s="1112"/>
      <c r="EG49" s="1112"/>
      <c r="EH49" s="1112"/>
      <c r="EI49" s="1112"/>
      <c r="EJ49" s="1112"/>
      <c r="EK49" s="1112"/>
      <c r="EL49" s="1112"/>
      <c r="EM49" s="1112"/>
      <c r="EN49" s="1112"/>
      <c r="EO49" s="1112"/>
      <c r="EP49" s="1112"/>
      <c r="EQ49" s="1112"/>
      <c r="ER49" s="1112"/>
      <c r="ES49" s="1112"/>
      <c r="ET49" s="1112"/>
      <c r="EU49" s="1112"/>
      <c r="EV49" s="1112"/>
      <c r="EW49" s="1112"/>
      <c r="EX49" s="1113"/>
      <c r="EY49" s="2"/>
      <c r="EZ49" s="2"/>
      <c r="FA49" s="2"/>
      <c r="FB49" s="2"/>
      <c r="FC49" s="2"/>
      <c r="FD49" s="2"/>
      <c r="FE49" s="2"/>
      <c r="FF49" s="2"/>
      <c r="FG49" s="2"/>
      <c r="FH49" s="2"/>
      <c r="FI49" s="2"/>
      <c r="FJ49" s="399"/>
      <c r="FK49" s="400"/>
      <c r="FL49" s="401"/>
      <c r="FM49" s="969"/>
    </row>
    <row r="50" spans="1:169" s="13" customFormat="1" ht="12.75" customHeight="1">
      <c r="A50" s="221"/>
      <c r="B50" s="402" t="s">
        <v>905</v>
      </c>
      <c r="C50" s="403"/>
      <c r="D50" s="646"/>
      <c r="E50" s="404"/>
      <c r="F50" s="405"/>
      <c r="G50" s="405"/>
      <c r="H50" s="405"/>
      <c r="I50" s="637" cm="1">
        <f t="array" ref="I50">IF($CI50=0,0,IFERROR(INDEX(MHR[],$CI50,MATCH($CA50,MHR!$B$4:$AY$4,0)),0))</f>
        <v>0</v>
      </c>
      <c r="J50" s="634">
        <f t="shared" ref="J50:J67" si="144">IF(COUNTBLANK($E50:$H50),0,IFERROR($F50/$H50/IF($G50="s",3600,IF($G50="min",60,IF($G50="h",1,0)))*I50,0))</f>
        <v>0</v>
      </c>
      <c r="K50" s="406"/>
      <c r="L50" s="407"/>
      <c r="M50" s="871"/>
      <c r="N50" s="407"/>
      <c r="O50" s="405"/>
      <c r="P50" s="645" cm="1">
        <f t="array" ref="P50">IF($K50=0,0,IFERROR(ROUNDUP(IF(ISNUMBER($K50),$K50,INDEX($D$1:$D50,$CD50)*INDEX(Premises!$A$13:$F$13,1,$CH50)/IF(OR($K50="T",$K50="D"),250,IF($K50="W",50,IF($K50="M",12,IF(OR($K50="HJ",$K50="HY"),2,IF(OR($K50="J",$K50="Y"),1,0)))))),0),0))</f>
        <v>0</v>
      </c>
      <c r="Q50" s="637" cm="1">
        <f t="array" ref="Q50">IF($K50=0,0,IFERROR(INDEX(Premises!$A$22:$F$22,1,$CH50)*100/INDEX(Premises!$A$16:$F$16,1,$CH50),0))</f>
        <v>0</v>
      </c>
      <c r="R50" s="634">
        <f t="shared" ref="R50:R67" si="145">IF($P50=0,0,IFERROR(($L50/60*($I50+$Q50*$M50)+($N50/60*($Q50*$O50)))/$P50,0))</f>
        <v>0</v>
      </c>
      <c r="S50" s="408"/>
      <c r="T50" s="409"/>
      <c r="U50" s="637" cm="1">
        <f t="array" ref="U50">IF(COUNTBLANK($S50:$T50),0,
IF(AND(INDEX(MHR[Schichtmodell],$CI50)&lt;&gt;0,INDEX(MHR[Schichtmodell],$CI50)&lt;&gt;INDEX(Premises!$A$20:$F$20,1,$CH50)),ExchangeRate*
IF(OR($T50="M",$T50="U"),IF(INDEX(MHR[Schichtmodell],$CI50)=1,INDEX(LOC[M1S],INDEX(Premises!$A$18:$F$18,1,$CH50+1)),IF(INDEX(MHR[Schichtmodell],$CI50)=2,INDEX(LOC[M2S],INDEX(Premises!$A$18:$F$18,1,$CH50+1),IF(INDEX(MHR[Schichtmodell],$CI50)=3,INDEX(LOC[M3S],INDEX(Premises!$A$18:$F$18,1,$CH50+1)),0)))),
IF(INDEX(MHR[Schichtmodell],$CI50)=1,INDEX(LOC[F1S],INDEX(Premises!$A$18:$F$18,1,$CH50+1)),IF(INDEX(MHR[Schichtmodell],$CI50)=2,INDEX(LOC[F2S],INDEX(Premises!$A$18:$F$18,1,$CH50+1)),IF(INDEX(MHR[Schichtmodell],$CI50)=3,INDEX(LOC[F3S],INDEX(Premises!$A$18:$F$18,1,$CH50+1)),0)))),
IF(OR($T50="M",$T50="U"),INDEX(Premises!$A$21:$F$21,1,$CH50),
IF(OR($T50="F",$T50="S"),INDEX(Premises!$A$22:$F$22,1,$CH50),0)))*100/INDEX(Premises!$A$16:$F$16,1,$CH50))</f>
        <v>0</v>
      </c>
      <c r="V50" s="631">
        <f t="shared" ref="V50:V67" si="146">IF($U50=0,0,IFERROR($F50/$H50/IF($G50="s",3600,IF($G50="min",60,IF($G50="h",1,0)))*$S50*$U50,0))</f>
        <v>0</v>
      </c>
      <c r="W50" s="410"/>
      <c r="X50" s="403"/>
      <c r="Y50" s="411"/>
      <c r="Z50" s="412"/>
      <c r="AA50" s="628">
        <f t="shared" ref="AA50:AA67" si="147">IFERROR($X50*$Z50/$Y50/MAX(1,$H50),0)</f>
        <v>0</v>
      </c>
      <c r="AB50" s="410"/>
      <c r="AC50" s="403"/>
      <c r="AD50" s="411"/>
      <c r="AE50" s="413"/>
      <c r="AF50" s="628">
        <f t="shared" ref="AF50:AF67" si="148">IFERROR($AC50*$AE50/$AD50,0)</f>
        <v>0</v>
      </c>
      <c r="AG50" s="629" cm="1">
        <f t="array" ref="AG50">IF(($J50+$V50+$AF50)=0,0,INDEX(Premises!$A$30:$F$30,1,$CH50)/100)</f>
        <v>0</v>
      </c>
      <c r="AH50" s="414"/>
      <c r="AI50" s="415"/>
      <c r="AJ50" s="416"/>
      <c r="AK50" s="630">
        <f t="shared" ref="AK50:AK67" si="149">IF(COUNTBLANK($AH50:$AI50),0,$AH50*$AI50*$AG50)</f>
        <v>0</v>
      </c>
      <c r="AL50" s="631">
        <f t="shared" ref="AL50:AL67" si="150">($AK50+$AJ50*$AG50*(1-$AH50)+($J50+$V50+$AF50)*$AG50*(1-$AH50))</f>
        <v>0</v>
      </c>
      <c r="AM50" s="632" cm="1">
        <f t="array" ref="AM50">IF($CI50=0,0,IFERROR(INDEX(MHR[],$CI50,MATCH($CA50,MHR!$B$4:$AY$4,0)+11),0))</f>
        <v>0</v>
      </c>
      <c r="AN50" s="633" cm="1">
        <f t="array" ref="AN50">IF(($J50+$V50)=0,0,IFERROR(IF(INDEX(Premises!$A$41:$F$41,1,$CH50)&lt;&gt;0,INDEX(Premises!$A$41:$F$41,1,$CH50)/100,(IFERROR(($J50/$I50)*$AM50,0)/($V50+$J50+$R50+$AL50))),0))</f>
        <v>0</v>
      </c>
      <c r="AO50" s="634">
        <f t="shared" ref="AO50:AO67" si="151">IF(($J50+$V50)=0,0,IF(IFERROR(($J50+$R50+$V50+$AL50)*$AN50,0)&lt;&gt;IFERROR(($J50/$I50)*$AM50,0),($J50+$R50+$V50+$AL50)*$AN50,IFERROR(($J50/$I50)*$AM50,0)))</f>
        <v>0</v>
      </c>
      <c r="AP50" s="635">
        <f t="shared" ref="AP50:AP67" si="152">$V50+$J50+$R50+$AA50+$AF50+$AL50+$AO50</f>
        <v>0</v>
      </c>
      <c r="AQ50" s="410" t="str">
        <f>BOM!$A$8</f>
        <v>01-01-03-01 Front Outer Metal Cover</v>
      </c>
      <c r="AR50" s="409">
        <f>VLOOKUP($AQ50,BOM,6,0)</f>
        <v>1</v>
      </c>
      <c r="AS50" s="636" cm="1">
        <f t="array" ref="AS50">IF($CJ50=0,0,IFERROR(INDEX(MAT[Einheit],$CJ50,1),0))</f>
        <v>0</v>
      </c>
      <c r="AT50" s="637" cm="1">
        <f t="array" ref="AT50">IF($CJ50=0,0,IFERROR(INDEX(MAT[Preis],$CJ50,1),0))</f>
        <v>0</v>
      </c>
      <c r="AU50" s="638">
        <f t="shared" ref="AU50:AU67" si="153">$AR50*$AT50</f>
        <v>0</v>
      </c>
      <c r="AV50" s="639" cm="1">
        <f t="array" ref="AV50">IF($AU50&lt;=0,0,INDEX(Premises!$A$30:$F$30,1,$CH50)/100)</f>
        <v>0</v>
      </c>
      <c r="AW50" s="409"/>
      <c r="AX50" s="631">
        <f t="shared" ref="AX50:AX67" si="154">IF($AV50=0,0,($AU50+$AW50)*$AV50)</f>
        <v>0</v>
      </c>
      <c r="AY50" s="640" cm="1">
        <f t="array" ref="AY50">IF($AT50&lt;=0,0,IFERROR(IF(INDEX(Premises!$A$42:$F$42,1,$CH50)&lt;&gt;0,INDEX(Premises!$A$42:$F$42,1,$CH50)/100,(INDEX(MAT[],$CJ50,MATCH($CA50,MAT!$B$4:$AE$4,0))/($AR50*$CK50*INDEX(Premises!$A$13:$F$13,1,$CH50))+INDEX(MAT[],$CJ50,MATCH($CA50,MAT!$B$4:$AE$4,0)+7))/$AT50),0))</f>
        <v>0</v>
      </c>
      <c r="AZ50" s="631">
        <f t="shared" ref="AZ50:AZ67" si="155">IF($AY50=0,0,($AU50+$AX50)*$AY50)</f>
        <v>0</v>
      </c>
      <c r="BA50" s="635">
        <f t="shared" ref="BA50:BA67" si="156">$AU50+$AX50+$AZ50</f>
        <v>0</v>
      </c>
      <c r="BB50" s="635">
        <f t="shared" ref="BB50:BB67" si="157">$AP50+$BA50</f>
        <v>0</v>
      </c>
      <c r="BC50" s="639" cm="1">
        <f t="array" ref="BC50">IF($BB50&lt;=0,0,IF(BC$2=-1,0,INDEX(Premises!$A$32:$F$32,1,$CH50)/100))</f>
        <v>0</v>
      </c>
      <c r="BD50" s="631">
        <f t="shared" ref="BD50:BD67" si="158">IF($AP50&lt;=0,0,($AP50-$AA50-$AL50)*$BC50)</f>
        <v>0</v>
      </c>
      <c r="BE50" s="639" cm="1">
        <f t="array" ref="BE50">IF($BB50&lt;=0,0,IF(BE$2=-1,0,INDEX(Premises!$A$33:$F$33,1,$CH50)/100))</f>
        <v>0</v>
      </c>
      <c r="BF50" s="631">
        <f t="shared" ref="BF50:BF67" si="159">IF($BA50&lt;=0,0,$BA50*$BE50)</f>
        <v>0</v>
      </c>
      <c r="BG50" s="639" cm="1">
        <f t="array" ref="BG50">IF($BB50&lt;=0,0,IF(BG$2=-1,0,INDEX(Premises!$A$31:$F$31,1,$CH50)/100))</f>
        <v>0</v>
      </c>
      <c r="BH50" s="631">
        <f t="shared" ref="BH50:BH67" si="160">(($AP50-$AA50-$AL50)+$BA50)*$BG50</f>
        <v>0</v>
      </c>
      <c r="BI50" s="635">
        <f t="shared" ref="BI50:BI67" si="161">$BB50+$BD50+$BF50+$BH50</f>
        <v>0</v>
      </c>
      <c r="BJ50" s="639" cm="1">
        <f t="array" ref="BJ50">IF($BB50&lt;=0,0,IF(BJ$2=-1,0,INDEX(Premises!$A$35:$F$35,1,$CH50)/100))</f>
        <v>0</v>
      </c>
      <c r="BK50" s="631">
        <f t="shared" ref="BK50:BK67" si="162">IF($AP50&lt;=0,0,($AP50-$AL50-$AA50)*$BJ50)</f>
        <v>0</v>
      </c>
      <c r="BL50" s="639" cm="1">
        <f t="array" ref="BL50">IF($BB50&lt;=0,0,IF(BL$2=-1,0,INDEX(Premises!$A$36:$F$36,1,$CH50)/100))</f>
        <v>0</v>
      </c>
      <c r="BM50" s="631">
        <f t="shared" ref="BM50:BM67" si="163">IF($AU50&lt;=0,0,($AR50*$AT50)*$BL50)</f>
        <v>0</v>
      </c>
      <c r="BN50" s="639" cm="1">
        <f t="array" ref="BN50">IF($BB50&lt;=0,0,IF(BN$2=-1,0,INDEX(Premises!$A$34:$F$34,1,$CH50)/100))</f>
        <v>0</v>
      </c>
      <c r="BO50" s="631">
        <f t="shared" ref="BO50:BO67" si="164">(($AP50-$AL50-$AA50)+($AR50*$AT50))*$BN50</f>
        <v>0</v>
      </c>
      <c r="BP50" s="639" cm="1">
        <f t="array" ref="BP50">IF($BI50=0,0,INDEX(Premises!$A$37:$F$37,1,$CH50)/100)</f>
        <v>0</v>
      </c>
      <c r="BQ50" s="409"/>
      <c r="BR50" s="631">
        <f t="shared" ref="BR50:BR67" si="165">($BI50+$BK50+$BM50+$BO50)*$BP50+$BQ50</f>
        <v>0</v>
      </c>
      <c r="BS50" s="641">
        <f t="shared" ref="BS50:BS67" si="166">BI50+BK50+BM50+BO50+BR50</f>
        <v>0</v>
      </c>
      <c r="BT50" s="641">
        <f t="shared" ref="BT50:BT67" si="167">IF($BS50=0,0,$CK50*$BS50)</f>
        <v>0</v>
      </c>
      <c r="BU50" s="642">
        <f t="shared" ref="BU50:BU67" si="168">IF($BT50=0,0,MAX(1,$EB50/$DP50))</f>
        <v>0</v>
      </c>
      <c r="BV50" s="417"/>
      <c r="BW50" s="418"/>
      <c r="BX50" s="418"/>
      <c r="BY50" s="419"/>
      <c r="BZ50" s="968"/>
      <c r="CA50" s="280" cm="1">
        <f t="array" ref="CA50">IF($BZ50&gt;0,VALUE(LEFT($BZ50,IF(ISERROR(FIND("-",$BZ50)),LEN($BZ50),FIND("-",$BZ50)-1))),INDEX($CA$1:$CA50,MAX(1,$CD50)))</f>
        <v>1</v>
      </c>
      <c r="CB50" s="280" cm="1">
        <f t="array" ref="CB50">IF($BT50=0,0,IF(LEN($BZ50)-LEN(SUBSTITUTE($BZ50,"-",""))&gt;1,
VALUE(MID($BZ50,FIND("-",$BZ50)+1,FIND("-",$BZ50,FIND("-",$BZ50)+1)-FIND("-",$BZ50)-1)),IF($BZ50&gt;0,0,INDEX($CB$1:$CB50,MAX(1,$CD50)))))</f>
        <v>0</v>
      </c>
      <c r="CC50" s="280" cm="1">
        <f t="array" ref="CC50">IF($BT50=0,0,IF(NOT(ISERROR(FIND("-",BZ50))),
VALUE(RIGHT($BZ50,LEN($BZ50)-IF(LEN($BZ50)-LEN(SUBSTITUTE($BZ50,"-",""))=1,FIND("-",$BZ50),FIND("-",$BZ50,FIND("-",$BZ50)+1)))),
IF($BZ50&gt;0,0,INDEX($CC$1:$CC50,MAX(1,$CD50)))))</f>
        <v>0</v>
      </c>
      <c r="CD50" s="393">
        <f>MATCH(0,$CE$1:$CE50,-1)</f>
        <v>49</v>
      </c>
      <c r="CE50" s="280"/>
      <c r="CF50" s="394"/>
      <c r="CG50" s="393" cm="1">
        <f t="array" ref="CG50">INDEX($CG$1:$CG50,$CD50)</f>
        <v>7</v>
      </c>
      <c r="CH50" s="280">
        <f>MATCH($CA50,Premises!$A$10:$F$10,0)</f>
        <v>4</v>
      </c>
      <c r="CI50" s="280">
        <f>IF(ISBLANK($E50),0,IFERROR(MATCH($E50,MHR[Bezeichnung],0),0))</f>
        <v>0</v>
      </c>
      <c r="CJ50" s="394">
        <f>IF(ISBLANK($AQ50),0,IFERROR(MATCH($AQ50,MAT[Bezeichnung],0),0))</f>
        <v>0</v>
      </c>
      <c r="CK50" s="280" cm="1">
        <f t="array" ref="CK50">INDEX($D$1:$D50,$CD50)</f>
        <v>1</v>
      </c>
      <c r="CL50" s="280"/>
      <c r="CM50" s="395"/>
      <c r="CN50" s="396" cm="1">
        <f t="array" ref="CN50">IF($CB50=0,0,IF($CB50=INDEX($CB$1:$CB50,$CD50),INDEX($CN$1:$CN50,$CD50),$CP50))</f>
        <v>0</v>
      </c>
      <c r="CO50" s="395"/>
      <c r="CP50" s="396" cm="1">
        <f t="array" ref="CP50">IF($CC50=0,0,INDEX($CP$1:$CP50,$CD50))</f>
        <v>0</v>
      </c>
      <c r="CQ50" s="397"/>
      <c r="CR50" s="398"/>
      <c r="CS50" s="398"/>
      <c r="CT50" s="970"/>
      <c r="CU50" s="2"/>
      <c r="CV50" s="647">
        <f t="shared" ref="CV50:CV67" si="169">$J50*$CK50</f>
        <v>0</v>
      </c>
      <c r="CW50" s="648">
        <f t="shared" ref="CW50:CW67" si="170">$R50*$CK50</f>
        <v>0</v>
      </c>
      <c r="CX50" s="648">
        <f t="shared" ref="CX50:CX67" si="171">$V50*$CK50</f>
        <v>0</v>
      </c>
      <c r="CY50" s="648">
        <f t="shared" ref="CY50:CY67" si="172">$AA50*$CK50</f>
        <v>0</v>
      </c>
      <c r="CZ50" s="648">
        <f t="shared" ref="CZ50:CZ67" si="173">$AF50*$CK50</f>
        <v>0</v>
      </c>
      <c r="DA50" s="648">
        <f t="shared" ref="DA50:DA67" si="174">$AL50*$CK50</f>
        <v>0</v>
      </c>
      <c r="DB50" s="648">
        <f t="shared" ref="DB50:DB67" si="175">$AO50*$CK50</f>
        <v>0</v>
      </c>
      <c r="DC50" s="649">
        <f t="shared" ref="DC50:DC67" si="176">$AP50*$CK50</f>
        <v>0</v>
      </c>
      <c r="DD50" s="648">
        <f t="shared" ref="DD50:DD67" si="177">$AU50*$CK50</f>
        <v>0</v>
      </c>
      <c r="DE50" s="648">
        <f t="shared" ref="DE50:DE67" si="178">$AX50*$CK50</f>
        <v>0</v>
      </c>
      <c r="DF50" s="648">
        <f t="shared" ref="DF50:DF67" si="179">$AZ50*$CK50</f>
        <v>0</v>
      </c>
      <c r="DG50" s="649">
        <f t="shared" ref="DG50:DG67" si="180">$BA50*$CK50</f>
        <v>0</v>
      </c>
      <c r="DH50" s="649">
        <f t="shared" ref="DH50:DH67" si="181">$BB50*$CK50</f>
        <v>0</v>
      </c>
      <c r="DI50" s="648">
        <f t="shared" ref="DI50:DI67" si="182">$BD50*$CK50</f>
        <v>0</v>
      </c>
      <c r="DJ50" s="648">
        <f t="shared" ref="DJ50:DJ67" si="183">$BF50*$CK50</f>
        <v>0</v>
      </c>
      <c r="DK50" s="648">
        <f t="shared" ref="DK50:DK67" si="184">$BH50*$CK50</f>
        <v>0</v>
      </c>
      <c r="DL50" s="648">
        <f t="shared" ref="DL50:DL67" si="185">$BK50*$CK50</f>
        <v>0</v>
      </c>
      <c r="DM50" s="648">
        <f t="shared" ref="DM50:DM67" si="186">$BM50*$CK50</f>
        <v>0</v>
      </c>
      <c r="DN50" s="648">
        <f t="shared" ref="DN50:DN67" si="187">$BO50*$CK50</f>
        <v>0</v>
      </c>
      <c r="DO50" s="648">
        <f t="shared" ref="DO50:DO67" si="188">$BR50*$CK50</f>
        <v>0</v>
      </c>
      <c r="DP50" s="651">
        <f t="shared" ref="DP50:DP67" si="189">$CK50*($BB50+$BD50+$BF50+$BH50+$BK50+$BM50+$BO50+$BR50)</f>
        <v>0</v>
      </c>
      <c r="DQ50" s="951">
        <f>IF($CB50=0,0,$DP50*_xlfn.XLOOKUP($CB50,Premises!$A$10:$F$10,Premises!$A$30:$F$30)/100)</f>
        <v>0</v>
      </c>
      <c r="DR50" s="650">
        <f>IFERROR(SUM($DP50:$DQ50)*IF(INDEX(Premises!$A$42:$F$42,1,MATCH($CB50,Premises!$A$10:$F$10,0))&gt;0,INDEX(Premises!$A$42:$F$42,1,MATCH($CB50,Premises!$A$10:$F$10,0))%,$CN50),0)</f>
        <v>0</v>
      </c>
      <c r="DS50" s="650" cm="1">
        <f t="array" ref="DS50">IF($CB50=0,0,SUM($DP50:$DR50)*_xlfn.XLOOKUP($CB50,Premises!$A$10:$F$10,IF(INDEX(Settings[],MATCH(3001,Settings[ID],0),2)="B",Premises!$A$33:$F$33,Premises!$A$31:$F$31))/100)</f>
        <v>0</v>
      </c>
      <c r="DT50" s="650" cm="1">
        <f t="array" ref="DT50">IF($CB50=0,0,$DP50*_xlfn.XLOOKUP($CB50,Premises!$A$10:$F$10,IF(INDEX(Settings[],MATCH(3002,Settings[ID],0),2)="B",Premises!$A$36:$F$36,Premises!$A$34:$F$34))/100)</f>
        <v>0</v>
      </c>
      <c r="DU50" s="650">
        <f>IF($CB50=0,0,SUM($DP50:$DT50)*_xlfn.XLOOKUP($CB50,Premises!$A$10:$F$10,Premises!$A$37:$F$37)/100)</f>
        <v>0</v>
      </c>
      <c r="DV50" s="954">
        <f t="shared" ref="DV50:DV67" si="190">SUM($DP50:$DU50)</f>
        <v>0</v>
      </c>
      <c r="DW50" s="951">
        <f>IF($CC50=0,0,$DV50*_xlfn.XLOOKUP($CC50,Premises!$A$10:$F$10,Premises!$A$30:$F$30)/100)</f>
        <v>0</v>
      </c>
      <c r="DX50" s="650">
        <f>IFERROR(SUM($DV50:$DW50)*IF(INDEX(Premises!$A$42:$F$42,1,MATCH($CC50,Premises!$A$10:$F$10,0))&gt;0,INDEX(Premises!$A$42:$F$42,1,MATCH($CC50,Premises!$A$10:$F$10,0))%,$CP50),0)</f>
        <v>0</v>
      </c>
      <c r="DY50" s="650" cm="1">
        <f t="array" ref="DY50">IF($CC50=0,0,SUM($DV50:$DX50)*_xlfn.XLOOKUP($CC50,Premises!$A$10:$F$10,IF(INDEX(Settings[],MATCH(3001,Settings[ID],0),2)="B",Premises!$A$33:$F$33,Premises!$A$31:$F$31))/100)</f>
        <v>0</v>
      </c>
      <c r="DZ50" s="650" cm="1">
        <f t="array" ref="DZ50">IF($CC50=0,0,$DV50*_xlfn.XLOOKUP($CC50,Premises!$A$10:$F$10,IF(INDEX(Settings[],MATCH(3002,Settings[ID],0),2)="B",Premises!$A$36:$F$36,Premises!$A$34:$F$34))/100)</f>
        <v>0</v>
      </c>
      <c r="EA50" s="650">
        <f>IF($CC50=0,0,SUM($DV50:$DZ50)*_xlfn.XLOOKUP($CC50,Premises!$A$10:$F$10,Premises!$A$37:$F$37)/100)</f>
        <v>0</v>
      </c>
      <c r="EB50" s="651">
        <f t="shared" ref="EB50:EB67" si="191">SUM($DV50:$EA50)</f>
        <v>0</v>
      </c>
      <c r="EC50" s="805"/>
      <c r="ED50" s="1104"/>
      <c r="EE50" s="650"/>
      <c r="EF50" s="1110"/>
      <c r="EG50" s="1108"/>
      <c r="EH50" s="1108"/>
      <c r="EI50" s="1108"/>
      <c r="EJ50" s="1108"/>
      <c r="EK50" s="1108"/>
      <c r="EL50" s="1108"/>
      <c r="EM50" s="1110"/>
      <c r="EN50" s="1108"/>
      <c r="EO50" s="1108"/>
      <c r="EP50" s="1108"/>
      <c r="EQ50" s="1108"/>
      <c r="ER50" s="1110"/>
      <c r="ES50" s="1108"/>
      <c r="ET50" s="1108"/>
      <c r="EU50" s="1108"/>
      <c r="EV50" s="1108"/>
      <c r="EW50" s="1108"/>
      <c r="EX50" s="1111"/>
      <c r="EY50" s="2"/>
      <c r="EZ50" s="2"/>
      <c r="FA50" s="2"/>
      <c r="FB50" s="2"/>
      <c r="FC50" s="2"/>
      <c r="FD50" s="2"/>
      <c r="FE50" s="2"/>
      <c r="FF50" s="2"/>
      <c r="FG50" s="2"/>
      <c r="FH50" s="2"/>
      <c r="FI50" s="2"/>
      <c r="FJ50" s="420"/>
      <c r="FK50" s="421"/>
      <c r="FL50" s="422"/>
      <c r="FM50" s="970"/>
    </row>
    <row r="51" spans="1:169" s="13" customFormat="1" ht="12.75" customHeight="1">
      <c r="A51" s="221"/>
      <c r="B51" s="402"/>
      <c r="C51" s="403"/>
      <c r="D51" s="646"/>
      <c r="E51" s="404"/>
      <c r="F51" s="405"/>
      <c r="G51" s="405"/>
      <c r="H51" s="405"/>
      <c r="I51" s="637" cm="1">
        <f t="array" ref="I51">IF($CI51=0,0,IFERROR(INDEX(MHR[],$CI51,MATCH($CA51,MHR!$B$4:$AY$4,0)),0))</f>
        <v>0</v>
      </c>
      <c r="J51" s="634">
        <f t="shared" si="144"/>
        <v>0</v>
      </c>
      <c r="K51" s="406"/>
      <c r="L51" s="407"/>
      <c r="M51" s="871"/>
      <c r="N51" s="407"/>
      <c r="O51" s="405"/>
      <c r="P51" s="645" cm="1">
        <f t="array" ref="P51">IF($K51=0,0,IFERROR(ROUNDUP(IF(ISNUMBER($K51),$K51,INDEX($D$1:$D51,$CD51)*INDEX(Premises!$A$13:$F$13,1,$CH51)/IF(OR($K51="T",$K51="D"),250,IF($K51="W",50,IF($K51="M",12,IF(OR($K51="HJ",$K51="HY"),2,IF(OR($K51="J",$K51="Y"),1,0)))))),0),0))</f>
        <v>0</v>
      </c>
      <c r="Q51" s="637" cm="1">
        <f t="array" ref="Q51">IF($K51=0,0,IFERROR(INDEX(Premises!$A$22:$F$22,1,$CH51)*100/INDEX(Premises!$A$16:$F$16,1,$CH51),0))</f>
        <v>0</v>
      </c>
      <c r="R51" s="634">
        <f t="shared" si="145"/>
        <v>0</v>
      </c>
      <c r="S51" s="408"/>
      <c r="T51" s="409"/>
      <c r="U51" s="637" cm="1">
        <f t="array" ref="U51">IF(COUNTBLANK($S51:$T51),0,
IF(AND(INDEX(MHR[Schichtmodell],$CI51)&lt;&gt;0,INDEX(MHR[Schichtmodell],$CI51)&lt;&gt;INDEX(Premises!$A$20:$F$20,1,$CH51)),ExchangeRate*
IF(OR($T51="M",$T51="U"),IF(INDEX(MHR[Schichtmodell],$CI51)=1,INDEX(LOC[M1S],INDEX(Premises!$A$18:$F$18,1,$CH51+1)),IF(INDEX(MHR[Schichtmodell],$CI51)=2,INDEX(LOC[M2S],INDEX(Premises!$A$18:$F$18,1,$CH51+1),IF(INDEX(MHR[Schichtmodell],$CI51)=3,INDEX(LOC[M3S],INDEX(Premises!$A$18:$F$18,1,$CH51+1)),0)))),
IF(INDEX(MHR[Schichtmodell],$CI51)=1,INDEX(LOC[F1S],INDEX(Premises!$A$18:$F$18,1,$CH51+1)),IF(INDEX(MHR[Schichtmodell],$CI51)=2,INDEX(LOC[F2S],INDEX(Premises!$A$18:$F$18,1,$CH51+1)),IF(INDEX(MHR[Schichtmodell],$CI51)=3,INDEX(LOC[F3S],INDEX(Premises!$A$18:$F$18,1,$CH51+1)),0)))),
IF(OR($T51="M",$T51="U"),INDEX(Premises!$A$21:$F$21,1,$CH51),
IF(OR($T51="F",$T51="S"),INDEX(Premises!$A$22:$F$22,1,$CH51),0)))*100/INDEX(Premises!$A$16:$F$16,1,$CH51))</f>
        <v>0</v>
      </c>
      <c r="V51" s="631">
        <f t="shared" si="146"/>
        <v>0</v>
      </c>
      <c r="W51" s="410"/>
      <c r="X51" s="403"/>
      <c r="Y51" s="411"/>
      <c r="Z51" s="412"/>
      <c r="AA51" s="628">
        <f t="shared" si="147"/>
        <v>0</v>
      </c>
      <c r="AB51" s="410"/>
      <c r="AC51" s="403"/>
      <c r="AD51" s="411"/>
      <c r="AE51" s="413"/>
      <c r="AF51" s="628">
        <f t="shared" si="148"/>
        <v>0</v>
      </c>
      <c r="AG51" s="629" cm="1">
        <f t="array" ref="AG51">IF(($J51+$V51+$AF51)=0,0,INDEX(Premises!$A$30:$F$30,1,$CH51)/100)</f>
        <v>0</v>
      </c>
      <c r="AH51" s="414"/>
      <c r="AI51" s="415"/>
      <c r="AJ51" s="416"/>
      <c r="AK51" s="630">
        <f t="shared" si="149"/>
        <v>0</v>
      </c>
      <c r="AL51" s="631">
        <f t="shared" si="150"/>
        <v>0</v>
      </c>
      <c r="AM51" s="632" cm="1">
        <f t="array" ref="AM51">IF($CI51=0,0,IFERROR(INDEX(MHR[],$CI51,MATCH($CA51,MHR!$B$4:$AY$4,0)+11),0))</f>
        <v>0</v>
      </c>
      <c r="AN51" s="633" cm="1">
        <f t="array" ref="AN51">IF(($J51+$V51)=0,0,IFERROR(IF(INDEX(Premises!$A$41:$F$41,1,$CH51)&lt;&gt;0,INDEX(Premises!$A$41:$F$41,1,$CH51)/100,(IFERROR(($J51/$I51)*$AM51,0)/($V51+$J51+$R51+$AL51))),0))</f>
        <v>0</v>
      </c>
      <c r="AO51" s="634">
        <f t="shared" si="151"/>
        <v>0</v>
      </c>
      <c r="AP51" s="635">
        <f t="shared" si="152"/>
        <v>0</v>
      </c>
      <c r="AQ51" s="410" t="str">
        <f>BOM!$A$9</f>
        <v>01-01-03-02 Front Plastic Cover</v>
      </c>
      <c r="AR51" s="409">
        <f>VLOOKUP($AQ51,BOM,6,0)</f>
        <v>1</v>
      </c>
      <c r="AS51" s="636" cm="1">
        <f t="array" ref="AS51">IF($CJ51=0,0,IFERROR(INDEX(MAT[Einheit],$CJ51,1),0))</f>
        <v>0</v>
      </c>
      <c r="AT51" s="637" cm="1">
        <f t="array" ref="AT51">IF($CJ51=0,0,IFERROR(INDEX(MAT[Preis],$CJ51,1),0))</f>
        <v>0</v>
      </c>
      <c r="AU51" s="638">
        <f t="shared" si="153"/>
        <v>0</v>
      </c>
      <c r="AV51" s="639" cm="1">
        <f t="array" ref="AV51">IF($AU51&lt;=0,0,INDEX(Premises!$A$30:$F$30,1,$CH51)/100)</f>
        <v>0</v>
      </c>
      <c r="AW51" s="409"/>
      <c r="AX51" s="631">
        <f t="shared" si="154"/>
        <v>0</v>
      </c>
      <c r="AY51" s="640" cm="1">
        <f t="array" ref="AY51">IF($AT51&lt;=0,0,IFERROR(IF(INDEX(Premises!$A$42:$F$42,1,$CH51)&lt;&gt;0,INDEX(Premises!$A$42:$F$42,1,$CH51)/100,(INDEX(MAT[],$CJ51,MATCH($CA51,MAT!$B$4:$AE$4,0))/($AR51*$CK51*INDEX(Premises!$A$13:$F$13,1,$CH51))+INDEX(MAT[],$CJ51,MATCH($CA51,MAT!$B$4:$AE$4,0)+7))/$AT51),0))</f>
        <v>0</v>
      </c>
      <c r="AZ51" s="631">
        <f t="shared" si="155"/>
        <v>0</v>
      </c>
      <c r="BA51" s="635">
        <f t="shared" si="156"/>
        <v>0</v>
      </c>
      <c r="BB51" s="635">
        <f t="shared" si="157"/>
        <v>0</v>
      </c>
      <c r="BC51" s="639" cm="1">
        <f t="array" ref="BC51">IF($BB51&lt;=0,0,IF(BC$2=-1,0,INDEX(Premises!$A$32:$F$32,1,$CH51)/100))</f>
        <v>0</v>
      </c>
      <c r="BD51" s="631">
        <f t="shared" si="158"/>
        <v>0</v>
      </c>
      <c r="BE51" s="639" cm="1">
        <f t="array" ref="BE51">IF($BB51&lt;=0,0,IF(BE$2=-1,0,INDEX(Premises!$A$33:$F$33,1,$CH51)/100))</f>
        <v>0</v>
      </c>
      <c r="BF51" s="631">
        <f t="shared" si="159"/>
        <v>0</v>
      </c>
      <c r="BG51" s="639" cm="1">
        <f t="array" ref="BG51">IF($BB51&lt;=0,0,IF(BG$2=-1,0,INDEX(Premises!$A$31:$F$31,1,$CH51)/100))</f>
        <v>0</v>
      </c>
      <c r="BH51" s="631">
        <f t="shared" si="160"/>
        <v>0</v>
      </c>
      <c r="BI51" s="635">
        <f t="shared" si="161"/>
        <v>0</v>
      </c>
      <c r="BJ51" s="639" cm="1">
        <f t="array" ref="BJ51">IF($BB51&lt;=0,0,IF(BJ$2=-1,0,INDEX(Premises!$A$35:$F$35,1,$CH51)/100))</f>
        <v>0</v>
      </c>
      <c r="BK51" s="631">
        <f t="shared" si="162"/>
        <v>0</v>
      </c>
      <c r="BL51" s="639" cm="1">
        <f t="array" ref="BL51">IF($BB51&lt;=0,0,IF(BL$2=-1,0,INDEX(Premises!$A$36:$F$36,1,$CH51)/100))</f>
        <v>0</v>
      </c>
      <c r="BM51" s="631">
        <f t="shared" si="163"/>
        <v>0</v>
      </c>
      <c r="BN51" s="639" cm="1">
        <f t="array" ref="BN51">IF($BB51&lt;=0,0,IF(BN$2=-1,0,INDEX(Premises!$A$34:$F$34,1,$CH51)/100))</f>
        <v>0</v>
      </c>
      <c r="BO51" s="631">
        <f t="shared" si="164"/>
        <v>0</v>
      </c>
      <c r="BP51" s="639" cm="1">
        <f t="array" ref="BP51">IF($BI51=0,0,INDEX(Premises!$A$37:$F$37,1,$CH51)/100)</f>
        <v>0</v>
      </c>
      <c r="BQ51" s="409"/>
      <c r="BR51" s="631">
        <f t="shared" si="165"/>
        <v>0</v>
      </c>
      <c r="BS51" s="641">
        <f t="shared" si="166"/>
        <v>0</v>
      </c>
      <c r="BT51" s="641">
        <f t="shared" si="167"/>
        <v>0</v>
      </c>
      <c r="BU51" s="642">
        <f t="shared" si="168"/>
        <v>0</v>
      </c>
      <c r="BV51" s="417"/>
      <c r="BW51" s="418"/>
      <c r="BX51" s="418"/>
      <c r="BY51" s="419"/>
      <c r="BZ51" s="968"/>
      <c r="CA51" s="280" cm="1">
        <f t="array" ref="CA51">IF($BZ51&gt;0,VALUE(LEFT($BZ51,IF(ISERROR(FIND("-",$BZ51)),LEN($BZ51),FIND("-",$BZ51)-1))),INDEX($CA$1:$CA51,MAX(1,$CD51)))</f>
        <v>1</v>
      </c>
      <c r="CB51" s="280" cm="1">
        <f t="array" ref="CB51">IF($BT51=0,0,IF(LEN($BZ51)-LEN(SUBSTITUTE($BZ51,"-",""))&gt;1,
VALUE(MID($BZ51,FIND("-",$BZ51)+1,FIND("-",$BZ51,FIND("-",$BZ51)+1)-FIND("-",$BZ51)-1)),IF($BZ51&gt;0,0,INDEX($CB$1:$CB51,MAX(1,$CD51)))))</f>
        <v>0</v>
      </c>
      <c r="CC51" s="280" cm="1">
        <f t="array" ref="CC51">IF($BT51=0,0,IF(NOT(ISERROR(FIND("-",BZ51))),
VALUE(RIGHT($BZ51,LEN($BZ51)-IF(LEN($BZ51)-LEN(SUBSTITUTE($BZ51,"-",""))=1,FIND("-",$BZ51),FIND("-",$BZ51,FIND("-",$BZ51)+1)))),
IF($BZ51&gt;0,0,INDEX($CC$1:$CC51,MAX(1,$CD51)))))</f>
        <v>0</v>
      </c>
      <c r="CD51" s="393">
        <f>MATCH(0,$CE$1:$CE51,-1)</f>
        <v>49</v>
      </c>
      <c r="CE51" s="280"/>
      <c r="CF51" s="394"/>
      <c r="CG51" s="393" cm="1">
        <f t="array" ref="CG51">INDEX($CG$1:$CG51,$CD51)</f>
        <v>7</v>
      </c>
      <c r="CH51" s="280">
        <f>MATCH($CA51,Premises!$A$10:$F$10,0)</f>
        <v>4</v>
      </c>
      <c r="CI51" s="280">
        <f>IF(ISBLANK($E51),0,IFERROR(MATCH($E51,MHR[Bezeichnung],0),0))</f>
        <v>0</v>
      </c>
      <c r="CJ51" s="394">
        <f>IF(ISBLANK($AQ51),0,IFERROR(MATCH($AQ51,MAT[Bezeichnung],0),0))</f>
        <v>0</v>
      </c>
      <c r="CK51" s="280" cm="1">
        <f t="array" ref="CK51">INDEX($D$1:$D51,$CD51)</f>
        <v>1</v>
      </c>
      <c r="CL51" s="280"/>
      <c r="CM51" s="395"/>
      <c r="CN51" s="396" cm="1">
        <f t="array" ref="CN51">IF($CB51=0,0,IF($CB51=INDEX($CB$1:$CB51,$CD51),INDEX($CN$1:$CN51,$CD51),$CP51))</f>
        <v>0</v>
      </c>
      <c r="CO51" s="395"/>
      <c r="CP51" s="396" cm="1">
        <f t="array" ref="CP51">IF($CC51=0,0,INDEX($CP$1:$CP51,$CD51))</f>
        <v>0</v>
      </c>
      <c r="CQ51" s="397"/>
      <c r="CR51" s="398"/>
      <c r="CS51" s="398"/>
      <c r="CT51" s="970"/>
      <c r="CU51" s="2"/>
      <c r="CV51" s="647">
        <f t="shared" si="169"/>
        <v>0</v>
      </c>
      <c r="CW51" s="648">
        <f t="shared" si="170"/>
        <v>0</v>
      </c>
      <c r="CX51" s="648">
        <f t="shared" si="171"/>
        <v>0</v>
      </c>
      <c r="CY51" s="648">
        <f t="shared" si="172"/>
        <v>0</v>
      </c>
      <c r="CZ51" s="648">
        <f t="shared" si="173"/>
        <v>0</v>
      </c>
      <c r="DA51" s="648">
        <f t="shared" si="174"/>
        <v>0</v>
      </c>
      <c r="DB51" s="648">
        <f t="shared" si="175"/>
        <v>0</v>
      </c>
      <c r="DC51" s="649">
        <f t="shared" si="176"/>
        <v>0</v>
      </c>
      <c r="DD51" s="648">
        <f t="shared" si="177"/>
        <v>0</v>
      </c>
      <c r="DE51" s="648">
        <f t="shared" si="178"/>
        <v>0</v>
      </c>
      <c r="DF51" s="648">
        <f t="shared" si="179"/>
        <v>0</v>
      </c>
      <c r="DG51" s="649">
        <f t="shared" si="180"/>
        <v>0</v>
      </c>
      <c r="DH51" s="649">
        <f t="shared" si="181"/>
        <v>0</v>
      </c>
      <c r="DI51" s="648">
        <f t="shared" si="182"/>
        <v>0</v>
      </c>
      <c r="DJ51" s="648">
        <f t="shared" si="183"/>
        <v>0</v>
      </c>
      <c r="DK51" s="648">
        <f t="shared" si="184"/>
        <v>0</v>
      </c>
      <c r="DL51" s="648">
        <f t="shared" si="185"/>
        <v>0</v>
      </c>
      <c r="DM51" s="648">
        <f t="shared" si="186"/>
        <v>0</v>
      </c>
      <c r="DN51" s="648">
        <f t="shared" si="187"/>
        <v>0</v>
      </c>
      <c r="DO51" s="648">
        <f t="shared" si="188"/>
        <v>0</v>
      </c>
      <c r="DP51" s="651">
        <f t="shared" si="189"/>
        <v>0</v>
      </c>
      <c r="DQ51" s="951">
        <f>IF($CB51=0,0,$DP51*_xlfn.XLOOKUP($CB51,Premises!$A$10:$F$10,Premises!$A$30:$F$30)/100)</f>
        <v>0</v>
      </c>
      <c r="DR51" s="650">
        <f>IFERROR(SUM($DP51:$DQ51)*IF(INDEX(Premises!$A$42:$F$42,1,MATCH($CB51,Premises!$A$10:$F$10,0))&gt;0,INDEX(Premises!$A$42:$F$42,1,MATCH($CB51,Premises!$A$10:$F$10,0))%,$CN51),0)</f>
        <v>0</v>
      </c>
      <c r="DS51" s="650" cm="1">
        <f t="array" ref="DS51">IF($CB51=0,0,SUM($DP51:$DR51)*_xlfn.XLOOKUP($CB51,Premises!$A$10:$F$10,IF(INDEX(Settings[],MATCH(3001,Settings[ID],0),2)="B",Premises!$A$33:$F$33,Premises!$A$31:$F$31))/100)</f>
        <v>0</v>
      </c>
      <c r="DT51" s="650" cm="1">
        <f t="array" ref="DT51">IF($CB51=0,0,$DP51*_xlfn.XLOOKUP($CB51,Premises!$A$10:$F$10,IF(INDEX(Settings[],MATCH(3002,Settings[ID],0),2)="B",Premises!$A$36:$F$36,Premises!$A$34:$F$34))/100)</f>
        <v>0</v>
      </c>
      <c r="DU51" s="650">
        <f>IF($CB51=0,0,SUM($DP51:$DT51)*_xlfn.XLOOKUP($CB51,Premises!$A$10:$F$10,Premises!$A$37:$F$37)/100)</f>
        <v>0</v>
      </c>
      <c r="DV51" s="954">
        <f t="shared" si="190"/>
        <v>0</v>
      </c>
      <c r="DW51" s="951">
        <f>IF($CC51=0,0,$DV51*_xlfn.XLOOKUP($CC51,Premises!$A$10:$F$10,Premises!$A$30:$F$30)/100)</f>
        <v>0</v>
      </c>
      <c r="DX51" s="650">
        <f>IFERROR(SUM($DV51:$DW51)*IF(INDEX(Premises!$A$42:$F$42,1,MATCH($CC51,Premises!$A$10:$F$10,0))&gt;0,INDEX(Premises!$A$42:$F$42,1,MATCH($CC51,Premises!$A$10:$F$10,0))%,$CP51),0)</f>
        <v>0</v>
      </c>
      <c r="DY51" s="650" cm="1">
        <f t="array" ref="DY51">IF($CC51=0,0,SUM($DV51:$DX51)*_xlfn.XLOOKUP($CC51,Premises!$A$10:$F$10,IF(INDEX(Settings[],MATCH(3001,Settings[ID],0),2)="B",Premises!$A$33:$F$33,Premises!$A$31:$F$31))/100)</f>
        <v>0</v>
      </c>
      <c r="DZ51" s="650" cm="1">
        <f t="array" ref="DZ51">IF($CC51=0,0,$DV51*_xlfn.XLOOKUP($CC51,Premises!$A$10:$F$10,IF(INDEX(Settings[],MATCH(3002,Settings[ID],0),2)="B",Premises!$A$36:$F$36,Premises!$A$34:$F$34))/100)</f>
        <v>0</v>
      </c>
      <c r="EA51" s="650">
        <f>IF($CC51=0,0,SUM($DV51:$DZ51)*_xlfn.XLOOKUP($CC51,Premises!$A$10:$F$10,Premises!$A$37:$F$37)/100)</f>
        <v>0</v>
      </c>
      <c r="EB51" s="651">
        <f t="shared" si="191"/>
        <v>0</v>
      </c>
      <c r="EC51" s="805"/>
      <c r="ED51" s="1104"/>
      <c r="EE51" s="650"/>
      <c r="EF51" s="1110"/>
      <c r="EG51" s="1108"/>
      <c r="EH51" s="1108"/>
      <c r="EI51" s="1108"/>
      <c r="EJ51" s="1108"/>
      <c r="EK51" s="1108"/>
      <c r="EL51" s="1108"/>
      <c r="EM51" s="1110"/>
      <c r="EN51" s="1108"/>
      <c r="EO51" s="1108"/>
      <c r="EP51" s="1108"/>
      <c r="EQ51" s="1108"/>
      <c r="ER51" s="1110"/>
      <c r="ES51" s="1108"/>
      <c r="ET51" s="1108"/>
      <c r="EU51" s="1108"/>
      <c r="EV51" s="1108"/>
      <c r="EW51" s="1108"/>
      <c r="EX51" s="1111"/>
      <c r="EY51" s="2"/>
      <c r="EZ51" s="2"/>
      <c r="FA51" s="2"/>
      <c r="FB51" s="2"/>
      <c r="FC51" s="2"/>
      <c r="FD51" s="2"/>
      <c r="FE51" s="2"/>
      <c r="FF51" s="2"/>
      <c r="FG51" s="2"/>
      <c r="FH51" s="2"/>
      <c r="FI51" s="2"/>
      <c r="FJ51" s="420"/>
      <c r="FK51" s="421"/>
      <c r="FL51" s="422"/>
      <c r="FM51" s="970"/>
    </row>
    <row r="52" spans="1:169" s="13" customFormat="1" ht="12.75" customHeight="1">
      <c r="A52" s="221"/>
      <c r="B52" s="402"/>
      <c r="C52" s="403"/>
      <c r="D52" s="646"/>
      <c r="E52" s="404"/>
      <c r="F52" s="405"/>
      <c r="G52" s="405"/>
      <c r="H52" s="405"/>
      <c r="I52" s="637" cm="1">
        <f t="array" ref="I52">IF($CI52=0,0,IFERROR(INDEX(MHR[],$CI52,MATCH($CA52,MHR!$B$4:$AY$4,0)),0))</f>
        <v>0</v>
      </c>
      <c r="J52" s="634">
        <f t="shared" si="144"/>
        <v>0</v>
      </c>
      <c r="K52" s="406"/>
      <c r="L52" s="407"/>
      <c r="M52" s="871"/>
      <c r="N52" s="407"/>
      <c r="O52" s="405"/>
      <c r="P52" s="645" cm="1">
        <f t="array" ref="P52">IF($K52=0,0,IFERROR(ROUNDUP(IF(ISNUMBER($K52),$K52,INDEX($D$1:$D52,$CD52)*INDEX(Premises!$A$13:$F$13,1,$CH52)/IF(OR($K52="T",$K52="D"),250,IF($K52="W",50,IF($K52="M",12,IF(OR($K52="HJ",$K52="HY"),2,IF(OR($K52="J",$K52="Y"),1,0)))))),0),0))</f>
        <v>0</v>
      </c>
      <c r="Q52" s="637" cm="1">
        <f t="array" ref="Q52">IF($K52=0,0,IFERROR(INDEX(Premises!$A$22:$F$22,1,$CH52)*100/INDEX(Premises!$A$16:$F$16,1,$CH52),0))</f>
        <v>0</v>
      </c>
      <c r="R52" s="634">
        <f t="shared" si="145"/>
        <v>0</v>
      </c>
      <c r="S52" s="408"/>
      <c r="T52" s="409"/>
      <c r="U52" s="637" cm="1">
        <f t="array" ref="U52">IF(COUNTBLANK($S52:$T52),0,
IF(AND(INDEX(MHR[Schichtmodell],$CI52)&lt;&gt;0,INDEX(MHR[Schichtmodell],$CI52)&lt;&gt;INDEX(Premises!$A$20:$F$20,1,$CH52)),ExchangeRate*
IF(OR($T52="M",$T52="U"),IF(INDEX(MHR[Schichtmodell],$CI52)=1,INDEX(LOC[M1S],INDEX(Premises!$A$18:$F$18,1,$CH52+1)),IF(INDEX(MHR[Schichtmodell],$CI52)=2,INDEX(LOC[M2S],INDEX(Premises!$A$18:$F$18,1,$CH52+1),IF(INDEX(MHR[Schichtmodell],$CI52)=3,INDEX(LOC[M3S],INDEX(Premises!$A$18:$F$18,1,$CH52+1)),0)))),
IF(INDEX(MHR[Schichtmodell],$CI52)=1,INDEX(LOC[F1S],INDEX(Premises!$A$18:$F$18,1,$CH52+1)),IF(INDEX(MHR[Schichtmodell],$CI52)=2,INDEX(LOC[F2S],INDEX(Premises!$A$18:$F$18,1,$CH52+1)),IF(INDEX(MHR[Schichtmodell],$CI52)=3,INDEX(LOC[F3S],INDEX(Premises!$A$18:$F$18,1,$CH52+1)),0)))),
IF(OR($T52="M",$T52="U"),INDEX(Premises!$A$21:$F$21,1,$CH52),
IF(OR($T52="F",$T52="S"),INDEX(Premises!$A$22:$F$22,1,$CH52),0)))*100/INDEX(Premises!$A$16:$F$16,1,$CH52))</f>
        <v>0</v>
      </c>
      <c r="V52" s="631">
        <f t="shared" si="146"/>
        <v>0</v>
      </c>
      <c r="W52" s="410"/>
      <c r="X52" s="403"/>
      <c r="Y52" s="411"/>
      <c r="Z52" s="412"/>
      <c r="AA52" s="628">
        <f t="shared" si="147"/>
        <v>0</v>
      </c>
      <c r="AB52" s="410"/>
      <c r="AC52" s="403"/>
      <c r="AD52" s="411"/>
      <c r="AE52" s="413"/>
      <c r="AF52" s="628">
        <f t="shared" si="148"/>
        <v>0</v>
      </c>
      <c r="AG52" s="629" cm="1">
        <f t="array" ref="AG52">IF(($J52+$V52+$AF52)=0,0,INDEX(Premises!$A$30:$F$30,1,$CH52)/100)</f>
        <v>0</v>
      </c>
      <c r="AH52" s="414"/>
      <c r="AI52" s="415"/>
      <c r="AJ52" s="416"/>
      <c r="AK52" s="630">
        <f t="shared" si="149"/>
        <v>0</v>
      </c>
      <c r="AL52" s="631">
        <f t="shared" si="150"/>
        <v>0</v>
      </c>
      <c r="AM52" s="632" cm="1">
        <f t="array" ref="AM52">IF($CI52=0,0,IFERROR(INDEX(MHR[],$CI52,MATCH($CA52,MHR!$B$4:$AY$4,0)+11),0))</f>
        <v>0</v>
      </c>
      <c r="AN52" s="633" cm="1">
        <f t="array" ref="AN52">IF(($J52+$V52)=0,0,IFERROR(IF(INDEX(Premises!$A$41:$F$41,1,$CH52)&lt;&gt;0,INDEX(Premises!$A$41:$F$41,1,$CH52)/100,(IFERROR(($J52/$I52)*$AM52,0)/($V52+$J52+$R52+$AL52))),0))</f>
        <v>0</v>
      </c>
      <c r="AO52" s="634">
        <f t="shared" si="151"/>
        <v>0</v>
      </c>
      <c r="AP52" s="635">
        <f t="shared" si="152"/>
        <v>0</v>
      </c>
      <c r="AQ52" s="410" t="str">
        <f>BOM!$A$10</f>
        <v>01-01-03-03 Display</v>
      </c>
      <c r="AR52" s="409">
        <f>VLOOKUP($AQ52,BOM,6,0)</f>
        <v>1</v>
      </c>
      <c r="AS52" s="636" cm="1">
        <f t="array" ref="AS52">IF($CJ52=0,0,IFERROR(INDEX(MAT[Einheit],$CJ52,1),0))</f>
        <v>0</v>
      </c>
      <c r="AT52" s="637" cm="1">
        <f t="array" ref="AT52">IF($CJ52=0,0,IFERROR(INDEX(MAT[Preis],$CJ52,1),0))</f>
        <v>0</v>
      </c>
      <c r="AU52" s="638">
        <f t="shared" si="153"/>
        <v>0</v>
      </c>
      <c r="AV52" s="639" cm="1">
        <f t="array" ref="AV52">IF($AU52&lt;=0,0,INDEX(Premises!$A$30:$F$30,1,$CH52)/100)</f>
        <v>0</v>
      </c>
      <c r="AW52" s="409"/>
      <c r="AX52" s="631">
        <f t="shared" si="154"/>
        <v>0</v>
      </c>
      <c r="AY52" s="640" cm="1">
        <f t="array" ref="AY52">IF($AT52&lt;=0,0,IFERROR(IF(INDEX(Premises!$A$42:$F$42,1,$CH52)&lt;&gt;0,INDEX(Premises!$A$42:$F$42,1,$CH52)/100,(INDEX(MAT[],$CJ52,MATCH($CA52,MAT!$B$4:$AE$4,0))/($AR52*$CK52*INDEX(Premises!$A$13:$F$13,1,$CH52))+INDEX(MAT[],$CJ52,MATCH($CA52,MAT!$B$4:$AE$4,0)+7))/$AT52),0))</f>
        <v>0</v>
      </c>
      <c r="AZ52" s="631">
        <f t="shared" si="155"/>
        <v>0</v>
      </c>
      <c r="BA52" s="635">
        <f t="shared" si="156"/>
        <v>0</v>
      </c>
      <c r="BB52" s="635">
        <f t="shared" si="157"/>
        <v>0</v>
      </c>
      <c r="BC52" s="639" cm="1">
        <f t="array" ref="BC52">IF($BB52&lt;=0,0,IF(BC$2=-1,0,INDEX(Premises!$A$32:$F$32,1,$CH52)/100))</f>
        <v>0</v>
      </c>
      <c r="BD52" s="631">
        <f t="shared" si="158"/>
        <v>0</v>
      </c>
      <c r="BE52" s="639" cm="1">
        <f t="array" ref="BE52">IF($BB52&lt;=0,0,IF(BE$2=-1,0,INDEX(Premises!$A$33:$F$33,1,$CH52)/100))</f>
        <v>0</v>
      </c>
      <c r="BF52" s="631">
        <f t="shared" si="159"/>
        <v>0</v>
      </c>
      <c r="BG52" s="639" cm="1">
        <f t="array" ref="BG52">IF($BB52&lt;=0,0,IF(BG$2=-1,0,INDEX(Premises!$A$31:$F$31,1,$CH52)/100))</f>
        <v>0</v>
      </c>
      <c r="BH52" s="631">
        <f t="shared" si="160"/>
        <v>0</v>
      </c>
      <c r="BI52" s="635">
        <f t="shared" si="161"/>
        <v>0</v>
      </c>
      <c r="BJ52" s="639" cm="1">
        <f t="array" ref="BJ52">IF($BB52&lt;=0,0,IF(BJ$2=-1,0,INDEX(Premises!$A$35:$F$35,1,$CH52)/100))</f>
        <v>0</v>
      </c>
      <c r="BK52" s="631">
        <f t="shared" si="162"/>
        <v>0</v>
      </c>
      <c r="BL52" s="639" cm="1">
        <f t="array" ref="BL52">IF($BB52&lt;=0,0,IF(BL$2=-1,0,INDEX(Premises!$A$36:$F$36,1,$CH52)/100))</f>
        <v>0</v>
      </c>
      <c r="BM52" s="631">
        <f t="shared" si="163"/>
        <v>0</v>
      </c>
      <c r="BN52" s="639" cm="1">
        <f t="array" ref="BN52">IF($BB52&lt;=0,0,IF(BN$2=-1,0,INDEX(Premises!$A$34:$F$34,1,$CH52)/100))</f>
        <v>0</v>
      </c>
      <c r="BO52" s="631">
        <f t="shared" si="164"/>
        <v>0</v>
      </c>
      <c r="BP52" s="639" cm="1">
        <f t="array" ref="BP52">IF($BI52=0,0,INDEX(Premises!$A$37:$F$37,1,$CH52)/100)</f>
        <v>0</v>
      </c>
      <c r="BQ52" s="409"/>
      <c r="BR52" s="631">
        <f t="shared" si="165"/>
        <v>0</v>
      </c>
      <c r="BS52" s="641">
        <f t="shared" si="166"/>
        <v>0</v>
      </c>
      <c r="BT52" s="641">
        <f t="shared" si="167"/>
        <v>0</v>
      </c>
      <c r="BU52" s="642">
        <f t="shared" si="168"/>
        <v>0</v>
      </c>
      <c r="BV52" s="417"/>
      <c r="BW52" s="418"/>
      <c r="BX52" s="418"/>
      <c r="BY52" s="419"/>
      <c r="BZ52" s="968"/>
      <c r="CA52" s="280" cm="1">
        <f t="array" ref="CA52">IF($BZ52&gt;0,VALUE(LEFT($BZ52,IF(ISERROR(FIND("-",$BZ52)),LEN($BZ52),FIND("-",$BZ52)-1))),INDEX($CA$1:$CA52,MAX(1,$CD52)))</f>
        <v>1</v>
      </c>
      <c r="CB52" s="280" cm="1">
        <f t="array" ref="CB52">IF($BT52=0,0,IF(LEN($BZ52)-LEN(SUBSTITUTE($BZ52,"-",""))&gt;1,
VALUE(MID($BZ52,FIND("-",$BZ52)+1,FIND("-",$BZ52,FIND("-",$BZ52)+1)-FIND("-",$BZ52)-1)),IF($BZ52&gt;0,0,INDEX($CB$1:$CB52,MAX(1,$CD52)))))</f>
        <v>0</v>
      </c>
      <c r="CC52" s="280" cm="1">
        <f t="array" ref="CC52">IF($BT52=0,0,IF(NOT(ISERROR(FIND("-",BZ52))),
VALUE(RIGHT($BZ52,LEN($BZ52)-IF(LEN($BZ52)-LEN(SUBSTITUTE($BZ52,"-",""))=1,FIND("-",$BZ52),FIND("-",$BZ52,FIND("-",$BZ52)+1)))),
IF($BZ52&gt;0,0,INDEX($CC$1:$CC52,MAX(1,$CD52)))))</f>
        <v>0</v>
      </c>
      <c r="CD52" s="393">
        <f>MATCH(0,$CE$1:$CE52,-1)</f>
        <v>49</v>
      </c>
      <c r="CE52" s="280"/>
      <c r="CF52" s="394"/>
      <c r="CG52" s="393" cm="1">
        <f t="array" ref="CG52">INDEX($CG$1:$CG52,$CD52)</f>
        <v>7</v>
      </c>
      <c r="CH52" s="280">
        <f>MATCH($CA52,Premises!$A$10:$F$10,0)</f>
        <v>4</v>
      </c>
      <c r="CI52" s="280">
        <f>IF(ISBLANK($E52),0,IFERROR(MATCH($E52,MHR[Bezeichnung],0),0))</f>
        <v>0</v>
      </c>
      <c r="CJ52" s="394">
        <f>IF(ISBLANK($AQ52),0,IFERROR(MATCH($AQ52,MAT[Bezeichnung],0),0))</f>
        <v>0</v>
      </c>
      <c r="CK52" s="280" cm="1">
        <f t="array" ref="CK52">INDEX($D$1:$D52,$CD52)</f>
        <v>1</v>
      </c>
      <c r="CL52" s="280"/>
      <c r="CM52" s="395"/>
      <c r="CN52" s="396" cm="1">
        <f t="array" ref="CN52">IF($CB52=0,0,IF($CB52=INDEX($CB$1:$CB52,$CD52),INDEX($CN$1:$CN52,$CD52),$CP52))</f>
        <v>0</v>
      </c>
      <c r="CO52" s="395"/>
      <c r="CP52" s="396" cm="1">
        <f t="array" ref="CP52">IF($CC52=0,0,INDEX($CP$1:$CP52,$CD52))</f>
        <v>0</v>
      </c>
      <c r="CQ52" s="397"/>
      <c r="CR52" s="398"/>
      <c r="CS52" s="398"/>
      <c r="CT52" s="970"/>
      <c r="CU52" s="2"/>
      <c r="CV52" s="647">
        <f t="shared" si="169"/>
        <v>0</v>
      </c>
      <c r="CW52" s="648">
        <f t="shared" si="170"/>
        <v>0</v>
      </c>
      <c r="CX52" s="648">
        <f t="shared" si="171"/>
        <v>0</v>
      </c>
      <c r="CY52" s="648">
        <f t="shared" si="172"/>
        <v>0</v>
      </c>
      <c r="CZ52" s="648">
        <f t="shared" si="173"/>
        <v>0</v>
      </c>
      <c r="DA52" s="648">
        <f t="shared" si="174"/>
        <v>0</v>
      </c>
      <c r="DB52" s="648">
        <f t="shared" si="175"/>
        <v>0</v>
      </c>
      <c r="DC52" s="649">
        <f t="shared" si="176"/>
        <v>0</v>
      </c>
      <c r="DD52" s="648">
        <f t="shared" si="177"/>
        <v>0</v>
      </c>
      <c r="DE52" s="648">
        <f t="shared" si="178"/>
        <v>0</v>
      </c>
      <c r="DF52" s="648">
        <f t="shared" si="179"/>
        <v>0</v>
      </c>
      <c r="DG52" s="649">
        <f t="shared" si="180"/>
        <v>0</v>
      </c>
      <c r="DH52" s="649">
        <f t="shared" si="181"/>
        <v>0</v>
      </c>
      <c r="DI52" s="648">
        <f t="shared" si="182"/>
        <v>0</v>
      </c>
      <c r="DJ52" s="648">
        <f t="shared" si="183"/>
        <v>0</v>
      </c>
      <c r="DK52" s="648">
        <f t="shared" si="184"/>
        <v>0</v>
      </c>
      <c r="DL52" s="648">
        <f t="shared" si="185"/>
        <v>0</v>
      </c>
      <c r="DM52" s="648">
        <f t="shared" si="186"/>
        <v>0</v>
      </c>
      <c r="DN52" s="648">
        <f t="shared" si="187"/>
        <v>0</v>
      </c>
      <c r="DO52" s="648">
        <f t="shared" si="188"/>
        <v>0</v>
      </c>
      <c r="DP52" s="651">
        <f t="shared" si="189"/>
        <v>0</v>
      </c>
      <c r="DQ52" s="951">
        <f>IF($CB52=0,0,$DP52*_xlfn.XLOOKUP($CB52,Premises!$A$10:$F$10,Premises!$A$30:$F$30)/100)</f>
        <v>0</v>
      </c>
      <c r="DR52" s="650">
        <f>IFERROR(SUM($DP52:$DQ52)*IF(INDEX(Premises!$A$42:$F$42,1,MATCH($CB52,Premises!$A$10:$F$10,0))&gt;0,INDEX(Premises!$A$42:$F$42,1,MATCH($CB52,Premises!$A$10:$F$10,0))%,$CN52),0)</f>
        <v>0</v>
      </c>
      <c r="DS52" s="650" cm="1">
        <f t="array" ref="DS52">IF($CB52=0,0,SUM($DP52:$DR52)*_xlfn.XLOOKUP($CB52,Premises!$A$10:$F$10,IF(INDEX(Settings[],MATCH(3001,Settings[ID],0),2)="B",Premises!$A$33:$F$33,Premises!$A$31:$F$31))/100)</f>
        <v>0</v>
      </c>
      <c r="DT52" s="650" cm="1">
        <f t="array" ref="DT52">IF($CB52=0,0,$DP52*_xlfn.XLOOKUP($CB52,Premises!$A$10:$F$10,IF(INDEX(Settings[],MATCH(3002,Settings[ID],0),2)="B",Premises!$A$36:$F$36,Premises!$A$34:$F$34))/100)</f>
        <v>0</v>
      </c>
      <c r="DU52" s="650">
        <f>IF($CB52=0,0,SUM($DP52:$DT52)*_xlfn.XLOOKUP($CB52,Premises!$A$10:$F$10,Premises!$A$37:$F$37)/100)</f>
        <v>0</v>
      </c>
      <c r="DV52" s="954">
        <f t="shared" si="190"/>
        <v>0</v>
      </c>
      <c r="DW52" s="951">
        <f>IF($CC52=0,0,$DV52*_xlfn.XLOOKUP($CC52,Premises!$A$10:$F$10,Premises!$A$30:$F$30)/100)</f>
        <v>0</v>
      </c>
      <c r="DX52" s="650">
        <f>IFERROR(SUM($DV52:$DW52)*IF(INDEX(Premises!$A$42:$F$42,1,MATCH($CC52,Premises!$A$10:$F$10,0))&gt;0,INDEX(Premises!$A$42:$F$42,1,MATCH($CC52,Premises!$A$10:$F$10,0))%,$CP52),0)</f>
        <v>0</v>
      </c>
      <c r="DY52" s="650" cm="1">
        <f t="array" ref="DY52">IF($CC52=0,0,SUM($DV52:$DX52)*_xlfn.XLOOKUP($CC52,Premises!$A$10:$F$10,IF(INDEX(Settings[],MATCH(3001,Settings[ID],0),2)="B",Premises!$A$33:$F$33,Premises!$A$31:$F$31))/100)</f>
        <v>0</v>
      </c>
      <c r="DZ52" s="650" cm="1">
        <f t="array" ref="DZ52">IF($CC52=0,0,$DV52*_xlfn.XLOOKUP($CC52,Premises!$A$10:$F$10,IF(INDEX(Settings[],MATCH(3002,Settings[ID],0),2)="B",Premises!$A$36:$F$36,Premises!$A$34:$F$34))/100)</f>
        <v>0</v>
      </c>
      <c r="EA52" s="650">
        <f>IF($CC52=0,0,SUM($DV52:$DZ52)*_xlfn.XLOOKUP($CC52,Premises!$A$10:$F$10,Premises!$A$37:$F$37)/100)</f>
        <v>0</v>
      </c>
      <c r="EB52" s="651">
        <f t="shared" si="191"/>
        <v>0</v>
      </c>
      <c r="EC52" s="805"/>
      <c r="ED52" s="1104"/>
      <c r="EE52" s="650"/>
      <c r="EF52" s="1110"/>
      <c r="EG52" s="1108"/>
      <c r="EH52" s="1108"/>
      <c r="EI52" s="1108"/>
      <c r="EJ52" s="1108"/>
      <c r="EK52" s="1108"/>
      <c r="EL52" s="1108"/>
      <c r="EM52" s="1110"/>
      <c r="EN52" s="1108"/>
      <c r="EO52" s="1108"/>
      <c r="EP52" s="1108"/>
      <c r="EQ52" s="1108"/>
      <c r="ER52" s="1110"/>
      <c r="ES52" s="1108"/>
      <c r="ET52" s="1108"/>
      <c r="EU52" s="1108"/>
      <c r="EV52" s="1108"/>
      <c r="EW52" s="1108"/>
      <c r="EX52" s="1111"/>
      <c r="EY52" s="2"/>
      <c r="EZ52" s="2"/>
      <c r="FA52" s="2"/>
      <c r="FB52" s="2"/>
      <c r="FC52" s="2"/>
      <c r="FD52" s="2"/>
      <c r="FE52" s="2"/>
      <c r="FF52" s="2"/>
      <c r="FG52" s="2"/>
      <c r="FH52" s="2"/>
      <c r="FI52" s="2"/>
      <c r="FJ52" s="420"/>
      <c r="FK52" s="421"/>
      <c r="FL52" s="422"/>
      <c r="FM52" s="970"/>
    </row>
    <row r="53" spans="1:169" s="13" customFormat="1" ht="12.75" customHeight="1">
      <c r="A53" s="221"/>
      <c r="B53" s="402"/>
      <c r="C53" s="403"/>
      <c r="D53" s="646"/>
      <c r="E53" s="404"/>
      <c r="F53" s="405"/>
      <c r="G53" s="405"/>
      <c r="H53" s="405"/>
      <c r="I53" s="637" cm="1">
        <f t="array" ref="I53">IF($CI53=0,0,IFERROR(INDEX(MHR[],$CI53,MATCH($CA53,MHR!$B$4:$AY$4,0)),0))</f>
        <v>0</v>
      </c>
      <c r="J53" s="634">
        <f t="shared" si="144"/>
        <v>0</v>
      </c>
      <c r="K53" s="406"/>
      <c r="L53" s="407"/>
      <c r="M53" s="871"/>
      <c r="N53" s="407"/>
      <c r="O53" s="405"/>
      <c r="P53" s="645" cm="1">
        <f t="array" ref="P53">IF($K53=0,0,IFERROR(ROUNDUP(IF(ISNUMBER($K53),$K53,INDEX($D$1:$D53,$CD53)*INDEX(Premises!$A$13:$F$13,1,$CH53)/IF(OR($K53="T",$K53="D"),250,IF($K53="W",50,IF($K53="M",12,IF(OR($K53="HJ",$K53="HY"),2,IF(OR($K53="J",$K53="Y"),1,0)))))),0),0))</f>
        <v>0</v>
      </c>
      <c r="Q53" s="637" cm="1">
        <f t="array" ref="Q53">IF($K53=0,0,IFERROR(INDEX(Premises!$A$22:$F$22,1,$CH53)*100/INDEX(Premises!$A$16:$F$16,1,$CH53),0))</f>
        <v>0</v>
      </c>
      <c r="R53" s="634">
        <f t="shared" si="145"/>
        <v>0</v>
      </c>
      <c r="S53" s="408"/>
      <c r="T53" s="409"/>
      <c r="U53" s="637" cm="1">
        <f t="array" ref="U53">IF(COUNTBLANK($S53:$T53),0,
IF(AND(INDEX(MHR[Schichtmodell],$CI53)&lt;&gt;0,INDEX(MHR[Schichtmodell],$CI53)&lt;&gt;INDEX(Premises!$A$20:$F$20,1,$CH53)),ExchangeRate*
IF(OR($T53="M",$T53="U"),IF(INDEX(MHR[Schichtmodell],$CI53)=1,INDEX(LOC[M1S],INDEX(Premises!$A$18:$F$18,1,$CH53+1)),IF(INDEX(MHR[Schichtmodell],$CI53)=2,INDEX(LOC[M2S],INDEX(Premises!$A$18:$F$18,1,$CH53+1),IF(INDEX(MHR[Schichtmodell],$CI53)=3,INDEX(LOC[M3S],INDEX(Premises!$A$18:$F$18,1,$CH53+1)),0)))),
IF(INDEX(MHR[Schichtmodell],$CI53)=1,INDEX(LOC[F1S],INDEX(Premises!$A$18:$F$18,1,$CH53+1)),IF(INDEX(MHR[Schichtmodell],$CI53)=2,INDEX(LOC[F2S],INDEX(Premises!$A$18:$F$18,1,$CH53+1)),IF(INDEX(MHR[Schichtmodell],$CI53)=3,INDEX(LOC[F3S],INDEX(Premises!$A$18:$F$18,1,$CH53+1)),0)))),
IF(OR($T53="M",$T53="U"),INDEX(Premises!$A$21:$F$21,1,$CH53),
IF(OR($T53="F",$T53="S"),INDEX(Premises!$A$22:$F$22,1,$CH53),0)))*100/INDEX(Premises!$A$16:$F$16,1,$CH53))</f>
        <v>0</v>
      </c>
      <c r="V53" s="631">
        <f t="shared" si="146"/>
        <v>0</v>
      </c>
      <c r="W53" s="410"/>
      <c r="X53" s="403"/>
      <c r="Y53" s="411"/>
      <c r="Z53" s="412"/>
      <c r="AA53" s="628">
        <f t="shared" si="147"/>
        <v>0</v>
      </c>
      <c r="AB53" s="410"/>
      <c r="AC53" s="403"/>
      <c r="AD53" s="411"/>
      <c r="AE53" s="413"/>
      <c r="AF53" s="628">
        <f t="shared" si="148"/>
        <v>0</v>
      </c>
      <c r="AG53" s="629" cm="1">
        <f t="array" ref="AG53">IF(($J53+$V53+$AF53)=0,0,INDEX(Premises!$A$30:$F$30,1,$CH53)/100)</f>
        <v>0</v>
      </c>
      <c r="AH53" s="414"/>
      <c r="AI53" s="415"/>
      <c r="AJ53" s="416"/>
      <c r="AK53" s="630">
        <f t="shared" si="149"/>
        <v>0</v>
      </c>
      <c r="AL53" s="631">
        <f t="shared" si="150"/>
        <v>0</v>
      </c>
      <c r="AM53" s="632" cm="1">
        <f t="array" ref="AM53">IF($CI53=0,0,IFERROR(INDEX(MHR[],$CI53,MATCH($CA53,MHR!$B$4:$AY$4,0)+11),0))</f>
        <v>0</v>
      </c>
      <c r="AN53" s="633" cm="1">
        <f t="array" ref="AN53">IF(($J53+$V53)=0,0,IFERROR(IF(INDEX(Premises!$A$41:$F$41,1,$CH53)&lt;&gt;0,INDEX(Premises!$A$41:$F$41,1,$CH53)/100,(IFERROR(($J53/$I53)*$AM53,0)/($V53+$J53+$R53+$AL53))),0))</f>
        <v>0</v>
      </c>
      <c r="AO53" s="634">
        <f t="shared" si="151"/>
        <v>0</v>
      </c>
      <c r="AP53" s="635">
        <f t="shared" si="152"/>
        <v>0</v>
      </c>
      <c r="AQ53" s="410" t="str">
        <f>BOM!$A$11</f>
        <v>01-01-03-04 Flex PCB</v>
      </c>
      <c r="AR53" s="409">
        <f>VLOOKUP($AQ53,BOM,6,0)</f>
        <v>1</v>
      </c>
      <c r="AS53" s="636" cm="1">
        <f t="array" ref="AS53">IF($CJ53=0,0,IFERROR(INDEX(MAT[Einheit],$CJ53,1),0))</f>
        <v>0</v>
      </c>
      <c r="AT53" s="637" cm="1">
        <f t="array" ref="AT53">IF($CJ53=0,0,IFERROR(INDEX(MAT[Preis],$CJ53,1),0))</f>
        <v>0</v>
      </c>
      <c r="AU53" s="638">
        <f t="shared" si="153"/>
        <v>0</v>
      </c>
      <c r="AV53" s="639" cm="1">
        <f t="array" ref="AV53">IF($AU53&lt;=0,0,INDEX(Premises!$A$30:$F$30,1,$CH53)/100)</f>
        <v>0</v>
      </c>
      <c r="AW53" s="409"/>
      <c r="AX53" s="631">
        <f t="shared" si="154"/>
        <v>0</v>
      </c>
      <c r="AY53" s="640" cm="1">
        <f t="array" ref="AY53">IF($AT53&lt;=0,0,IFERROR(IF(INDEX(Premises!$A$42:$F$42,1,$CH53)&lt;&gt;0,INDEX(Premises!$A$42:$F$42,1,$CH53)/100,(INDEX(MAT[],$CJ53,MATCH($CA53,MAT!$B$4:$AE$4,0))/($AR53*$CK53*INDEX(Premises!$A$13:$F$13,1,$CH53))+INDEX(MAT[],$CJ53,MATCH($CA53,MAT!$B$4:$AE$4,0)+7))/$AT53),0))</f>
        <v>0</v>
      </c>
      <c r="AZ53" s="631">
        <f t="shared" si="155"/>
        <v>0</v>
      </c>
      <c r="BA53" s="635">
        <f t="shared" si="156"/>
        <v>0</v>
      </c>
      <c r="BB53" s="635">
        <f t="shared" si="157"/>
        <v>0</v>
      </c>
      <c r="BC53" s="639" cm="1">
        <f t="array" ref="BC53">IF($BB53&lt;=0,0,IF(BC$2=-1,0,INDEX(Premises!$A$32:$F$32,1,$CH53)/100))</f>
        <v>0</v>
      </c>
      <c r="BD53" s="631">
        <f t="shared" si="158"/>
        <v>0</v>
      </c>
      <c r="BE53" s="639" cm="1">
        <f t="array" ref="BE53">IF($BB53&lt;=0,0,IF(BE$2=-1,0,INDEX(Premises!$A$33:$F$33,1,$CH53)/100))</f>
        <v>0</v>
      </c>
      <c r="BF53" s="631">
        <f t="shared" si="159"/>
        <v>0</v>
      </c>
      <c r="BG53" s="639" cm="1">
        <f t="array" ref="BG53">IF($BB53&lt;=0,0,IF(BG$2=-1,0,INDEX(Premises!$A$31:$F$31,1,$CH53)/100))</f>
        <v>0</v>
      </c>
      <c r="BH53" s="631">
        <f t="shared" si="160"/>
        <v>0</v>
      </c>
      <c r="BI53" s="635">
        <f t="shared" si="161"/>
        <v>0</v>
      </c>
      <c r="BJ53" s="639" cm="1">
        <f t="array" ref="BJ53">IF($BB53&lt;=0,0,IF(BJ$2=-1,0,INDEX(Premises!$A$35:$F$35,1,$CH53)/100))</f>
        <v>0</v>
      </c>
      <c r="BK53" s="631">
        <f t="shared" si="162"/>
        <v>0</v>
      </c>
      <c r="BL53" s="639" cm="1">
        <f t="array" ref="BL53">IF($BB53&lt;=0,0,IF(BL$2=-1,0,INDEX(Premises!$A$36:$F$36,1,$CH53)/100))</f>
        <v>0</v>
      </c>
      <c r="BM53" s="631">
        <f t="shared" si="163"/>
        <v>0</v>
      </c>
      <c r="BN53" s="639" cm="1">
        <f t="array" ref="BN53">IF($BB53&lt;=0,0,IF(BN$2=-1,0,INDEX(Premises!$A$34:$F$34,1,$CH53)/100))</f>
        <v>0</v>
      </c>
      <c r="BO53" s="631">
        <f t="shared" si="164"/>
        <v>0</v>
      </c>
      <c r="BP53" s="639" cm="1">
        <f t="array" ref="BP53">IF($BI53=0,0,INDEX(Premises!$A$37:$F$37,1,$CH53)/100)</f>
        <v>0</v>
      </c>
      <c r="BQ53" s="409"/>
      <c r="BR53" s="631">
        <f t="shared" si="165"/>
        <v>0</v>
      </c>
      <c r="BS53" s="641">
        <f t="shared" si="166"/>
        <v>0</v>
      </c>
      <c r="BT53" s="641">
        <f t="shared" si="167"/>
        <v>0</v>
      </c>
      <c r="BU53" s="642">
        <f t="shared" si="168"/>
        <v>0</v>
      </c>
      <c r="BV53" s="417"/>
      <c r="BW53" s="418"/>
      <c r="BX53" s="418"/>
      <c r="BY53" s="419"/>
      <c r="BZ53" s="968"/>
      <c r="CA53" s="280" cm="1">
        <f t="array" ref="CA53">IF($BZ53&gt;0,VALUE(LEFT($BZ53,IF(ISERROR(FIND("-",$BZ53)),LEN($BZ53),FIND("-",$BZ53)-1))),INDEX($CA$1:$CA53,MAX(1,$CD53)))</f>
        <v>1</v>
      </c>
      <c r="CB53" s="280" cm="1">
        <f t="array" ref="CB53">IF($BT53=0,0,IF(LEN($BZ53)-LEN(SUBSTITUTE($BZ53,"-",""))&gt;1,
VALUE(MID($BZ53,FIND("-",$BZ53)+1,FIND("-",$BZ53,FIND("-",$BZ53)+1)-FIND("-",$BZ53)-1)),IF($BZ53&gt;0,0,INDEX($CB$1:$CB53,MAX(1,$CD53)))))</f>
        <v>0</v>
      </c>
      <c r="CC53" s="280" cm="1">
        <f t="array" ref="CC53">IF($BT53=0,0,IF(NOT(ISERROR(FIND("-",BZ53))),
VALUE(RIGHT($BZ53,LEN($BZ53)-IF(LEN($BZ53)-LEN(SUBSTITUTE($BZ53,"-",""))=1,FIND("-",$BZ53),FIND("-",$BZ53,FIND("-",$BZ53)+1)))),
IF($BZ53&gt;0,0,INDEX($CC$1:$CC53,MAX(1,$CD53)))))</f>
        <v>0</v>
      </c>
      <c r="CD53" s="393">
        <f>MATCH(0,$CE$1:$CE53,-1)</f>
        <v>49</v>
      </c>
      <c r="CE53" s="280"/>
      <c r="CF53" s="394"/>
      <c r="CG53" s="393" cm="1">
        <f t="array" ref="CG53">INDEX($CG$1:$CG53,$CD53)</f>
        <v>7</v>
      </c>
      <c r="CH53" s="280">
        <f>MATCH($CA53,Premises!$A$10:$F$10,0)</f>
        <v>4</v>
      </c>
      <c r="CI53" s="280">
        <f>IF(ISBLANK($E53),0,IFERROR(MATCH($E53,MHR[Bezeichnung],0),0))</f>
        <v>0</v>
      </c>
      <c r="CJ53" s="394">
        <f>IF(ISBLANK($AQ53),0,IFERROR(MATCH($AQ53,MAT[Bezeichnung],0),0))</f>
        <v>0</v>
      </c>
      <c r="CK53" s="280" cm="1">
        <f t="array" ref="CK53">INDEX($D$1:$D53,$CD53)</f>
        <v>1</v>
      </c>
      <c r="CL53" s="280"/>
      <c r="CM53" s="395"/>
      <c r="CN53" s="396" cm="1">
        <f t="array" ref="CN53">IF($CB53=0,0,IF($CB53=INDEX($CB$1:$CB53,$CD53),INDEX($CN$1:$CN53,$CD53),$CP53))</f>
        <v>0</v>
      </c>
      <c r="CO53" s="395"/>
      <c r="CP53" s="396" cm="1">
        <f t="array" ref="CP53">IF($CC53=0,0,INDEX($CP$1:$CP53,$CD53))</f>
        <v>0</v>
      </c>
      <c r="CQ53" s="397"/>
      <c r="CR53" s="398"/>
      <c r="CS53" s="398"/>
      <c r="CT53" s="970"/>
      <c r="CU53" s="2"/>
      <c r="CV53" s="647">
        <f t="shared" si="169"/>
        <v>0</v>
      </c>
      <c r="CW53" s="648">
        <f t="shared" si="170"/>
        <v>0</v>
      </c>
      <c r="CX53" s="648">
        <f t="shared" si="171"/>
        <v>0</v>
      </c>
      <c r="CY53" s="648">
        <f t="shared" si="172"/>
        <v>0</v>
      </c>
      <c r="CZ53" s="648">
        <f t="shared" si="173"/>
        <v>0</v>
      </c>
      <c r="DA53" s="648">
        <f t="shared" si="174"/>
        <v>0</v>
      </c>
      <c r="DB53" s="648">
        <f t="shared" si="175"/>
        <v>0</v>
      </c>
      <c r="DC53" s="649">
        <f t="shared" si="176"/>
        <v>0</v>
      </c>
      <c r="DD53" s="648">
        <f t="shared" si="177"/>
        <v>0</v>
      </c>
      <c r="DE53" s="648">
        <f t="shared" si="178"/>
        <v>0</v>
      </c>
      <c r="DF53" s="648">
        <f t="shared" si="179"/>
        <v>0</v>
      </c>
      <c r="DG53" s="649">
        <f t="shared" si="180"/>
        <v>0</v>
      </c>
      <c r="DH53" s="649">
        <f t="shared" si="181"/>
        <v>0</v>
      </c>
      <c r="DI53" s="648">
        <f t="shared" si="182"/>
        <v>0</v>
      </c>
      <c r="DJ53" s="648">
        <f t="shared" si="183"/>
        <v>0</v>
      </c>
      <c r="DK53" s="648">
        <f t="shared" si="184"/>
        <v>0</v>
      </c>
      <c r="DL53" s="648">
        <f t="shared" si="185"/>
        <v>0</v>
      </c>
      <c r="DM53" s="648">
        <f t="shared" si="186"/>
        <v>0</v>
      </c>
      <c r="DN53" s="648">
        <f t="shared" si="187"/>
        <v>0</v>
      </c>
      <c r="DO53" s="648">
        <f t="shared" si="188"/>
        <v>0</v>
      </c>
      <c r="DP53" s="651">
        <f t="shared" si="189"/>
        <v>0</v>
      </c>
      <c r="DQ53" s="951">
        <f>IF($CB53=0,0,$DP53*_xlfn.XLOOKUP($CB53,Premises!$A$10:$F$10,Premises!$A$30:$F$30)/100)</f>
        <v>0</v>
      </c>
      <c r="DR53" s="650">
        <f>IFERROR(SUM($DP53:$DQ53)*IF(INDEX(Premises!$A$42:$F$42,1,MATCH($CB53,Premises!$A$10:$F$10,0))&gt;0,INDEX(Premises!$A$42:$F$42,1,MATCH($CB53,Premises!$A$10:$F$10,0))%,$CN53),0)</f>
        <v>0</v>
      </c>
      <c r="DS53" s="650" cm="1">
        <f t="array" ref="DS53">IF($CB53=0,0,SUM($DP53:$DR53)*_xlfn.XLOOKUP($CB53,Premises!$A$10:$F$10,IF(INDEX(Settings[],MATCH(3001,Settings[ID],0),2)="B",Premises!$A$33:$F$33,Premises!$A$31:$F$31))/100)</f>
        <v>0</v>
      </c>
      <c r="DT53" s="650" cm="1">
        <f t="array" ref="DT53">IF($CB53=0,0,$DP53*_xlfn.XLOOKUP($CB53,Premises!$A$10:$F$10,IF(INDEX(Settings[],MATCH(3002,Settings[ID],0),2)="B",Premises!$A$36:$F$36,Premises!$A$34:$F$34))/100)</f>
        <v>0</v>
      </c>
      <c r="DU53" s="650">
        <f>IF($CB53=0,0,SUM($DP53:$DT53)*_xlfn.XLOOKUP($CB53,Premises!$A$10:$F$10,Premises!$A$37:$F$37)/100)</f>
        <v>0</v>
      </c>
      <c r="DV53" s="954">
        <f t="shared" si="190"/>
        <v>0</v>
      </c>
      <c r="DW53" s="951">
        <f>IF($CC53=0,0,$DV53*_xlfn.XLOOKUP($CC53,Premises!$A$10:$F$10,Premises!$A$30:$F$30)/100)</f>
        <v>0</v>
      </c>
      <c r="DX53" s="650">
        <f>IFERROR(SUM($DV53:$DW53)*IF(INDEX(Premises!$A$42:$F$42,1,MATCH($CC53,Premises!$A$10:$F$10,0))&gt;0,INDEX(Premises!$A$42:$F$42,1,MATCH($CC53,Premises!$A$10:$F$10,0))%,$CP53),0)</f>
        <v>0</v>
      </c>
      <c r="DY53" s="650" cm="1">
        <f t="array" ref="DY53">IF($CC53=0,0,SUM($DV53:$DX53)*_xlfn.XLOOKUP($CC53,Premises!$A$10:$F$10,IF(INDEX(Settings[],MATCH(3001,Settings[ID],0),2)="B",Premises!$A$33:$F$33,Premises!$A$31:$F$31))/100)</f>
        <v>0</v>
      </c>
      <c r="DZ53" s="650" cm="1">
        <f t="array" ref="DZ53">IF($CC53=0,0,$DV53*_xlfn.XLOOKUP($CC53,Premises!$A$10:$F$10,IF(INDEX(Settings[],MATCH(3002,Settings[ID],0),2)="B",Premises!$A$36:$F$36,Premises!$A$34:$F$34))/100)</f>
        <v>0</v>
      </c>
      <c r="EA53" s="650">
        <f>IF($CC53=0,0,SUM($DV53:$DZ53)*_xlfn.XLOOKUP($CC53,Premises!$A$10:$F$10,Premises!$A$37:$F$37)/100)</f>
        <v>0</v>
      </c>
      <c r="EB53" s="651">
        <f t="shared" si="191"/>
        <v>0</v>
      </c>
      <c r="EC53" s="805"/>
      <c r="ED53" s="1104"/>
      <c r="EE53" s="650"/>
      <c r="EF53" s="1110"/>
      <c r="EG53" s="1108"/>
      <c r="EH53" s="1108"/>
      <c r="EI53" s="1108"/>
      <c r="EJ53" s="1108"/>
      <c r="EK53" s="1108"/>
      <c r="EL53" s="1108"/>
      <c r="EM53" s="1110"/>
      <c r="EN53" s="1108"/>
      <c r="EO53" s="1108"/>
      <c r="EP53" s="1108"/>
      <c r="EQ53" s="1108"/>
      <c r="ER53" s="1110"/>
      <c r="ES53" s="1108"/>
      <c r="ET53" s="1108"/>
      <c r="EU53" s="1108"/>
      <c r="EV53" s="1108"/>
      <c r="EW53" s="1108"/>
      <c r="EX53" s="1111"/>
      <c r="EY53" s="2"/>
      <c r="EZ53" s="2"/>
      <c r="FA53" s="2"/>
      <c r="FB53" s="2"/>
      <c r="FC53" s="2"/>
      <c r="FD53" s="2"/>
      <c r="FE53" s="2"/>
      <c r="FF53" s="2"/>
      <c r="FG53" s="2"/>
      <c r="FH53" s="2"/>
      <c r="FI53" s="2"/>
      <c r="FJ53" s="420"/>
      <c r="FK53" s="421"/>
      <c r="FL53" s="422"/>
      <c r="FM53" s="970"/>
    </row>
    <row r="54" spans="1:169" s="13" customFormat="1" ht="12.75" customHeight="1">
      <c r="A54" s="221"/>
      <c r="B54" s="402"/>
      <c r="C54" s="403"/>
      <c r="D54" s="646"/>
      <c r="E54" s="404"/>
      <c r="F54" s="405"/>
      <c r="G54" s="405"/>
      <c r="H54" s="405"/>
      <c r="I54" s="637" cm="1">
        <f t="array" ref="I54">IF($CI54=0,0,IFERROR(INDEX(MHR[],$CI54,MATCH($CA54,MHR!$B$4:$AY$4,0)),0))</f>
        <v>0</v>
      </c>
      <c r="J54" s="634">
        <f t="shared" si="144"/>
        <v>0</v>
      </c>
      <c r="K54" s="406"/>
      <c r="L54" s="407"/>
      <c r="M54" s="871"/>
      <c r="N54" s="407"/>
      <c r="O54" s="405"/>
      <c r="P54" s="645" cm="1">
        <f t="array" ref="P54">IF($K54=0,0,IFERROR(ROUNDUP(IF(ISNUMBER($K54),$K54,INDEX($D$1:$D54,$CD54)*INDEX(Premises!$A$13:$F$13,1,$CH54)/IF(OR($K54="T",$K54="D"),250,IF($K54="W",50,IF($K54="M",12,IF(OR($K54="HJ",$K54="HY"),2,IF(OR($K54="J",$K54="Y"),1,0)))))),0),0))</f>
        <v>0</v>
      </c>
      <c r="Q54" s="637" cm="1">
        <f t="array" ref="Q54">IF($K54=0,0,IFERROR(INDEX(Premises!$A$22:$F$22,1,$CH54)*100/INDEX(Premises!$A$16:$F$16,1,$CH54),0))</f>
        <v>0</v>
      </c>
      <c r="R54" s="634">
        <f t="shared" si="145"/>
        <v>0</v>
      </c>
      <c r="S54" s="408"/>
      <c r="T54" s="409"/>
      <c r="U54" s="637" cm="1">
        <f t="array" ref="U54">IF(COUNTBLANK($S54:$T54),0,
IF(AND(INDEX(MHR[Schichtmodell],$CI54)&lt;&gt;0,INDEX(MHR[Schichtmodell],$CI54)&lt;&gt;INDEX(Premises!$A$20:$F$20,1,$CH54)),ExchangeRate*
IF(OR($T54="M",$T54="U"),IF(INDEX(MHR[Schichtmodell],$CI54)=1,INDEX(LOC[M1S],INDEX(Premises!$A$18:$F$18,1,$CH54+1)),IF(INDEX(MHR[Schichtmodell],$CI54)=2,INDEX(LOC[M2S],INDEX(Premises!$A$18:$F$18,1,$CH54+1),IF(INDEX(MHR[Schichtmodell],$CI54)=3,INDEX(LOC[M3S],INDEX(Premises!$A$18:$F$18,1,$CH54+1)),0)))),
IF(INDEX(MHR[Schichtmodell],$CI54)=1,INDEX(LOC[F1S],INDEX(Premises!$A$18:$F$18,1,$CH54+1)),IF(INDEX(MHR[Schichtmodell],$CI54)=2,INDEX(LOC[F2S],INDEX(Premises!$A$18:$F$18,1,$CH54+1)),IF(INDEX(MHR[Schichtmodell],$CI54)=3,INDEX(LOC[F3S],INDEX(Premises!$A$18:$F$18,1,$CH54+1)),0)))),
IF(OR($T54="M",$T54="U"),INDEX(Premises!$A$21:$F$21,1,$CH54),
IF(OR($T54="F",$T54="S"),INDEX(Premises!$A$22:$F$22,1,$CH54),0)))*100/INDEX(Premises!$A$16:$F$16,1,$CH54))</f>
        <v>0</v>
      </c>
      <c r="V54" s="631">
        <f t="shared" si="146"/>
        <v>0</v>
      </c>
      <c r="W54" s="410"/>
      <c r="X54" s="403"/>
      <c r="Y54" s="411"/>
      <c r="Z54" s="412"/>
      <c r="AA54" s="628">
        <f t="shared" si="147"/>
        <v>0</v>
      </c>
      <c r="AB54" s="410"/>
      <c r="AC54" s="403"/>
      <c r="AD54" s="411"/>
      <c r="AE54" s="413"/>
      <c r="AF54" s="628">
        <f t="shared" si="148"/>
        <v>0</v>
      </c>
      <c r="AG54" s="629" cm="1">
        <f t="array" ref="AG54">IF(($J54+$V54+$AF54)=0,0,INDEX(Premises!$A$30:$F$30,1,$CH54)/100)</f>
        <v>0</v>
      </c>
      <c r="AH54" s="414"/>
      <c r="AI54" s="415"/>
      <c r="AJ54" s="416"/>
      <c r="AK54" s="630">
        <f t="shared" si="149"/>
        <v>0</v>
      </c>
      <c r="AL54" s="631">
        <f t="shared" si="150"/>
        <v>0</v>
      </c>
      <c r="AM54" s="632" cm="1">
        <f t="array" ref="AM54">IF($CI54=0,0,IFERROR(INDEX(MHR[],$CI54,MATCH($CA54,MHR!$B$4:$AY$4,0)+11),0))</f>
        <v>0</v>
      </c>
      <c r="AN54" s="633" cm="1">
        <f t="array" ref="AN54">IF(($J54+$V54)=0,0,IFERROR(IF(INDEX(Premises!$A$41:$F$41,1,$CH54)&lt;&gt;0,INDEX(Premises!$A$41:$F$41,1,$CH54)/100,(IFERROR(($J54/$I54)*$AM54,0)/($V54+$J54+$R54+$AL54))),0))</f>
        <v>0</v>
      </c>
      <c r="AO54" s="634">
        <f t="shared" si="151"/>
        <v>0</v>
      </c>
      <c r="AP54" s="635">
        <f t="shared" si="152"/>
        <v>0</v>
      </c>
      <c r="AQ54" s="410" t="str">
        <f>BOM!$A$12</f>
        <v>01-01-03-05 Aluminum Base Film</v>
      </c>
      <c r="AR54" s="409">
        <f>VLOOKUP($AQ54,BOM,6,0)</f>
        <v>1</v>
      </c>
      <c r="AS54" s="636" cm="1">
        <f t="array" ref="AS54">IF($CJ54=0,0,IFERROR(INDEX(MAT[Einheit],$CJ54,1),0))</f>
        <v>0</v>
      </c>
      <c r="AT54" s="637" cm="1">
        <f t="array" ref="AT54">IF($CJ54=0,0,IFERROR(INDEX(MAT[Preis],$CJ54,1),0))</f>
        <v>0</v>
      </c>
      <c r="AU54" s="638">
        <f t="shared" si="153"/>
        <v>0</v>
      </c>
      <c r="AV54" s="639" cm="1">
        <f t="array" ref="AV54">IF($AU54&lt;=0,0,INDEX(Premises!$A$30:$F$30,1,$CH54)/100)</f>
        <v>0</v>
      </c>
      <c r="AW54" s="409"/>
      <c r="AX54" s="631">
        <f t="shared" si="154"/>
        <v>0</v>
      </c>
      <c r="AY54" s="640" cm="1">
        <f t="array" ref="AY54">IF($AT54&lt;=0,0,IFERROR(IF(INDEX(Premises!$A$42:$F$42,1,$CH54)&lt;&gt;0,INDEX(Premises!$A$42:$F$42,1,$CH54)/100,(INDEX(MAT[],$CJ54,MATCH($CA54,MAT!$B$4:$AE$4,0))/($AR54*$CK54*INDEX(Premises!$A$13:$F$13,1,$CH54))+INDEX(MAT[],$CJ54,MATCH($CA54,MAT!$B$4:$AE$4,0)+7))/$AT54),0))</f>
        <v>0</v>
      </c>
      <c r="AZ54" s="631">
        <f t="shared" si="155"/>
        <v>0</v>
      </c>
      <c r="BA54" s="635">
        <f t="shared" si="156"/>
        <v>0</v>
      </c>
      <c r="BB54" s="635">
        <f t="shared" si="157"/>
        <v>0</v>
      </c>
      <c r="BC54" s="639" cm="1">
        <f t="array" ref="BC54">IF($BB54&lt;=0,0,IF(BC$2=-1,0,INDEX(Premises!$A$32:$F$32,1,$CH54)/100))</f>
        <v>0</v>
      </c>
      <c r="BD54" s="631">
        <f t="shared" si="158"/>
        <v>0</v>
      </c>
      <c r="BE54" s="639" cm="1">
        <f t="array" ref="BE54">IF($BB54&lt;=0,0,IF(BE$2=-1,0,INDEX(Premises!$A$33:$F$33,1,$CH54)/100))</f>
        <v>0</v>
      </c>
      <c r="BF54" s="631">
        <f t="shared" si="159"/>
        <v>0</v>
      </c>
      <c r="BG54" s="639" cm="1">
        <f t="array" ref="BG54">IF($BB54&lt;=0,0,IF(BG$2=-1,0,INDEX(Premises!$A$31:$F$31,1,$CH54)/100))</f>
        <v>0</v>
      </c>
      <c r="BH54" s="631">
        <f t="shared" si="160"/>
        <v>0</v>
      </c>
      <c r="BI54" s="635">
        <f t="shared" si="161"/>
        <v>0</v>
      </c>
      <c r="BJ54" s="639" cm="1">
        <f t="array" ref="BJ54">IF($BB54&lt;=0,0,IF(BJ$2=-1,0,INDEX(Premises!$A$35:$F$35,1,$CH54)/100))</f>
        <v>0</v>
      </c>
      <c r="BK54" s="631">
        <f t="shared" si="162"/>
        <v>0</v>
      </c>
      <c r="BL54" s="639" cm="1">
        <f t="array" ref="BL54">IF($BB54&lt;=0,0,IF(BL$2=-1,0,INDEX(Premises!$A$36:$F$36,1,$CH54)/100))</f>
        <v>0</v>
      </c>
      <c r="BM54" s="631">
        <f t="shared" si="163"/>
        <v>0</v>
      </c>
      <c r="BN54" s="639" cm="1">
        <f t="array" ref="BN54">IF($BB54&lt;=0,0,IF(BN$2=-1,0,INDEX(Premises!$A$34:$F$34,1,$CH54)/100))</f>
        <v>0</v>
      </c>
      <c r="BO54" s="631">
        <f t="shared" si="164"/>
        <v>0</v>
      </c>
      <c r="BP54" s="639" cm="1">
        <f t="array" ref="BP54">IF($BI54=0,0,INDEX(Premises!$A$37:$F$37,1,$CH54)/100)</f>
        <v>0</v>
      </c>
      <c r="BQ54" s="409"/>
      <c r="BR54" s="631">
        <f t="shared" si="165"/>
        <v>0</v>
      </c>
      <c r="BS54" s="641">
        <f t="shared" si="166"/>
        <v>0</v>
      </c>
      <c r="BT54" s="641">
        <f t="shared" si="167"/>
        <v>0</v>
      </c>
      <c r="BU54" s="642">
        <f t="shared" si="168"/>
        <v>0</v>
      </c>
      <c r="BV54" s="417"/>
      <c r="BW54" s="418"/>
      <c r="BX54" s="418"/>
      <c r="BY54" s="419"/>
      <c r="BZ54" s="968"/>
      <c r="CA54" s="280" cm="1">
        <f t="array" ref="CA54">IF($BZ54&gt;0,VALUE(LEFT($BZ54,IF(ISERROR(FIND("-",$BZ54)),LEN($BZ54),FIND("-",$BZ54)-1))),INDEX($CA$1:$CA54,MAX(1,$CD54)))</f>
        <v>1</v>
      </c>
      <c r="CB54" s="280" cm="1">
        <f t="array" ref="CB54">IF($BT54=0,0,IF(LEN($BZ54)-LEN(SUBSTITUTE($BZ54,"-",""))&gt;1,
VALUE(MID($BZ54,FIND("-",$BZ54)+1,FIND("-",$BZ54,FIND("-",$BZ54)+1)-FIND("-",$BZ54)-1)),IF($BZ54&gt;0,0,INDEX($CB$1:$CB54,MAX(1,$CD54)))))</f>
        <v>0</v>
      </c>
      <c r="CC54" s="280" cm="1">
        <f t="array" ref="CC54">IF($BT54=0,0,IF(NOT(ISERROR(FIND("-",BZ54))),
VALUE(RIGHT($BZ54,LEN($BZ54)-IF(LEN($BZ54)-LEN(SUBSTITUTE($BZ54,"-",""))=1,FIND("-",$BZ54),FIND("-",$BZ54,FIND("-",$BZ54)+1)))),
IF($BZ54&gt;0,0,INDEX($CC$1:$CC54,MAX(1,$CD54)))))</f>
        <v>0</v>
      </c>
      <c r="CD54" s="393">
        <f>MATCH(0,$CE$1:$CE54,-1)</f>
        <v>49</v>
      </c>
      <c r="CE54" s="280"/>
      <c r="CF54" s="394"/>
      <c r="CG54" s="393" cm="1">
        <f t="array" ref="CG54">INDEX($CG$1:$CG54,$CD54)</f>
        <v>7</v>
      </c>
      <c r="CH54" s="280">
        <f>MATCH($CA54,Premises!$A$10:$F$10,0)</f>
        <v>4</v>
      </c>
      <c r="CI54" s="280">
        <f>IF(ISBLANK($E54),0,IFERROR(MATCH($E54,MHR[Bezeichnung],0),0))</f>
        <v>0</v>
      </c>
      <c r="CJ54" s="394">
        <f>IF(ISBLANK($AQ54),0,IFERROR(MATCH($AQ54,MAT[Bezeichnung],0),0))</f>
        <v>0</v>
      </c>
      <c r="CK54" s="280" cm="1">
        <f t="array" ref="CK54">INDEX($D$1:$D54,$CD54)</f>
        <v>1</v>
      </c>
      <c r="CL54" s="280"/>
      <c r="CM54" s="395"/>
      <c r="CN54" s="396" cm="1">
        <f t="array" ref="CN54">IF($CB54=0,0,IF($CB54=INDEX($CB$1:$CB54,$CD54),INDEX($CN$1:$CN54,$CD54),$CP54))</f>
        <v>0</v>
      </c>
      <c r="CO54" s="395"/>
      <c r="CP54" s="396" cm="1">
        <f t="array" ref="CP54">IF($CC54=0,0,INDEX($CP$1:$CP54,$CD54))</f>
        <v>0</v>
      </c>
      <c r="CQ54" s="397"/>
      <c r="CR54" s="398"/>
      <c r="CS54" s="398"/>
      <c r="CT54" s="970"/>
      <c r="CU54" s="2"/>
      <c r="CV54" s="647">
        <f t="shared" si="169"/>
        <v>0</v>
      </c>
      <c r="CW54" s="648">
        <f t="shared" si="170"/>
        <v>0</v>
      </c>
      <c r="CX54" s="648">
        <f t="shared" si="171"/>
        <v>0</v>
      </c>
      <c r="CY54" s="648">
        <f t="shared" si="172"/>
        <v>0</v>
      </c>
      <c r="CZ54" s="648">
        <f t="shared" si="173"/>
        <v>0</v>
      </c>
      <c r="DA54" s="648">
        <f t="shared" si="174"/>
        <v>0</v>
      </c>
      <c r="DB54" s="648">
        <f t="shared" si="175"/>
        <v>0</v>
      </c>
      <c r="DC54" s="649">
        <f t="shared" si="176"/>
        <v>0</v>
      </c>
      <c r="DD54" s="648">
        <f t="shared" si="177"/>
        <v>0</v>
      </c>
      <c r="DE54" s="648">
        <f t="shared" si="178"/>
        <v>0</v>
      </c>
      <c r="DF54" s="648">
        <f t="shared" si="179"/>
        <v>0</v>
      </c>
      <c r="DG54" s="649">
        <f t="shared" si="180"/>
        <v>0</v>
      </c>
      <c r="DH54" s="649">
        <f t="shared" si="181"/>
        <v>0</v>
      </c>
      <c r="DI54" s="648">
        <f t="shared" si="182"/>
        <v>0</v>
      </c>
      <c r="DJ54" s="648">
        <f t="shared" si="183"/>
        <v>0</v>
      </c>
      <c r="DK54" s="648">
        <f t="shared" si="184"/>
        <v>0</v>
      </c>
      <c r="DL54" s="648">
        <f t="shared" si="185"/>
        <v>0</v>
      </c>
      <c r="DM54" s="648">
        <f t="shared" si="186"/>
        <v>0</v>
      </c>
      <c r="DN54" s="648">
        <f t="shared" si="187"/>
        <v>0</v>
      </c>
      <c r="DO54" s="648">
        <f t="shared" si="188"/>
        <v>0</v>
      </c>
      <c r="DP54" s="651">
        <f t="shared" si="189"/>
        <v>0</v>
      </c>
      <c r="DQ54" s="951">
        <f>IF($CB54=0,0,$DP54*_xlfn.XLOOKUP($CB54,Premises!$A$10:$F$10,Premises!$A$30:$F$30)/100)</f>
        <v>0</v>
      </c>
      <c r="DR54" s="650">
        <f>IFERROR(SUM($DP54:$DQ54)*IF(INDEX(Premises!$A$42:$F$42,1,MATCH($CB54,Premises!$A$10:$F$10,0))&gt;0,INDEX(Premises!$A$42:$F$42,1,MATCH($CB54,Premises!$A$10:$F$10,0))%,$CN54),0)</f>
        <v>0</v>
      </c>
      <c r="DS54" s="650" cm="1">
        <f t="array" ref="DS54">IF($CB54=0,0,SUM($DP54:$DR54)*_xlfn.XLOOKUP($CB54,Premises!$A$10:$F$10,IF(INDEX(Settings[],MATCH(3001,Settings[ID],0),2)="B",Premises!$A$33:$F$33,Premises!$A$31:$F$31))/100)</f>
        <v>0</v>
      </c>
      <c r="DT54" s="650" cm="1">
        <f t="array" ref="DT54">IF($CB54=0,0,$DP54*_xlfn.XLOOKUP($CB54,Premises!$A$10:$F$10,IF(INDEX(Settings[],MATCH(3002,Settings[ID],0),2)="B",Premises!$A$36:$F$36,Premises!$A$34:$F$34))/100)</f>
        <v>0</v>
      </c>
      <c r="DU54" s="650">
        <f>IF($CB54=0,0,SUM($DP54:$DT54)*_xlfn.XLOOKUP($CB54,Premises!$A$10:$F$10,Premises!$A$37:$F$37)/100)</f>
        <v>0</v>
      </c>
      <c r="DV54" s="954">
        <f t="shared" si="190"/>
        <v>0</v>
      </c>
      <c r="DW54" s="951">
        <f>IF($CC54=0,0,$DV54*_xlfn.XLOOKUP($CC54,Premises!$A$10:$F$10,Premises!$A$30:$F$30)/100)</f>
        <v>0</v>
      </c>
      <c r="DX54" s="650">
        <f>IFERROR(SUM($DV54:$DW54)*IF(INDEX(Premises!$A$42:$F$42,1,MATCH($CC54,Premises!$A$10:$F$10,0))&gt;0,INDEX(Premises!$A$42:$F$42,1,MATCH($CC54,Premises!$A$10:$F$10,0))%,$CP54),0)</f>
        <v>0</v>
      </c>
      <c r="DY54" s="650" cm="1">
        <f t="array" ref="DY54">IF($CC54=0,0,SUM($DV54:$DX54)*_xlfn.XLOOKUP($CC54,Premises!$A$10:$F$10,IF(INDEX(Settings[],MATCH(3001,Settings[ID],0),2)="B",Premises!$A$33:$F$33,Premises!$A$31:$F$31))/100)</f>
        <v>0</v>
      </c>
      <c r="DZ54" s="650" cm="1">
        <f t="array" ref="DZ54">IF($CC54=0,0,$DV54*_xlfn.XLOOKUP($CC54,Premises!$A$10:$F$10,IF(INDEX(Settings[],MATCH(3002,Settings[ID],0),2)="B",Premises!$A$36:$F$36,Premises!$A$34:$F$34))/100)</f>
        <v>0</v>
      </c>
      <c r="EA54" s="650">
        <f>IF($CC54=0,0,SUM($DV54:$DZ54)*_xlfn.XLOOKUP($CC54,Premises!$A$10:$F$10,Premises!$A$37:$F$37)/100)</f>
        <v>0</v>
      </c>
      <c r="EB54" s="651">
        <f t="shared" si="191"/>
        <v>0</v>
      </c>
      <c r="EC54" s="805"/>
      <c r="ED54" s="1104"/>
      <c r="EE54" s="650"/>
      <c r="EF54" s="1110"/>
      <c r="EG54" s="1108"/>
      <c r="EH54" s="1108"/>
      <c r="EI54" s="1108"/>
      <c r="EJ54" s="1108"/>
      <c r="EK54" s="1108"/>
      <c r="EL54" s="1108"/>
      <c r="EM54" s="1110"/>
      <c r="EN54" s="1108"/>
      <c r="EO54" s="1108"/>
      <c r="EP54" s="1108"/>
      <c r="EQ54" s="1108"/>
      <c r="ER54" s="1110"/>
      <c r="ES54" s="1108"/>
      <c r="ET54" s="1108"/>
      <c r="EU54" s="1108"/>
      <c r="EV54" s="1108"/>
      <c r="EW54" s="1108"/>
      <c r="EX54" s="1111"/>
      <c r="EY54" s="2"/>
      <c r="EZ54" s="2"/>
      <c r="FA54" s="2"/>
      <c r="FB54" s="2"/>
      <c r="FC54" s="2"/>
      <c r="FD54" s="2"/>
      <c r="FE54" s="2"/>
      <c r="FF54" s="2"/>
      <c r="FG54" s="2"/>
      <c r="FH54" s="2"/>
      <c r="FI54" s="2"/>
      <c r="FJ54" s="420"/>
      <c r="FK54" s="421"/>
      <c r="FL54" s="422"/>
      <c r="FM54" s="970"/>
    </row>
    <row r="55" spans="1:169" s="13" customFormat="1" ht="12.75" customHeight="1">
      <c r="A55" s="221"/>
      <c r="B55" s="402"/>
      <c r="C55" s="403"/>
      <c r="D55" s="646"/>
      <c r="E55" s="404"/>
      <c r="F55" s="405"/>
      <c r="G55" s="405"/>
      <c r="H55" s="405"/>
      <c r="I55" s="637" cm="1">
        <f t="array" ref="I55">IF($CI55=0,0,IFERROR(INDEX(MHR[],$CI55,MATCH($CA55,MHR!$B$4:$AY$4,0)),0))</f>
        <v>0</v>
      </c>
      <c r="J55" s="634">
        <f t="shared" si="144"/>
        <v>0</v>
      </c>
      <c r="K55" s="406"/>
      <c r="L55" s="407"/>
      <c r="M55" s="871"/>
      <c r="N55" s="407"/>
      <c r="O55" s="405"/>
      <c r="P55" s="645" cm="1">
        <f t="array" ref="P55">IF($K55=0,0,IFERROR(ROUNDUP(IF(ISNUMBER($K55),$K55,INDEX($D$1:$D55,$CD55)*INDEX(Premises!$A$13:$F$13,1,$CH55)/IF(OR($K55="T",$K55="D"),250,IF($K55="W",50,IF($K55="M",12,IF(OR($K55="HJ",$K55="HY"),2,IF(OR($K55="J",$K55="Y"),1,0)))))),0),0))</f>
        <v>0</v>
      </c>
      <c r="Q55" s="637" cm="1">
        <f t="array" ref="Q55">IF($K55=0,0,IFERROR(INDEX(Premises!$A$22:$F$22,1,$CH55)*100/INDEX(Premises!$A$16:$F$16,1,$CH55),0))</f>
        <v>0</v>
      </c>
      <c r="R55" s="634">
        <f t="shared" si="145"/>
        <v>0</v>
      </c>
      <c r="S55" s="408"/>
      <c r="T55" s="409"/>
      <c r="U55" s="637" cm="1">
        <f t="array" ref="U55">IF(COUNTBLANK($S55:$T55),0,
IF(AND(INDEX(MHR[Schichtmodell],$CI55)&lt;&gt;0,INDEX(MHR[Schichtmodell],$CI55)&lt;&gt;INDEX(Premises!$A$20:$F$20,1,$CH55)),ExchangeRate*
IF(OR($T55="M",$T55="U"),IF(INDEX(MHR[Schichtmodell],$CI55)=1,INDEX(LOC[M1S],INDEX(Premises!$A$18:$F$18,1,$CH55+1)),IF(INDEX(MHR[Schichtmodell],$CI55)=2,INDEX(LOC[M2S],INDEX(Premises!$A$18:$F$18,1,$CH55+1),IF(INDEX(MHR[Schichtmodell],$CI55)=3,INDEX(LOC[M3S],INDEX(Premises!$A$18:$F$18,1,$CH55+1)),0)))),
IF(INDEX(MHR[Schichtmodell],$CI55)=1,INDEX(LOC[F1S],INDEX(Premises!$A$18:$F$18,1,$CH55+1)),IF(INDEX(MHR[Schichtmodell],$CI55)=2,INDEX(LOC[F2S],INDEX(Premises!$A$18:$F$18,1,$CH55+1)),IF(INDEX(MHR[Schichtmodell],$CI55)=3,INDEX(LOC[F3S],INDEX(Premises!$A$18:$F$18,1,$CH55+1)),0)))),
IF(OR($T55="M",$T55="U"),INDEX(Premises!$A$21:$F$21,1,$CH55),
IF(OR($T55="F",$T55="S"),INDEX(Premises!$A$22:$F$22,1,$CH55),0)))*100/INDEX(Premises!$A$16:$F$16,1,$CH55))</f>
        <v>0</v>
      </c>
      <c r="V55" s="631">
        <f t="shared" si="146"/>
        <v>0</v>
      </c>
      <c r="W55" s="410"/>
      <c r="X55" s="403"/>
      <c r="Y55" s="411"/>
      <c r="Z55" s="412"/>
      <c r="AA55" s="628">
        <f t="shared" si="147"/>
        <v>0</v>
      </c>
      <c r="AB55" s="410"/>
      <c r="AC55" s="403"/>
      <c r="AD55" s="411"/>
      <c r="AE55" s="413"/>
      <c r="AF55" s="628">
        <f t="shared" si="148"/>
        <v>0</v>
      </c>
      <c r="AG55" s="629" cm="1">
        <f t="array" ref="AG55">IF(($J55+$V55+$AF55)=0,0,INDEX(Premises!$A$30:$F$30,1,$CH55)/100)</f>
        <v>0</v>
      </c>
      <c r="AH55" s="414"/>
      <c r="AI55" s="415"/>
      <c r="AJ55" s="416"/>
      <c r="AK55" s="630">
        <f t="shared" si="149"/>
        <v>0</v>
      </c>
      <c r="AL55" s="631">
        <f t="shared" si="150"/>
        <v>0</v>
      </c>
      <c r="AM55" s="632" cm="1">
        <f t="array" ref="AM55">IF($CI55=0,0,IFERROR(INDEX(MHR[],$CI55,MATCH($CA55,MHR!$B$4:$AY$4,0)+11),0))</f>
        <v>0</v>
      </c>
      <c r="AN55" s="633" cm="1">
        <f t="array" ref="AN55">IF(($J55+$V55)=0,0,IFERROR(IF(INDEX(Premises!$A$41:$F$41,1,$CH55)&lt;&gt;0,INDEX(Premises!$A$41:$F$41,1,$CH55)/100,(IFERROR(($J55/$I55)*$AM55,0)/($V55+$J55+$R55+$AL55))),0))</f>
        <v>0</v>
      </c>
      <c r="AO55" s="634">
        <f t="shared" si="151"/>
        <v>0</v>
      </c>
      <c r="AP55" s="635">
        <f t="shared" si="152"/>
        <v>0</v>
      </c>
      <c r="AQ55" s="410" t="str">
        <f>BOM!$A$13</f>
        <v>01-01-03-06 PCB Protection Film</v>
      </c>
      <c r="AR55" s="409">
        <f>VLOOKUP($AQ55,BOM,6,0)</f>
        <v>1</v>
      </c>
      <c r="AS55" s="636" cm="1">
        <f t="array" ref="AS55">IF($CJ55=0,0,IFERROR(INDEX(MAT[Einheit],$CJ55,1),0))</f>
        <v>0</v>
      </c>
      <c r="AT55" s="637" cm="1">
        <f t="array" ref="AT55">IF($CJ55=0,0,IFERROR(INDEX(MAT[Preis],$CJ55,1),0))</f>
        <v>0</v>
      </c>
      <c r="AU55" s="638">
        <f t="shared" si="153"/>
        <v>0</v>
      </c>
      <c r="AV55" s="639" cm="1">
        <f t="array" ref="AV55">IF($AU55&lt;=0,0,INDEX(Premises!$A$30:$F$30,1,$CH55)/100)</f>
        <v>0</v>
      </c>
      <c r="AW55" s="409"/>
      <c r="AX55" s="631">
        <f t="shared" si="154"/>
        <v>0</v>
      </c>
      <c r="AY55" s="640" cm="1">
        <f t="array" ref="AY55">IF($AT55&lt;=0,0,IFERROR(IF(INDEX(Premises!$A$42:$F$42,1,$CH55)&lt;&gt;0,INDEX(Premises!$A$42:$F$42,1,$CH55)/100,(INDEX(MAT[],$CJ55,MATCH($CA55,MAT!$B$4:$AE$4,0))/($AR55*$CK55*INDEX(Premises!$A$13:$F$13,1,$CH55))+INDEX(MAT[],$CJ55,MATCH($CA55,MAT!$B$4:$AE$4,0)+7))/$AT55),0))</f>
        <v>0</v>
      </c>
      <c r="AZ55" s="631">
        <f t="shared" si="155"/>
        <v>0</v>
      </c>
      <c r="BA55" s="635">
        <f t="shared" si="156"/>
        <v>0</v>
      </c>
      <c r="BB55" s="635">
        <f t="shared" si="157"/>
        <v>0</v>
      </c>
      <c r="BC55" s="639" cm="1">
        <f t="array" ref="BC55">IF($BB55&lt;=0,0,IF(BC$2=-1,0,INDEX(Premises!$A$32:$F$32,1,$CH55)/100))</f>
        <v>0</v>
      </c>
      <c r="BD55" s="631">
        <f t="shared" si="158"/>
        <v>0</v>
      </c>
      <c r="BE55" s="639" cm="1">
        <f t="array" ref="BE55">IF($BB55&lt;=0,0,IF(BE$2=-1,0,INDEX(Premises!$A$33:$F$33,1,$CH55)/100))</f>
        <v>0</v>
      </c>
      <c r="BF55" s="631">
        <f t="shared" si="159"/>
        <v>0</v>
      </c>
      <c r="BG55" s="639" cm="1">
        <f t="array" ref="BG55">IF($BB55&lt;=0,0,IF(BG$2=-1,0,INDEX(Premises!$A$31:$F$31,1,$CH55)/100))</f>
        <v>0</v>
      </c>
      <c r="BH55" s="631">
        <f t="shared" si="160"/>
        <v>0</v>
      </c>
      <c r="BI55" s="635">
        <f t="shared" si="161"/>
        <v>0</v>
      </c>
      <c r="BJ55" s="639" cm="1">
        <f t="array" ref="BJ55">IF($BB55&lt;=0,0,IF(BJ$2=-1,0,INDEX(Premises!$A$35:$F$35,1,$CH55)/100))</f>
        <v>0</v>
      </c>
      <c r="BK55" s="631">
        <f t="shared" si="162"/>
        <v>0</v>
      </c>
      <c r="BL55" s="639" cm="1">
        <f t="array" ref="BL55">IF($BB55&lt;=0,0,IF(BL$2=-1,0,INDEX(Premises!$A$36:$F$36,1,$CH55)/100))</f>
        <v>0</v>
      </c>
      <c r="BM55" s="631">
        <f t="shared" si="163"/>
        <v>0</v>
      </c>
      <c r="BN55" s="639" cm="1">
        <f t="array" ref="BN55">IF($BB55&lt;=0,0,IF(BN$2=-1,0,INDEX(Premises!$A$34:$F$34,1,$CH55)/100))</f>
        <v>0</v>
      </c>
      <c r="BO55" s="631">
        <f t="shared" si="164"/>
        <v>0</v>
      </c>
      <c r="BP55" s="639" cm="1">
        <f t="array" ref="BP55">IF($BI55=0,0,INDEX(Premises!$A$37:$F$37,1,$CH55)/100)</f>
        <v>0</v>
      </c>
      <c r="BQ55" s="409"/>
      <c r="BR55" s="631">
        <f t="shared" si="165"/>
        <v>0</v>
      </c>
      <c r="BS55" s="641">
        <f t="shared" si="166"/>
        <v>0</v>
      </c>
      <c r="BT55" s="641">
        <f t="shared" si="167"/>
        <v>0</v>
      </c>
      <c r="BU55" s="642">
        <f t="shared" si="168"/>
        <v>0</v>
      </c>
      <c r="BV55" s="417"/>
      <c r="BW55" s="418"/>
      <c r="BX55" s="418"/>
      <c r="BY55" s="419"/>
      <c r="BZ55" s="968"/>
      <c r="CA55" s="280" cm="1">
        <f t="array" ref="CA55">IF($BZ55&gt;0,VALUE(LEFT($BZ55,IF(ISERROR(FIND("-",$BZ55)),LEN($BZ55),FIND("-",$BZ55)-1))),INDEX($CA$1:$CA55,MAX(1,$CD55)))</f>
        <v>1</v>
      </c>
      <c r="CB55" s="280" cm="1">
        <f t="array" ref="CB55">IF($BT55=0,0,IF(LEN($BZ55)-LEN(SUBSTITUTE($BZ55,"-",""))&gt;1,
VALUE(MID($BZ55,FIND("-",$BZ55)+1,FIND("-",$BZ55,FIND("-",$BZ55)+1)-FIND("-",$BZ55)-1)),IF($BZ55&gt;0,0,INDEX($CB$1:$CB55,MAX(1,$CD55)))))</f>
        <v>0</v>
      </c>
      <c r="CC55" s="280" cm="1">
        <f t="array" ref="CC55">IF($BT55=0,0,IF(NOT(ISERROR(FIND("-",BZ55))),
VALUE(RIGHT($BZ55,LEN($BZ55)-IF(LEN($BZ55)-LEN(SUBSTITUTE($BZ55,"-",""))=1,FIND("-",$BZ55),FIND("-",$BZ55,FIND("-",$BZ55)+1)))),
IF($BZ55&gt;0,0,INDEX($CC$1:$CC55,MAX(1,$CD55)))))</f>
        <v>0</v>
      </c>
      <c r="CD55" s="393">
        <f>MATCH(0,$CE$1:$CE55,-1)</f>
        <v>49</v>
      </c>
      <c r="CE55" s="280"/>
      <c r="CF55" s="394"/>
      <c r="CG55" s="393" cm="1">
        <f t="array" ref="CG55">INDEX($CG$1:$CG55,$CD55)</f>
        <v>7</v>
      </c>
      <c r="CH55" s="280">
        <f>MATCH($CA55,Premises!$A$10:$F$10,0)</f>
        <v>4</v>
      </c>
      <c r="CI55" s="280">
        <f>IF(ISBLANK($E55),0,IFERROR(MATCH($E55,MHR[Bezeichnung],0),0))</f>
        <v>0</v>
      </c>
      <c r="CJ55" s="394">
        <f>IF(ISBLANK($AQ55),0,IFERROR(MATCH($AQ55,MAT[Bezeichnung],0),0))</f>
        <v>0</v>
      </c>
      <c r="CK55" s="280" cm="1">
        <f t="array" ref="CK55">INDEX($D$1:$D55,$CD55)</f>
        <v>1</v>
      </c>
      <c r="CL55" s="280"/>
      <c r="CM55" s="395"/>
      <c r="CN55" s="396" cm="1">
        <f t="array" ref="CN55">IF($CB55=0,0,IF($CB55=INDEX($CB$1:$CB55,$CD55),INDEX($CN$1:$CN55,$CD55),$CP55))</f>
        <v>0</v>
      </c>
      <c r="CO55" s="395"/>
      <c r="CP55" s="396" cm="1">
        <f t="array" ref="CP55">IF($CC55=0,0,INDEX($CP$1:$CP55,$CD55))</f>
        <v>0</v>
      </c>
      <c r="CQ55" s="397"/>
      <c r="CR55" s="398"/>
      <c r="CS55" s="398"/>
      <c r="CT55" s="970"/>
      <c r="CU55" s="2"/>
      <c r="CV55" s="647">
        <f t="shared" si="169"/>
        <v>0</v>
      </c>
      <c r="CW55" s="648">
        <f t="shared" si="170"/>
        <v>0</v>
      </c>
      <c r="CX55" s="648">
        <f t="shared" si="171"/>
        <v>0</v>
      </c>
      <c r="CY55" s="648">
        <f t="shared" si="172"/>
        <v>0</v>
      </c>
      <c r="CZ55" s="648">
        <f t="shared" si="173"/>
        <v>0</v>
      </c>
      <c r="DA55" s="648">
        <f t="shared" si="174"/>
        <v>0</v>
      </c>
      <c r="DB55" s="648">
        <f t="shared" si="175"/>
        <v>0</v>
      </c>
      <c r="DC55" s="649">
        <f t="shared" si="176"/>
        <v>0</v>
      </c>
      <c r="DD55" s="648">
        <f t="shared" si="177"/>
        <v>0</v>
      </c>
      <c r="DE55" s="648">
        <f t="shared" si="178"/>
        <v>0</v>
      </c>
      <c r="DF55" s="648">
        <f t="shared" si="179"/>
        <v>0</v>
      </c>
      <c r="DG55" s="649">
        <f t="shared" si="180"/>
        <v>0</v>
      </c>
      <c r="DH55" s="649">
        <f t="shared" si="181"/>
        <v>0</v>
      </c>
      <c r="DI55" s="648">
        <f t="shared" si="182"/>
        <v>0</v>
      </c>
      <c r="DJ55" s="648">
        <f t="shared" si="183"/>
        <v>0</v>
      </c>
      <c r="DK55" s="648">
        <f t="shared" si="184"/>
        <v>0</v>
      </c>
      <c r="DL55" s="648">
        <f t="shared" si="185"/>
        <v>0</v>
      </c>
      <c r="DM55" s="648">
        <f t="shared" si="186"/>
        <v>0</v>
      </c>
      <c r="DN55" s="648">
        <f t="shared" si="187"/>
        <v>0</v>
      </c>
      <c r="DO55" s="648">
        <f t="shared" si="188"/>
        <v>0</v>
      </c>
      <c r="DP55" s="651">
        <f t="shared" si="189"/>
        <v>0</v>
      </c>
      <c r="DQ55" s="951">
        <f>IF($CB55=0,0,$DP55*_xlfn.XLOOKUP($CB55,Premises!$A$10:$F$10,Premises!$A$30:$F$30)/100)</f>
        <v>0</v>
      </c>
      <c r="DR55" s="650">
        <f>IFERROR(SUM($DP55:$DQ55)*IF(INDEX(Premises!$A$42:$F$42,1,MATCH($CB55,Premises!$A$10:$F$10,0))&gt;0,INDEX(Premises!$A$42:$F$42,1,MATCH($CB55,Premises!$A$10:$F$10,0))%,$CN55),0)</f>
        <v>0</v>
      </c>
      <c r="DS55" s="650" cm="1">
        <f t="array" ref="DS55">IF($CB55=0,0,SUM($DP55:$DR55)*_xlfn.XLOOKUP($CB55,Premises!$A$10:$F$10,IF(INDEX(Settings[],MATCH(3001,Settings[ID],0),2)="B",Premises!$A$33:$F$33,Premises!$A$31:$F$31))/100)</f>
        <v>0</v>
      </c>
      <c r="DT55" s="650" cm="1">
        <f t="array" ref="DT55">IF($CB55=0,0,$DP55*_xlfn.XLOOKUP($CB55,Premises!$A$10:$F$10,IF(INDEX(Settings[],MATCH(3002,Settings[ID],0),2)="B",Premises!$A$36:$F$36,Premises!$A$34:$F$34))/100)</f>
        <v>0</v>
      </c>
      <c r="DU55" s="650">
        <f>IF($CB55=0,0,SUM($DP55:$DT55)*_xlfn.XLOOKUP($CB55,Premises!$A$10:$F$10,Premises!$A$37:$F$37)/100)</f>
        <v>0</v>
      </c>
      <c r="DV55" s="954">
        <f t="shared" si="190"/>
        <v>0</v>
      </c>
      <c r="DW55" s="951">
        <f>IF($CC55=0,0,$DV55*_xlfn.XLOOKUP($CC55,Premises!$A$10:$F$10,Premises!$A$30:$F$30)/100)</f>
        <v>0</v>
      </c>
      <c r="DX55" s="650">
        <f>IFERROR(SUM($DV55:$DW55)*IF(INDEX(Premises!$A$42:$F$42,1,MATCH($CC55,Premises!$A$10:$F$10,0))&gt;0,INDEX(Premises!$A$42:$F$42,1,MATCH($CC55,Premises!$A$10:$F$10,0))%,$CP55),0)</f>
        <v>0</v>
      </c>
      <c r="DY55" s="650" cm="1">
        <f t="array" ref="DY55">IF($CC55=0,0,SUM($DV55:$DX55)*_xlfn.XLOOKUP($CC55,Premises!$A$10:$F$10,IF(INDEX(Settings[],MATCH(3001,Settings[ID],0),2)="B",Premises!$A$33:$F$33,Premises!$A$31:$F$31))/100)</f>
        <v>0</v>
      </c>
      <c r="DZ55" s="650" cm="1">
        <f t="array" ref="DZ55">IF($CC55=0,0,$DV55*_xlfn.XLOOKUP($CC55,Premises!$A$10:$F$10,IF(INDEX(Settings[],MATCH(3002,Settings[ID],0),2)="B",Premises!$A$36:$F$36,Premises!$A$34:$F$34))/100)</f>
        <v>0</v>
      </c>
      <c r="EA55" s="650">
        <f>IF($CC55=0,0,SUM($DV55:$DZ55)*_xlfn.XLOOKUP($CC55,Premises!$A$10:$F$10,Premises!$A$37:$F$37)/100)</f>
        <v>0</v>
      </c>
      <c r="EB55" s="651">
        <f t="shared" si="191"/>
        <v>0</v>
      </c>
      <c r="EC55" s="805"/>
      <c r="ED55" s="1104"/>
      <c r="EE55" s="650"/>
      <c r="EF55" s="1110"/>
      <c r="EG55" s="1108"/>
      <c r="EH55" s="1108"/>
      <c r="EI55" s="1108"/>
      <c r="EJ55" s="1108"/>
      <c r="EK55" s="1108"/>
      <c r="EL55" s="1108"/>
      <c r="EM55" s="1110"/>
      <c r="EN55" s="1108"/>
      <c r="EO55" s="1108"/>
      <c r="EP55" s="1108"/>
      <c r="EQ55" s="1108"/>
      <c r="ER55" s="1110"/>
      <c r="ES55" s="1108"/>
      <c r="ET55" s="1108"/>
      <c r="EU55" s="1108"/>
      <c r="EV55" s="1108"/>
      <c r="EW55" s="1108"/>
      <c r="EX55" s="1111"/>
      <c r="EY55" s="2"/>
      <c r="EZ55" s="2"/>
      <c r="FA55" s="2"/>
      <c r="FB55" s="2"/>
      <c r="FC55" s="2"/>
      <c r="FD55" s="2"/>
      <c r="FE55" s="2"/>
      <c r="FF55" s="2"/>
      <c r="FG55" s="2"/>
      <c r="FH55" s="2"/>
      <c r="FI55" s="2"/>
      <c r="FJ55" s="420"/>
      <c r="FK55" s="421"/>
      <c r="FL55" s="422"/>
      <c r="FM55" s="970"/>
    </row>
    <row r="56" spans="1:169" s="13" customFormat="1" ht="12.75" customHeight="1">
      <c r="A56" s="221"/>
      <c r="B56" s="402"/>
      <c r="C56" s="403"/>
      <c r="D56" s="646"/>
      <c r="E56" s="404"/>
      <c r="F56" s="405"/>
      <c r="G56" s="405"/>
      <c r="H56" s="405"/>
      <c r="I56" s="637" cm="1">
        <f t="array" ref="I56">IF($CI56=0,0,IFERROR(INDEX(MHR[],$CI56,MATCH($CA56,MHR!$B$4:$AY$4,0)),0))</f>
        <v>0</v>
      </c>
      <c r="J56" s="634">
        <f t="shared" si="144"/>
        <v>0</v>
      </c>
      <c r="K56" s="406"/>
      <c r="L56" s="407"/>
      <c r="M56" s="871"/>
      <c r="N56" s="407"/>
      <c r="O56" s="405"/>
      <c r="P56" s="645" cm="1">
        <f t="array" ref="P56">IF($K56=0,0,IFERROR(ROUNDUP(IF(ISNUMBER($K56),$K56,INDEX($D$1:$D56,$CD56)*INDEX(Premises!$A$13:$F$13,1,$CH56)/IF(OR($K56="T",$K56="D"),250,IF($K56="W",50,IF($K56="M",12,IF(OR($K56="HJ",$K56="HY"),2,IF(OR($K56="J",$K56="Y"),1,0)))))),0),0))</f>
        <v>0</v>
      </c>
      <c r="Q56" s="637" cm="1">
        <f t="array" ref="Q56">IF($K56=0,0,IFERROR(INDEX(Premises!$A$22:$F$22,1,$CH56)*100/INDEX(Premises!$A$16:$F$16,1,$CH56),0))</f>
        <v>0</v>
      </c>
      <c r="R56" s="634">
        <f t="shared" si="145"/>
        <v>0</v>
      </c>
      <c r="S56" s="408"/>
      <c r="T56" s="409"/>
      <c r="U56" s="637" cm="1">
        <f t="array" ref="U56">IF(COUNTBLANK($S56:$T56),0,
IF(AND(INDEX(MHR[Schichtmodell],$CI56)&lt;&gt;0,INDEX(MHR[Schichtmodell],$CI56)&lt;&gt;INDEX(Premises!$A$20:$F$20,1,$CH56)),ExchangeRate*
IF(OR($T56="M",$T56="U"),IF(INDEX(MHR[Schichtmodell],$CI56)=1,INDEX(LOC[M1S],INDEX(Premises!$A$18:$F$18,1,$CH56+1)),IF(INDEX(MHR[Schichtmodell],$CI56)=2,INDEX(LOC[M2S],INDEX(Premises!$A$18:$F$18,1,$CH56+1),IF(INDEX(MHR[Schichtmodell],$CI56)=3,INDEX(LOC[M3S],INDEX(Premises!$A$18:$F$18,1,$CH56+1)),0)))),
IF(INDEX(MHR[Schichtmodell],$CI56)=1,INDEX(LOC[F1S],INDEX(Premises!$A$18:$F$18,1,$CH56+1)),IF(INDEX(MHR[Schichtmodell],$CI56)=2,INDEX(LOC[F2S],INDEX(Premises!$A$18:$F$18,1,$CH56+1)),IF(INDEX(MHR[Schichtmodell],$CI56)=3,INDEX(LOC[F3S],INDEX(Premises!$A$18:$F$18,1,$CH56+1)),0)))),
IF(OR($T56="M",$T56="U"),INDEX(Premises!$A$21:$F$21,1,$CH56),
IF(OR($T56="F",$T56="S"),INDEX(Premises!$A$22:$F$22,1,$CH56),0)))*100/INDEX(Premises!$A$16:$F$16,1,$CH56))</f>
        <v>0</v>
      </c>
      <c r="V56" s="631">
        <f t="shared" si="146"/>
        <v>0</v>
      </c>
      <c r="W56" s="410"/>
      <c r="X56" s="403"/>
      <c r="Y56" s="411"/>
      <c r="Z56" s="412"/>
      <c r="AA56" s="628">
        <f t="shared" si="147"/>
        <v>0</v>
      </c>
      <c r="AB56" s="410"/>
      <c r="AC56" s="403"/>
      <c r="AD56" s="411"/>
      <c r="AE56" s="413"/>
      <c r="AF56" s="628">
        <f t="shared" si="148"/>
        <v>0</v>
      </c>
      <c r="AG56" s="629" cm="1">
        <f t="array" ref="AG56">IF(($J56+$V56+$AF56)=0,0,INDEX(Premises!$A$30:$F$30,1,$CH56)/100)</f>
        <v>0</v>
      </c>
      <c r="AH56" s="414"/>
      <c r="AI56" s="415"/>
      <c r="AJ56" s="416"/>
      <c r="AK56" s="630">
        <f t="shared" si="149"/>
        <v>0</v>
      </c>
      <c r="AL56" s="631">
        <f t="shared" si="150"/>
        <v>0</v>
      </c>
      <c r="AM56" s="632" cm="1">
        <f t="array" ref="AM56">IF($CI56=0,0,IFERROR(INDEX(MHR[],$CI56,MATCH($CA56,MHR!$B$4:$AY$4,0)+11),0))</f>
        <v>0</v>
      </c>
      <c r="AN56" s="633" cm="1">
        <f t="array" ref="AN56">IF(($J56+$V56)=0,0,IFERROR(IF(INDEX(Premises!$A$41:$F$41,1,$CH56)&lt;&gt;0,INDEX(Premises!$A$41:$F$41,1,$CH56)/100,(IFERROR(($J56/$I56)*$AM56,0)/($V56+$J56+$R56+$AL56))),0))</f>
        <v>0</v>
      </c>
      <c r="AO56" s="634">
        <f t="shared" si="151"/>
        <v>0</v>
      </c>
      <c r="AP56" s="635">
        <f t="shared" si="152"/>
        <v>0</v>
      </c>
      <c r="AQ56" s="410" t="str">
        <f>BOM!$A$14</f>
        <v>01-01-03-07 Back Outer Metal Cover</v>
      </c>
      <c r="AR56" s="409">
        <f>VLOOKUP($AQ56,BOM,6,0)</f>
        <v>1</v>
      </c>
      <c r="AS56" s="636" cm="1">
        <f t="array" ref="AS56">IF($CJ56=0,0,IFERROR(INDEX(MAT[Einheit],$CJ56,1),0))</f>
        <v>0</v>
      </c>
      <c r="AT56" s="637" cm="1">
        <f t="array" ref="AT56">IF($CJ56=0,0,IFERROR(INDEX(MAT[Preis],$CJ56,1),0))</f>
        <v>0</v>
      </c>
      <c r="AU56" s="638">
        <f t="shared" si="153"/>
        <v>0</v>
      </c>
      <c r="AV56" s="639" cm="1">
        <f t="array" ref="AV56">IF($AU56&lt;=0,0,INDEX(Premises!$A$30:$F$30,1,$CH56)/100)</f>
        <v>0</v>
      </c>
      <c r="AW56" s="409"/>
      <c r="AX56" s="631">
        <f t="shared" si="154"/>
        <v>0</v>
      </c>
      <c r="AY56" s="640" cm="1">
        <f t="array" ref="AY56">IF($AT56&lt;=0,0,IFERROR(IF(INDEX(Premises!$A$42:$F$42,1,$CH56)&lt;&gt;0,INDEX(Premises!$A$42:$F$42,1,$CH56)/100,(INDEX(MAT[],$CJ56,MATCH($CA56,MAT!$B$4:$AE$4,0))/($AR56*$CK56*INDEX(Premises!$A$13:$F$13,1,$CH56))+INDEX(MAT[],$CJ56,MATCH($CA56,MAT!$B$4:$AE$4,0)+7))/$AT56),0))</f>
        <v>0</v>
      </c>
      <c r="AZ56" s="631">
        <f t="shared" si="155"/>
        <v>0</v>
      </c>
      <c r="BA56" s="635">
        <f t="shared" si="156"/>
        <v>0</v>
      </c>
      <c r="BB56" s="635">
        <f t="shared" si="157"/>
        <v>0</v>
      </c>
      <c r="BC56" s="639" cm="1">
        <f t="array" ref="BC56">IF($BB56&lt;=0,0,IF(BC$2=-1,0,INDEX(Premises!$A$32:$F$32,1,$CH56)/100))</f>
        <v>0</v>
      </c>
      <c r="BD56" s="631">
        <f t="shared" si="158"/>
        <v>0</v>
      </c>
      <c r="BE56" s="639" cm="1">
        <f t="array" ref="BE56">IF($BB56&lt;=0,0,IF(BE$2=-1,0,INDEX(Premises!$A$33:$F$33,1,$CH56)/100))</f>
        <v>0</v>
      </c>
      <c r="BF56" s="631">
        <f t="shared" si="159"/>
        <v>0</v>
      </c>
      <c r="BG56" s="639" cm="1">
        <f t="array" ref="BG56">IF($BB56&lt;=0,0,IF(BG$2=-1,0,INDEX(Premises!$A$31:$F$31,1,$CH56)/100))</f>
        <v>0</v>
      </c>
      <c r="BH56" s="631">
        <f t="shared" si="160"/>
        <v>0</v>
      </c>
      <c r="BI56" s="635">
        <f t="shared" si="161"/>
        <v>0</v>
      </c>
      <c r="BJ56" s="639" cm="1">
        <f t="array" ref="BJ56">IF($BB56&lt;=0,0,IF(BJ$2=-1,0,INDEX(Premises!$A$35:$F$35,1,$CH56)/100))</f>
        <v>0</v>
      </c>
      <c r="BK56" s="631">
        <f t="shared" si="162"/>
        <v>0</v>
      </c>
      <c r="BL56" s="639" cm="1">
        <f t="array" ref="BL56">IF($BB56&lt;=0,0,IF(BL$2=-1,0,INDEX(Premises!$A$36:$F$36,1,$CH56)/100))</f>
        <v>0</v>
      </c>
      <c r="BM56" s="631">
        <f t="shared" si="163"/>
        <v>0</v>
      </c>
      <c r="BN56" s="639" cm="1">
        <f t="array" ref="BN56">IF($BB56&lt;=0,0,IF(BN$2=-1,0,INDEX(Premises!$A$34:$F$34,1,$CH56)/100))</f>
        <v>0</v>
      </c>
      <c r="BO56" s="631">
        <f t="shared" si="164"/>
        <v>0</v>
      </c>
      <c r="BP56" s="639" cm="1">
        <f t="array" ref="BP56">IF($BI56=0,0,INDEX(Premises!$A$37:$F$37,1,$CH56)/100)</f>
        <v>0</v>
      </c>
      <c r="BQ56" s="409"/>
      <c r="BR56" s="631">
        <f t="shared" si="165"/>
        <v>0</v>
      </c>
      <c r="BS56" s="641">
        <f t="shared" si="166"/>
        <v>0</v>
      </c>
      <c r="BT56" s="641">
        <f t="shared" si="167"/>
        <v>0</v>
      </c>
      <c r="BU56" s="642">
        <f t="shared" si="168"/>
        <v>0</v>
      </c>
      <c r="BV56" s="417"/>
      <c r="BW56" s="418"/>
      <c r="BX56" s="418"/>
      <c r="BY56" s="419"/>
      <c r="BZ56" s="968"/>
      <c r="CA56" s="280" cm="1">
        <f t="array" ref="CA56">IF($BZ56&gt;0,VALUE(LEFT($BZ56,IF(ISERROR(FIND("-",$BZ56)),LEN($BZ56),FIND("-",$BZ56)-1))),INDEX($CA$1:$CA56,MAX(1,$CD56)))</f>
        <v>1</v>
      </c>
      <c r="CB56" s="280" cm="1">
        <f t="array" ref="CB56">IF($BT56=0,0,IF(LEN($BZ56)-LEN(SUBSTITUTE($BZ56,"-",""))&gt;1,
VALUE(MID($BZ56,FIND("-",$BZ56)+1,FIND("-",$BZ56,FIND("-",$BZ56)+1)-FIND("-",$BZ56)-1)),IF($BZ56&gt;0,0,INDEX($CB$1:$CB56,MAX(1,$CD56)))))</f>
        <v>0</v>
      </c>
      <c r="CC56" s="280" cm="1">
        <f t="array" ref="CC56">IF($BT56=0,0,IF(NOT(ISERROR(FIND("-",BZ56))),
VALUE(RIGHT($BZ56,LEN($BZ56)-IF(LEN($BZ56)-LEN(SUBSTITUTE($BZ56,"-",""))=1,FIND("-",$BZ56),FIND("-",$BZ56,FIND("-",$BZ56)+1)))),
IF($BZ56&gt;0,0,INDEX($CC$1:$CC56,MAX(1,$CD56)))))</f>
        <v>0</v>
      </c>
      <c r="CD56" s="393">
        <f>MATCH(0,$CE$1:$CE56,-1)</f>
        <v>49</v>
      </c>
      <c r="CE56" s="280"/>
      <c r="CF56" s="394"/>
      <c r="CG56" s="393" cm="1">
        <f t="array" ref="CG56">INDEX($CG$1:$CG56,$CD56)</f>
        <v>7</v>
      </c>
      <c r="CH56" s="280">
        <f>MATCH($CA56,Premises!$A$10:$F$10,0)</f>
        <v>4</v>
      </c>
      <c r="CI56" s="280">
        <f>IF(ISBLANK($E56),0,IFERROR(MATCH($E56,MHR[Bezeichnung],0),0))</f>
        <v>0</v>
      </c>
      <c r="CJ56" s="394">
        <f>IF(ISBLANK($AQ56),0,IFERROR(MATCH($AQ56,MAT[Bezeichnung],0),0))</f>
        <v>0</v>
      </c>
      <c r="CK56" s="280" cm="1">
        <f t="array" ref="CK56">INDEX($D$1:$D56,$CD56)</f>
        <v>1</v>
      </c>
      <c r="CL56" s="280"/>
      <c r="CM56" s="395"/>
      <c r="CN56" s="396" cm="1">
        <f t="array" ref="CN56">IF($CB56=0,0,IF($CB56=INDEX($CB$1:$CB56,$CD56),INDEX($CN$1:$CN56,$CD56),$CP56))</f>
        <v>0</v>
      </c>
      <c r="CO56" s="395"/>
      <c r="CP56" s="396" cm="1">
        <f t="array" ref="CP56">IF($CC56=0,0,INDEX($CP$1:$CP56,$CD56))</f>
        <v>0</v>
      </c>
      <c r="CQ56" s="397"/>
      <c r="CR56" s="398"/>
      <c r="CS56" s="398"/>
      <c r="CT56" s="970"/>
      <c r="CU56" s="2"/>
      <c r="CV56" s="647">
        <f t="shared" si="169"/>
        <v>0</v>
      </c>
      <c r="CW56" s="648">
        <f t="shared" si="170"/>
        <v>0</v>
      </c>
      <c r="CX56" s="648">
        <f t="shared" si="171"/>
        <v>0</v>
      </c>
      <c r="CY56" s="648">
        <f t="shared" si="172"/>
        <v>0</v>
      </c>
      <c r="CZ56" s="648">
        <f t="shared" si="173"/>
        <v>0</v>
      </c>
      <c r="DA56" s="648">
        <f t="shared" si="174"/>
        <v>0</v>
      </c>
      <c r="DB56" s="648">
        <f t="shared" si="175"/>
        <v>0</v>
      </c>
      <c r="DC56" s="649">
        <f t="shared" si="176"/>
        <v>0</v>
      </c>
      <c r="DD56" s="648">
        <f t="shared" si="177"/>
        <v>0</v>
      </c>
      <c r="DE56" s="648">
        <f t="shared" si="178"/>
        <v>0</v>
      </c>
      <c r="DF56" s="648">
        <f t="shared" si="179"/>
        <v>0</v>
      </c>
      <c r="DG56" s="649">
        <f t="shared" si="180"/>
        <v>0</v>
      </c>
      <c r="DH56" s="649">
        <f t="shared" si="181"/>
        <v>0</v>
      </c>
      <c r="DI56" s="648">
        <f t="shared" si="182"/>
        <v>0</v>
      </c>
      <c r="DJ56" s="648">
        <f t="shared" si="183"/>
        <v>0</v>
      </c>
      <c r="DK56" s="648">
        <f t="shared" si="184"/>
        <v>0</v>
      </c>
      <c r="DL56" s="648">
        <f t="shared" si="185"/>
        <v>0</v>
      </c>
      <c r="DM56" s="648">
        <f t="shared" si="186"/>
        <v>0</v>
      </c>
      <c r="DN56" s="648">
        <f t="shared" si="187"/>
        <v>0</v>
      </c>
      <c r="DO56" s="648">
        <f t="shared" si="188"/>
        <v>0</v>
      </c>
      <c r="DP56" s="651">
        <f t="shared" si="189"/>
        <v>0</v>
      </c>
      <c r="DQ56" s="951">
        <f>IF($CB56=0,0,$DP56*_xlfn.XLOOKUP($CB56,Premises!$A$10:$F$10,Premises!$A$30:$F$30)/100)</f>
        <v>0</v>
      </c>
      <c r="DR56" s="650">
        <f>IFERROR(SUM($DP56:$DQ56)*IF(INDEX(Premises!$A$42:$F$42,1,MATCH($CB56,Premises!$A$10:$F$10,0))&gt;0,INDEX(Premises!$A$42:$F$42,1,MATCH($CB56,Premises!$A$10:$F$10,0))%,$CN56),0)</f>
        <v>0</v>
      </c>
      <c r="DS56" s="650" cm="1">
        <f t="array" ref="DS56">IF($CB56=0,0,SUM($DP56:$DR56)*_xlfn.XLOOKUP($CB56,Premises!$A$10:$F$10,IF(INDEX(Settings[],MATCH(3001,Settings[ID],0),2)="B",Premises!$A$33:$F$33,Premises!$A$31:$F$31))/100)</f>
        <v>0</v>
      </c>
      <c r="DT56" s="650" cm="1">
        <f t="array" ref="DT56">IF($CB56=0,0,$DP56*_xlfn.XLOOKUP($CB56,Premises!$A$10:$F$10,IF(INDEX(Settings[],MATCH(3002,Settings[ID],0),2)="B",Premises!$A$36:$F$36,Premises!$A$34:$F$34))/100)</f>
        <v>0</v>
      </c>
      <c r="DU56" s="650">
        <f>IF($CB56=0,0,SUM($DP56:$DT56)*_xlfn.XLOOKUP($CB56,Premises!$A$10:$F$10,Premises!$A$37:$F$37)/100)</f>
        <v>0</v>
      </c>
      <c r="DV56" s="954">
        <f t="shared" si="190"/>
        <v>0</v>
      </c>
      <c r="DW56" s="951">
        <f>IF($CC56=0,0,$DV56*_xlfn.XLOOKUP($CC56,Premises!$A$10:$F$10,Premises!$A$30:$F$30)/100)</f>
        <v>0</v>
      </c>
      <c r="DX56" s="650">
        <f>IFERROR(SUM($DV56:$DW56)*IF(INDEX(Premises!$A$42:$F$42,1,MATCH($CC56,Premises!$A$10:$F$10,0))&gt;0,INDEX(Premises!$A$42:$F$42,1,MATCH($CC56,Premises!$A$10:$F$10,0))%,$CP56),0)</f>
        <v>0</v>
      </c>
      <c r="DY56" s="650" cm="1">
        <f t="array" ref="DY56">IF($CC56=0,0,SUM($DV56:$DX56)*_xlfn.XLOOKUP($CC56,Premises!$A$10:$F$10,IF(INDEX(Settings[],MATCH(3001,Settings[ID],0),2)="B",Premises!$A$33:$F$33,Premises!$A$31:$F$31))/100)</f>
        <v>0</v>
      </c>
      <c r="DZ56" s="650" cm="1">
        <f t="array" ref="DZ56">IF($CC56=0,0,$DV56*_xlfn.XLOOKUP($CC56,Premises!$A$10:$F$10,IF(INDEX(Settings[],MATCH(3002,Settings[ID],0),2)="B",Premises!$A$36:$F$36,Premises!$A$34:$F$34))/100)</f>
        <v>0</v>
      </c>
      <c r="EA56" s="650">
        <f>IF($CC56=0,0,SUM($DV56:$DZ56)*_xlfn.XLOOKUP($CC56,Premises!$A$10:$F$10,Premises!$A$37:$F$37)/100)</f>
        <v>0</v>
      </c>
      <c r="EB56" s="651">
        <f t="shared" si="191"/>
        <v>0</v>
      </c>
      <c r="EC56" s="805"/>
      <c r="ED56" s="1104"/>
      <c r="EE56" s="650"/>
      <c r="EF56" s="1110"/>
      <c r="EG56" s="1108"/>
      <c r="EH56" s="1108"/>
      <c r="EI56" s="1108"/>
      <c r="EJ56" s="1108"/>
      <c r="EK56" s="1108"/>
      <c r="EL56" s="1108"/>
      <c r="EM56" s="1110"/>
      <c r="EN56" s="1108"/>
      <c r="EO56" s="1108"/>
      <c r="EP56" s="1108"/>
      <c r="EQ56" s="1108"/>
      <c r="ER56" s="1110"/>
      <c r="ES56" s="1108"/>
      <c r="ET56" s="1108"/>
      <c r="EU56" s="1108"/>
      <c r="EV56" s="1108"/>
      <c r="EW56" s="1108"/>
      <c r="EX56" s="1111"/>
      <c r="EY56" s="2"/>
      <c r="EZ56" s="2"/>
      <c r="FA56" s="2"/>
      <c r="FB56" s="2"/>
      <c r="FC56" s="2"/>
      <c r="FD56" s="2"/>
      <c r="FE56" s="2"/>
      <c r="FF56" s="2"/>
      <c r="FG56" s="2"/>
      <c r="FH56" s="2"/>
      <c r="FI56" s="2"/>
      <c r="FJ56" s="420"/>
      <c r="FK56" s="421"/>
      <c r="FL56" s="422"/>
      <c r="FM56" s="970"/>
    </row>
    <row r="57" spans="1:169" s="13" customFormat="1" ht="12.75" customHeight="1">
      <c r="A57" s="221"/>
      <c r="B57" s="402"/>
      <c r="C57" s="403"/>
      <c r="D57" s="646"/>
      <c r="E57" s="404"/>
      <c r="F57" s="405"/>
      <c r="G57" s="405"/>
      <c r="H57" s="405"/>
      <c r="I57" s="637" cm="1">
        <f t="array" ref="I57">IF($CI57=0,0,IFERROR(INDEX(MHR[],$CI57,MATCH($CA57,MHR!$B$4:$AY$4,0)),0))</f>
        <v>0</v>
      </c>
      <c r="J57" s="634">
        <f t="shared" si="144"/>
        <v>0</v>
      </c>
      <c r="K57" s="406"/>
      <c r="L57" s="407"/>
      <c r="M57" s="871"/>
      <c r="N57" s="407"/>
      <c r="O57" s="405"/>
      <c r="P57" s="645" cm="1">
        <f t="array" ref="P57">IF($K57=0,0,IFERROR(ROUNDUP(IF(ISNUMBER($K57),$K57,INDEX($D$1:$D57,$CD57)*INDEX(Premises!$A$13:$F$13,1,$CH57)/IF(OR($K57="T",$K57="D"),250,IF($K57="W",50,IF($K57="M",12,IF(OR($K57="HJ",$K57="HY"),2,IF(OR($K57="J",$K57="Y"),1,0)))))),0),0))</f>
        <v>0</v>
      </c>
      <c r="Q57" s="637" cm="1">
        <f t="array" ref="Q57">IF($K57=0,0,IFERROR(INDEX(Premises!$A$22:$F$22,1,$CH57)*100/INDEX(Premises!$A$16:$F$16,1,$CH57),0))</f>
        <v>0</v>
      </c>
      <c r="R57" s="634">
        <f t="shared" si="145"/>
        <v>0</v>
      </c>
      <c r="S57" s="408"/>
      <c r="T57" s="409"/>
      <c r="U57" s="637" cm="1">
        <f t="array" ref="U57">IF(COUNTBLANK($S57:$T57),0,
IF(AND(INDEX(MHR[Schichtmodell],$CI57)&lt;&gt;0,INDEX(MHR[Schichtmodell],$CI57)&lt;&gt;INDEX(Premises!$A$20:$F$20,1,$CH57)),ExchangeRate*
IF(OR($T57="M",$T57="U"),IF(INDEX(MHR[Schichtmodell],$CI57)=1,INDEX(LOC[M1S],INDEX(Premises!$A$18:$F$18,1,$CH57+1)),IF(INDEX(MHR[Schichtmodell],$CI57)=2,INDEX(LOC[M2S],INDEX(Premises!$A$18:$F$18,1,$CH57+1),IF(INDEX(MHR[Schichtmodell],$CI57)=3,INDEX(LOC[M3S],INDEX(Premises!$A$18:$F$18,1,$CH57+1)),0)))),
IF(INDEX(MHR[Schichtmodell],$CI57)=1,INDEX(LOC[F1S],INDEX(Premises!$A$18:$F$18,1,$CH57+1)),IF(INDEX(MHR[Schichtmodell],$CI57)=2,INDEX(LOC[F2S],INDEX(Premises!$A$18:$F$18,1,$CH57+1)),IF(INDEX(MHR[Schichtmodell],$CI57)=3,INDEX(LOC[F3S],INDEX(Premises!$A$18:$F$18,1,$CH57+1)),0)))),
IF(OR($T57="M",$T57="U"),INDEX(Premises!$A$21:$F$21,1,$CH57),
IF(OR($T57="F",$T57="S"),INDEX(Premises!$A$22:$F$22,1,$CH57),0)))*100/INDEX(Premises!$A$16:$F$16,1,$CH57))</f>
        <v>0</v>
      </c>
      <c r="V57" s="631">
        <f t="shared" si="146"/>
        <v>0</v>
      </c>
      <c r="W57" s="410"/>
      <c r="X57" s="403"/>
      <c r="Y57" s="411"/>
      <c r="Z57" s="412"/>
      <c r="AA57" s="628">
        <f t="shared" si="147"/>
        <v>0</v>
      </c>
      <c r="AB57" s="410"/>
      <c r="AC57" s="403"/>
      <c r="AD57" s="411"/>
      <c r="AE57" s="413"/>
      <c r="AF57" s="628">
        <f t="shared" si="148"/>
        <v>0</v>
      </c>
      <c r="AG57" s="629" cm="1">
        <f t="array" ref="AG57">IF(($J57+$V57+$AF57)=0,0,INDEX(Premises!$A$30:$F$30,1,$CH57)/100)</f>
        <v>0</v>
      </c>
      <c r="AH57" s="414"/>
      <c r="AI57" s="415"/>
      <c r="AJ57" s="416"/>
      <c r="AK57" s="630">
        <f t="shared" si="149"/>
        <v>0</v>
      </c>
      <c r="AL57" s="631">
        <f t="shared" si="150"/>
        <v>0</v>
      </c>
      <c r="AM57" s="632" cm="1">
        <f t="array" ref="AM57">IF($CI57=0,0,IFERROR(INDEX(MHR[],$CI57,MATCH($CA57,MHR!$B$4:$AY$4,0)+11),0))</f>
        <v>0</v>
      </c>
      <c r="AN57" s="633" cm="1">
        <f t="array" ref="AN57">IF(($J57+$V57)=0,0,IFERROR(IF(INDEX(Premises!$A$41:$F$41,1,$CH57)&lt;&gt;0,INDEX(Premises!$A$41:$F$41,1,$CH57)/100,(IFERROR(($J57/$I57)*$AM57,0)/($V57+$J57+$R57+$AL57))),0))</f>
        <v>0</v>
      </c>
      <c r="AO57" s="634">
        <f t="shared" si="151"/>
        <v>0</v>
      </c>
      <c r="AP57" s="635">
        <f t="shared" si="152"/>
        <v>0</v>
      </c>
      <c r="AQ57" s="410" t="str">
        <f>BOM!$A$15</f>
        <v>01-01-03-08 Black Film</v>
      </c>
      <c r="AR57" s="409">
        <f>VLOOKUP($AQ57,BOM,6,0)</f>
        <v>1</v>
      </c>
      <c r="AS57" s="636" cm="1">
        <f t="array" ref="AS57">IF($CJ57=0,0,IFERROR(INDEX(MAT[Einheit],$CJ57,1),0))</f>
        <v>0</v>
      </c>
      <c r="AT57" s="637" cm="1">
        <f t="array" ref="AT57">IF($CJ57=0,0,IFERROR(INDEX(MAT[Preis],$CJ57,1),0))</f>
        <v>0</v>
      </c>
      <c r="AU57" s="638">
        <f t="shared" si="153"/>
        <v>0</v>
      </c>
      <c r="AV57" s="639" cm="1">
        <f t="array" ref="AV57">IF($AU57&lt;=0,0,INDEX(Premises!$A$30:$F$30,1,$CH57)/100)</f>
        <v>0</v>
      </c>
      <c r="AW57" s="409"/>
      <c r="AX57" s="631">
        <f t="shared" si="154"/>
        <v>0</v>
      </c>
      <c r="AY57" s="640" cm="1">
        <f t="array" ref="AY57">IF($AT57&lt;=0,0,IFERROR(IF(INDEX(Premises!$A$42:$F$42,1,$CH57)&lt;&gt;0,INDEX(Premises!$A$42:$F$42,1,$CH57)/100,(INDEX(MAT[],$CJ57,MATCH($CA57,MAT!$B$4:$AE$4,0))/($AR57*$CK57*INDEX(Premises!$A$13:$F$13,1,$CH57))+INDEX(MAT[],$CJ57,MATCH($CA57,MAT!$B$4:$AE$4,0)+7))/$AT57),0))</f>
        <v>0</v>
      </c>
      <c r="AZ57" s="631">
        <f t="shared" si="155"/>
        <v>0</v>
      </c>
      <c r="BA57" s="635">
        <f t="shared" si="156"/>
        <v>0</v>
      </c>
      <c r="BB57" s="635">
        <f t="shared" si="157"/>
        <v>0</v>
      </c>
      <c r="BC57" s="639" cm="1">
        <f t="array" ref="BC57">IF($BB57&lt;=0,0,IF(BC$2=-1,0,INDEX(Premises!$A$32:$F$32,1,$CH57)/100))</f>
        <v>0</v>
      </c>
      <c r="BD57" s="631">
        <f t="shared" si="158"/>
        <v>0</v>
      </c>
      <c r="BE57" s="639" cm="1">
        <f t="array" ref="BE57">IF($BB57&lt;=0,0,IF(BE$2=-1,0,INDEX(Premises!$A$33:$F$33,1,$CH57)/100))</f>
        <v>0</v>
      </c>
      <c r="BF57" s="631">
        <f t="shared" si="159"/>
        <v>0</v>
      </c>
      <c r="BG57" s="639" cm="1">
        <f t="array" ref="BG57">IF($BB57&lt;=0,0,IF(BG$2=-1,0,INDEX(Premises!$A$31:$F$31,1,$CH57)/100))</f>
        <v>0</v>
      </c>
      <c r="BH57" s="631">
        <f t="shared" si="160"/>
        <v>0</v>
      </c>
      <c r="BI57" s="635">
        <f t="shared" si="161"/>
        <v>0</v>
      </c>
      <c r="BJ57" s="639" cm="1">
        <f t="array" ref="BJ57">IF($BB57&lt;=0,0,IF(BJ$2=-1,0,INDEX(Premises!$A$35:$F$35,1,$CH57)/100))</f>
        <v>0</v>
      </c>
      <c r="BK57" s="631">
        <f t="shared" si="162"/>
        <v>0</v>
      </c>
      <c r="BL57" s="639" cm="1">
        <f t="array" ref="BL57">IF($BB57&lt;=0,0,IF(BL$2=-1,0,INDEX(Premises!$A$36:$F$36,1,$CH57)/100))</f>
        <v>0</v>
      </c>
      <c r="BM57" s="631">
        <f t="shared" si="163"/>
        <v>0</v>
      </c>
      <c r="BN57" s="639" cm="1">
        <f t="array" ref="BN57">IF($BB57&lt;=0,0,IF(BN$2=-1,0,INDEX(Premises!$A$34:$F$34,1,$CH57)/100))</f>
        <v>0</v>
      </c>
      <c r="BO57" s="631">
        <f t="shared" si="164"/>
        <v>0</v>
      </c>
      <c r="BP57" s="639" cm="1">
        <f t="array" ref="BP57">IF($BI57=0,0,INDEX(Premises!$A$37:$F$37,1,$CH57)/100)</f>
        <v>0</v>
      </c>
      <c r="BQ57" s="409"/>
      <c r="BR57" s="631">
        <f t="shared" si="165"/>
        <v>0</v>
      </c>
      <c r="BS57" s="641">
        <f t="shared" si="166"/>
        <v>0</v>
      </c>
      <c r="BT57" s="641">
        <f t="shared" si="167"/>
        <v>0</v>
      </c>
      <c r="BU57" s="642">
        <f t="shared" si="168"/>
        <v>0</v>
      </c>
      <c r="BV57" s="417"/>
      <c r="BW57" s="418"/>
      <c r="BX57" s="418"/>
      <c r="BY57" s="419"/>
      <c r="BZ57" s="968"/>
      <c r="CA57" s="280" cm="1">
        <f t="array" ref="CA57">IF($BZ57&gt;0,VALUE(LEFT($BZ57,IF(ISERROR(FIND("-",$BZ57)),LEN($BZ57),FIND("-",$BZ57)-1))),INDEX($CA$1:$CA57,MAX(1,$CD57)))</f>
        <v>1</v>
      </c>
      <c r="CB57" s="280" cm="1">
        <f t="array" ref="CB57">IF($BT57=0,0,IF(LEN($BZ57)-LEN(SUBSTITUTE($BZ57,"-",""))&gt;1,
VALUE(MID($BZ57,FIND("-",$BZ57)+1,FIND("-",$BZ57,FIND("-",$BZ57)+1)-FIND("-",$BZ57)-1)),IF($BZ57&gt;0,0,INDEX($CB$1:$CB57,MAX(1,$CD57)))))</f>
        <v>0</v>
      </c>
      <c r="CC57" s="280" cm="1">
        <f t="array" ref="CC57">IF($BT57=0,0,IF(NOT(ISERROR(FIND("-",BZ57))),
VALUE(RIGHT($BZ57,LEN($BZ57)-IF(LEN($BZ57)-LEN(SUBSTITUTE($BZ57,"-",""))=1,FIND("-",$BZ57),FIND("-",$BZ57,FIND("-",$BZ57)+1)))),
IF($BZ57&gt;0,0,INDEX($CC$1:$CC57,MAX(1,$CD57)))))</f>
        <v>0</v>
      </c>
      <c r="CD57" s="393">
        <f>MATCH(0,$CE$1:$CE57,-1)</f>
        <v>49</v>
      </c>
      <c r="CE57" s="280"/>
      <c r="CF57" s="394"/>
      <c r="CG57" s="393" cm="1">
        <f t="array" ref="CG57">INDEX($CG$1:$CG57,$CD57)</f>
        <v>7</v>
      </c>
      <c r="CH57" s="280">
        <f>MATCH($CA57,Premises!$A$10:$F$10,0)</f>
        <v>4</v>
      </c>
      <c r="CI57" s="280">
        <f>IF(ISBLANK($E57),0,IFERROR(MATCH($E57,MHR[Bezeichnung],0),0))</f>
        <v>0</v>
      </c>
      <c r="CJ57" s="394">
        <f>IF(ISBLANK($AQ57),0,IFERROR(MATCH($AQ57,MAT[Bezeichnung],0),0))</f>
        <v>0</v>
      </c>
      <c r="CK57" s="280" cm="1">
        <f t="array" ref="CK57">INDEX($D$1:$D57,$CD57)</f>
        <v>1</v>
      </c>
      <c r="CL57" s="280"/>
      <c r="CM57" s="395"/>
      <c r="CN57" s="396" cm="1">
        <f t="array" ref="CN57">IF($CB57=0,0,IF($CB57=INDEX($CB$1:$CB57,$CD57),INDEX($CN$1:$CN57,$CD57),$CP57))</f>
        <v>0</v>
      </c>
      <c r="CO57" s="395"/>
      <c r="CP57" s="396" cm="1">
        <f t="array" ref="CP57">IF($CC57=0,0,INDEX($CP$1:$CP57,$CD57))</f>
        <v>0</v>
      </c>
      <c r="CQ57" s="397"/>
      <c r="CR57" s="398"/>
      <c r="CS57" s="398"/>
      <c r="CT57" s="970"/>
      <c r="CU57" s="2"/>
      <c r="CV57" s="647">
        <f t="shared" si="169"/>
        <v>0</v>
      </c>
      <c r="CW57" s="648">
        <f t="shared" si="170"/>
        <v>0</v>
      </c>
      <c r="CX57" s="648">
        <f t="shared" si="171"/>
        <v>0</v>
      </c>
      <c r="CY57" s="648">
        <f t="shared" si="172"/>
        <v>0</v>
      </c>
      <c r="CZ57" s="648">
        <f t="shared" si="173"/>
        <v>0</v>
      </c>
      <c r="DA57" s="648">
        <f t="shared" si="174"/>
        <v>0</v>
      </c>
      <c r="DB57" s="648">
        <f t="shared" si="175"/>
        <v>0</v>
      </c>
      <c r="DC57" s="649">
        <f t="shared" si="176"/>
        <v>0</v>
      </c>
      <c r="DD57" s="648">
        <f t="shared" si="177"/>
        <v>0</v>
      </c>
      <c r="DE57" s="648">
        <f t="shared" si="178"/>
        <v>0</v>
      </c>
      <c r="DF57" s="648">
        <f t="shared" si="179"/>
        <v>0</v>
      </c>
      <c r="DG57" s="649">
        <f t="shared" si="180"/>
        <v>0</v>
      </c>
      <c r="DH57" s="649">
        <f t="shared" si="181"/>
        <v>0</v>
      </c>
      <c r="DI57" s="648">
        <f t="shared" si="182"/>
        <v>0</v>
      </c>
      <c r="DJ57" s="648">
        <f t="shared" si="183"/>
        <v>0</v>
      </c>
      <c r="DK57" s="648">
        <f t="shared" si="184"/>
        <v>0</v>
      </c>
      <c r="DL57" s="648">
        <f t="shared" si="185"/>
        <v>0</v>
      </c>
      <c r="DM57" s="648">
        <f t="shared" si="186"/>
        <v>0</v>
      </c>
      <c r="DN57" s="648">
        <f t="shared" si="187"/>
        <v>0</v>
      </c>
      <c r="DO57" s="648">
        <f t="shared" si="188"/>
        <v>0</v>
      </c>
      <c r="DP57" s="651">
        <f t="shared" si="189"/>
        <v>0</v>
      </c>
      <c r="DQ57" s="951">
        <f>IF($CB57=0,0,$DP57*_xlfn.XLOOKUP($CB57,Premises!$A$10:$F$10,Premises!$A$30:$F$30)/100)</f>
        <v>0</v>
      </c>
      <c r="DR57" s="650">
        <f>IFERROR(SUM($DP57:$DQ57)*IF(INDEX(Premises!$A$42:$F$42,1,MATCH($CB57,Premises!$A$10:$F$10,0))&gt;0,INDEX(Premises!$A$42:$F$42,1,MATCH($CB57,Premises!$A$10:$F$10,0))%,$CN57),0)</f>
        <v>0</v>
      </c>
      <c r="DS57" s="650" cm="1">
        <f t="array" ref="DS57">IF($CB57=0,0,SUM($DP57:$DR57)*_xlfn.XLOOKUP($CB57,Premises!$A$10:$F$10,IF(INDEX(Settings[],MATCH(3001,Settings[ID],0),2)="B",Premises!$A$33:$F$33,Premises!$A$31:$F$31))/100)</f>
        <v>0</v>
      </c>
      <c r="DT57" s="650" cm="1">
        <f t="array" ref="DT57">IF($CB57=0,0,$DP57*_xlfn.XLOOKUP($CB57,Premises!$A$10:$F$10,IF(INDEX(Settings[],MATCH(3002,Settings[ID],0),2)="B",Premises!$A$36:$F$36,Premises!$A$34:$F$34))/100)</f>
        <v>0</v>
      </c>
      <c r="DU57" s="650">
        <f>IF($CB57=0,0,SUM($DP57:$DT57)*_xlfn.XLOOKUP($CB57,Premises!$A$10:$F$10,Premises!$A$37:$F$37)/100)</f>
        <v>0</v>
      </c>
      <c r="DV57" s="954">
        <f t="shared" si="190"/>
        <v>0</v>
      </c>
      <c r="DW57" s="951">
        <f>IF($CC57=0,0,$DV57*_xlfn.XLOOKUP($CC57,Premises!$A$10:$F$10,Premises!$A$30:$F$30)/100)</f>
        <v>0</v>
      </c>
      <c r="DX57" s="650">
        <f>IFERROR(SUM($DV57:$DW57)*IF(INDEX(Premises!$A$42:$F$42,1,MATCH($CC57,Premises!$A$10:$F$10,0))&gt;0,INDEX(Premises!$A$42:$F$42,1,MATCH($CC57,Premises!$A$10:$F$10,0))%,$CP57),0)</f>
        <v>0</v>
      </c>
      <c r="DY57" s="650" cm="1">
        <f t="array" ref="DY57">IF($CC57=0,0,SUM($DV57:$DX57)*_xlfn.XLOOKUP($CC57,Premises!$A$10:$F$10,IF(INDEX(Settings[],MATCH(3001,Settings[ID],0),2)="B",Premises!$A$33:$F$33,Premises!$A$31:$F$31))/100)</f>
        <v>0</v>
      </c>
      <c r="DZ57" s="650" cm="1">
        <f t="array" ref="DZ57">IF($CC57=0,0,$DV57*_xlfn.XLOOKUP($CC57,Premises!$A$10:$F$10,IF(INDEX(Settings[],MATCH(3002,Settings[ID],0),2)="B",Premises!$A$36:$F$36,Premises!$A$34:$F$34))/100)</f>
        <v>0</v>
      </c>
      <c r="EA57" s="650">
        <f>IF($CC57=0,0,SUM($DV57:$DZ57)*_xlfn.XLOOKUP($CC57,Premises!$A$10:$F$10,Premises!$A$37:$F$37)/100)</f>
        <v>0</v>
      </c>
      <c r="EB57" s="651">
        <f t="shared" si="191"/>
        <v>0</v>
      </c>
      <c r="EC57" s="805"/>
      <c r="ED57" s="1104"/>
      <c r="EE57" s="650"/>
      <c r="EF57" s="1110"/>
      <c r="EG57" s="1108"/>
      <c r="EH57" s="1108"/>
      <c r="EI57" s="1108"/>
      <c r="EJ57" s="1108"/>
      <c r="EK57" s="1108"/>
      <c r="EL57" s="1108"/>
      <c r="EM57" s="1110"/>
      <c r="EN57" s="1108"/>
      <c r="EO57" s="1108"/>
      <c r="EP57" s="1108"/>
      <c r="EQ57" s="1108"/>
      <c r="ER57" s="1110"/>
      <c r="ES57" s="1108"/>
      <c r="ET57" s="1108"/>
      <c r="EU57" s="1108"/>
      <c r="EV57" s="1108"/>
      <c r="EW57" s="1108"/>
      <c r="EX57" s="1111"/>
      <c r="EY57" s="2"/>
      <c r="EZ57" s="2"/>
      <c r="FA57" s="2"/>
      <c r="FB57" s="2"/>
      <c r="FC57" s="2"/>
      <c r="FD57" s="2"/>
      <c r="FE57" s="2"/>
      <c r="FF57" s="2"/>
      <c r="FG57" s="2"/>
      <c r="FH57" s="2"/>
      <c r="FI57" s="2"/>
      <c r="FJ57" s="420"/>
      <c r="FK57" s="421"/>
      <c r="FL57" s="422"/>
      <c r="FM57" s="970"/>
    </row>
    <row r="58" spans="1:169" s="13" customFormat="1" ht="12.75" customHeight="1">
      <c r="A58" s="221"/>
      <c r="B58" s="402"/>
      <c r="C58" s="403"/>
      <c r="D58" s="646"/>
      <c r="E58" s="404"/>
      <c r="F58" s="405"/>
      <c r="G58" s="405"/>
      <c r="H58" s="405"/>
      <c r="I58" s="637" cm="1">
        <f t="array" ref="I58">IF($CI58=0,0,IFERROR(INDEX(MHR[],$CI58,MATCH($CA58,MHR!$B$4:$AY$4,0)),0))</f>
        <v>0</v>
      </c>
      <c r="J58" s="634">
        <f t="shared" si="144"/>
        <v>0</v>
      </c>
      <c r="K58" s="406"/>
      <c r="L58" s="407"/>
      <c r="M58" s="871"/>
      <c r="N58" s="407"/>
      <c r="O58" s="405"/>
      <c r="P58" s="645" cm="1">
        <f t="array" ref="P58">IF($K58=0,0,IFERROR(ROUNDUP(IF(ISNUMBER($K58),$K58,INDEX($D$1:$D58,$CD58)*INDEX(Premises!$A$13:$F$13,1,$CH58)/IF(OR($K58="T",$K58="D"),250,IF($K58="W",50,IF($K58="M",12,IF(OR($K58="HJ",$K58="HY"),2,IF(OR($K58="J",$K58="Y"),1,0)))))),0),0))</f>
        <v>0</v>
      </c>
      <c r="Q58" s="637" cm="1">
        <f t="array" ref="Q58">IF($K58=0,0,IFERROR(INDEX(Premises!$A$22:$F$22,1,$CH58)*100/INDEX(Premises!$A$16:$F$16,1,$CH58),0))</f>
        <v>0</v>
      </c>
      <c r="R58" s="634">
        <f t="shared" si="145"/>
        <v>0</v>
      </c>
      <c r="S58" s="408"/>
      <c r="T58" s="409"/>
      <c r="U58" s="637" cm="1">
        <f t="array" ref="U58">IF(COUNTBLANK($S58:$T58),0,
IF(AND(INDEX(MHR[Schichtmodell],$CI58)&lt;&gt;0,INDEX(MHR[Schichtmodell],$CI58)&lt;&gt;INDEX(Premises!$A$20:$F$20,1,$CH58)),ExchangeRate*
IF(OR($T58="M",$T58="U"),IF(INDEX(MHR[Schichtmodell],$CI58)=1,INDEX(LOC[M1S],INDEX(Premises!$A$18:$F$18,1,$CH58+1)),IF(INDEX(MHR[Schichtmodell],$CI58)=2,INDEX(LOC[M2S],INDEX(Premises!$A$18:$F$18,1,$CH58+1),IF(INDEX(MHR[Schichtmodell],$CI58)=3,INDEX(LOC[M3S],INDEX(Premises!$A$18:$F$18,1,$CH58+1)),0)))),
IF(INDEX(MHR[Schichtmodell],$CI58)=1,INDEX(LOC[F1S],INDEX(Premises!$A$18:$F$18,1,$CH58+1)),IF(INDEX(MHR[Schichtmodell],$CI58)=2,INDEX(LOC[F2S],INDEX(Premises!$A$18:$F$18,1,$CH58+1)),IF(INDEX(MHR[Schichtmodell],$CI58)=3,INDEX(LOC[F3S],INDEX(Premises!$A$18:$F$18,1,$CH58+1)),0)))),
IF(OR($T58="M",$T58="U"),INDEX(Premises!$A$21:$F$21,1,$CH58),
IF(OR($T58="F",$T58="S"),INDEX(Premises!$A$22:$F$22,1,$CH58),0)))*100/INDEX(Premises!$A$16:$F$16,1,$CH58))</f>
        <v>0</v>
      </c>
      <c r="V58" s="631">
        <f t="shared" si="146"/>
        <v>0</v>
      </c>
      <c r="W58" s="410"/>
      <c r="X58" s="403"/>
      <c r="Y58" s="411"/>
      <c r="Z58" s="412"/>
      <c r="AA58" s="628">
        <f t="shared" si="147"/>
        <v>0</v>
      </c>
      <c r="AB58" s="410"/>
      <c r="AC58" s="403"/>
      <c r="AD58" s="411"/>
      <c r="AE58" s="413"/>
      <c r="AF58" s="628">
        <f t="shared" si="148"/>
        <v>0</v>
      </c>
      <c r="AG58" s="629" cm="1">
        <f t="array" ref="AG58">IF(($J58+$V58+$AF58)=0,0,INDEX(Premises!$A$30:$F$30,1,$CH58)/100)</f>
        <v>0</v>
      </c>
      <c r="AH58" s="414"/>
      <c r="AI58" s="415"/>
      <c r="AJ58" s="416"/>
      <c r="AK58" s="630">
        <f t="shared" si="149"/>
        <v>0</v>
      </c>
      <c r="AL58" s="631">
        <f t="shared" si="150"/>
        <v>0</v>
      </c>
      <c r="AM58" s="632" cm="1">
        <f t="array" ref="AM58">IF($CI58=0,0,IFERROR(INDEX(MHR[],$CI58,MATCH($CA58,MHR!$B$4:$AY$4,0)+11),0))</f>
        <v>0</v>
      </c>
      <c r="AN58" s="633" cm="1">
        <f t="array" ref="AN58">IF(($J58+$V58)=0,0,IFERROR(IF(INDEX(Premises!$A$41:$F$41,1,$CH58)&lt;&gt;0,INDEX(Premises!$A$41:$F$41,1,$CH58)/100,(IFERROR(($J58/$I58)*$AM58,0)/($V58+$J58+$R58+$AL58))),0))</f>
        <v>0</v>
      </c>
      <c r="AO58" s="634">
        <f t="shared" si="151"/>
        <v>0</v>
      </c>
      <c r="AP58" s="635">
        <f t="shared" si="152"/>
        <v>0</v>
      </c>
      <c r="AQ58" s="410" t="str">
        <f>BOM!$A$16</f>
        <v>01-01-03-09 Rubber</v>
      </c>
      <c r="AR58" s="409">
        <f>VLOOKUP($AQ58,BOM,6,0)</f>
        <v>2</v>
      </c>
      <c r="AS58" s="636" cm="1">
        <f t="array" ref="AS58">IF($CJ58=0,0,IFERROR(INDEX(MAT[Einheit],$CJ58,1),0))</f>
        <v>0</v>
      </c>
      <c r="AT58" s="637" cm="1">
        <f t="array" ref="AT58">IF($CJ58=0,0,IFERROR(INDEX(MAT[Preis],$CJ58,1),0))</f>
        <v>0</v>
      </c>
      <c r="AU58" s="638">
        <f t="shared" si="153"/>
        <v>0</v>
      </c>
      <c r="AV58" s="639" cm="1">
        <f t="array" ref="AV58">IF($AU58&lt;=0,0,INDEX(Premises!$A$30:$F$30,1,$CH58)/100)</f>
        <v>0</v>
      </c>
      <c r="AW58" s="409"/>
      <c r="AX58" s="631">
        <f t="shared" si="154"/>
        <v>0</v>
      </c>
      <c r="AY58" s="640" cm="1">
        <f t="array" ref="AY58">IF($AT58&lt;=0,0,IFERROR(IF(INDEX(Premises!$A$42:$F$42,1,$CH58)&lt;&gt;0,INDEX(Premises!$A$42:$F$42,1,$CH58)/100,(INDEX(MAT[],$CJ58,MATCH($CA58,MAT!$B$4:$AE$4,0))/($AR58*$CK58*INDEX(Premises!$A$13:$F$13,1,$CH58))+INDEX(MAT[],$CJ58,MATCH($CA58,MAT!$B$4:$AE$4,0)+7))/$AT58),0))</f>
        <v>0</v>
      </c>
      <c r="AZ58" s="631">
        <f t="shared" si="155"/>
        <v>0</v>
      </c>
      <c r="BA58" s="635">
        <f t="shared" si="156"/>
        <v>0</v>
      </c>
      <c r="BB58" s="635">
        <f t="shared" si="157"/>
        <v>0</v>
      </c>
      <c r="BC58" s="639" cm="1">
        <f t="array" ref="BC58">IF($BB58&lt;=0,0,IF(BC$2=-1,0,INDEX(Premises!$A$32:$F$32,1,$CH58)/100))</f>
        <v>0</v>
      </c>
      <c r="BD58" s="631">
        <f t="shared" si="158"/>
        <v>0</v>
      </c>
      <c r="BE58" s="639" cm="1">
        <f t="array" ref="BE58">IF($BB58&lt;=0,0,IF(BE$2=-1,0,INDEX(Premises!$A$33:$F$33,1,$CH58)/100))</f>
        <v>0</v>
      </c>
      <c r="BF58" s="631">
        <f t="shared" si="159"/>
        <v>0</v>
      </c>
      <c r="BG58" s="639" cm="1">
        <f t="array" ref="BG58">IF($BB58&lt;=0,0,IF(BG$2=-1,0,INDEX(Premises!$A$31:$F$31,1,$CH58)/100))</f>
        <v>0</v>
      </c>
      <c r="BH58" s="631">
        <f t="shared" si="160"/>
        <v>0</v>
      </c>
      <c r="BI58" s="635">
        <f t="shared" si="161"/>
        <v>0</v>
      </c>
      <c r="BJ58" s="639" cm="1">
        <f t="array" ref="BJ58">IF($BB58&lt;=0,0,IF(BJ$2=-1,0,INDEX(Premises!$A$35:$F$35,1,$CH58)/100))</f>
        <v>0</v>
      </c>
      <c r="BK58" s="631">
        <f t="shared" si="162"/>
        <v>0</v>
      </c>
      <c r="BL58" s="639" cm="1">
        <f t="array" ref="BL58">IF($BB58&lt;=0,0,IF(BL$2=-1,0,INDEX(Premises!$A$36:$F$36,1,$CH58)/100))</f>
        <v>0</v>
      </c>
      <c r="BM58" s="631">
        <f t="shared" si="163"/>
        <v>0</v>
      </c>
      <c r="BN58" s="639" cm="1">
        <f t="array" ref="BN58">IF($BB58&lt;=0,0,IF(BN$2=-1,0,INDEX(Premises!$A$34:$F$34,1,$CH58)/100))</f>
        <v>0</v>
      </c>
      <c r="BO58" s="631">
        <f t="shared" si="164"/>
        <v>0</v>
      </c>
      <c r="BP58" s="639" cm="1">
        <f t="array" ref="BP58">IF($BI58=0,0,INDEX(Premises!$A$37:$F$37,1,$CH58)/100)</f>
        <v>0</v>
      </c>
      <c r="BQ58" s="409"/>
      <c r="BR58" s="631">
        <f t="shared" si="165"/>
        <v>0</v>
      </c>
      <c r="BS58" s="641">
        <f t="shared" si="166"/>
        <v>0</v>
      </c>
      <c r="BT58" s="641">
        <f t="shared" si="167"/>
        <v>0</v>
      </c>
      <c r="BU58" s="642">
        <f t="shared" si="168"/>
        <v>0</v>
      </c>
      <c r="BV58" s="417"/>
      <c r="BW58" s="418"/>
      <c r="BX58" s="418"/>
      <c r="BY58" s="419"/>
      <c r="BZ58" s="968"/>
      <c r="CA58" s="280" cm="1">
        <f t="array" ref="CA58">IF($BZ58&gt;0,VALUE(LEFT($BZ58,IF(ISERROR(FIND("-",$BZ58)),LEN($BZ58),FIND("-",$BZ58)-1))),INDEX($CA$1:$CA58,MAX(1,$CD58)))</f>
        <v>1</v>
      </c>
      <c r="CB58" s="280" cm="1">
        <f t="array" ref="CB58">IF($BT58=0,0,IF(LEN($BZ58)-LEN(SUBSTITUTE($BZ58,"-",""))&gt;1,
VALUE(MID($BZ58,FIND("-",$BZ58)+1,FIND("-",$BZ58,FIND("-",$BZ58)+1)-FIND("-",$BZ58)-1)),IF($BZ58&gt;0,0,INDEX($CB$1:$CB58,MAX(1,$CD58)))))</f>
        <v>0</v>
      </c>
      <c r="CC58" s="280" cm="1">
        <f t="array" ref="CC58">IF($BT58=0,0,IF(NOT(ISERROR(FIND("-",BZ58))),
VALUE(RIGHT($BZ58,LEN($BZ58)-IF(LEN($BZ58)-LEN(SUBSTITUTE($BZ58,"-",""))=1,FIND("-",$BZ58),FIND("-",$BZ58,FIND("-",$BZ58)+1)))),
IF($BZ58&gt;0,0,INDEX($CC$1:$CC58,MAX(1,$CD58)))))</f>
        <v>0</v>
      </c>
      <c r="CD58" s="393">
        <f>MATCH(0,$CE$1:$CE58,-1)</f>
        <v>49</v>
      </c>
      <c r="CE58" s="280"/>
      <c r="CF58" s="394"/>
      <c r="CG58" s="393" cm="1">
        <f t="array" ref="CG58">INDEX($CG$1:$CG58,$CD58)</f>
        <v>7</v>
      </c>
      <c r="CH58" s="280">
        <f>MATCH($CA58,Premises!$A$10:$F$10,0)</f>
        <v>4</v>
      </c>
      <c r="CI58" s="280">
        <f>IF(ISBLANK($E58),0,IFERROR(MATCH($E58,MHR[Bezeichnung],0),0))</f>
        <v>0</v>
      </c>
      <c r="CJ58" s="394">
        <f>IF(ISBLANK($AQ58),0,IFERROR(MATCH($AQ58,MAT[Bezeichnung],0),0))</f>
        <v>0</v>
      </c>
      <c r="CK58" s="280" cm="1">
        <f t="array" ref="CK58">INDEX($D$1:$D58,$CD58)</f>
        <v>1</v>
      </c>
      <c r="CL58" s="280"/>
      <c r="CM58" s="395"/>
      <c r="CN58" s="396" cm="1">
        <f t="array" ref="CN58">IF($CB58=0,0,IF($CB58=INDEX($CB$1:$CB58,$CD58),INDEX($CN$1:$CN58,$CD58),$CP58))</f>
        <v>0</v>
      </c>
      <c r="CO58" s="395"/>
      <c r="CP58" s="396" cm="1">
        <f t="array" ref="CP58">IF($CC58=0,0,INDEX($CP$1:$CP58,$CD58))</f>
        <v>0</v>
      </c>
      <c r="CQ58" s="397"/>
      <c r="CR58" s="398"/>
      <c r="CS58" s="398"/>
      <c r="CT58" s="970"/>
      <c r="CU58" s="2"/>
      <c r="CV58" s="647">
        <f t="shared" si="169"/>
        <v>0</v>
      </c>
      <c r="CW58" s="648">
        <f t="shared" si="170"/>
        <v>0</v>
      </c>
      <c r="CX58" s="648">
        <f t="shared" si="171"/>
        <v>0</v>
      </c>
      <c r="CY58" s="648">
        <f t="shared" si="172"/>
        <v>0</v>
      </c>
      <c r="CZ58" s="648">
        <f t="shared" si="173"/>
        <v>0</v>
      </c>
      <c r="DA58" s="648">
        <f t="shared" si="174"/>
        <v>0</v>
      </c>
      <c r="DB58" s="648">
        <f t="shared" si="175"/>
        <v>0</v>
      </c>
      <c r="DC58" s="649">
        <f t="shared" si="176"/>
        <v>0</v>
      </c>
      <c r="DD58" s="648">
        <f t="shared" si="177"/>
        <v>0</v>
      </c>
      <c r="DE58" s="648">
        <f t="shared" si="178"/>
        <v>0</v>
      </c>
      <c r="DF58" s="648">
        <f t="shared" si="179"/>
        <v>0</v>
      </c>
      <c r="DG58" s="649">
        <f t="shared" si="180"/>
        <v>0</v>
      </c>
      <c r="DH58" s="649">
        <f t="shared" si="181"/>
        <v>0</v>
      </c>
      <c r="DI58" s="648">
        <f t="shared" si="182"/>
        <v>0</v>
      </c>
      <c r="DJ58" s="648">
        <f t="shared" si="183"/>
        <v>0</v>
      </c>
      <c r="DK58" s="648">
        <f t="shared" si="184"/>
        <v>0</v>
      </c>
      <c r="DL58" s="648">
        <f t="shared" si="185"/>
        <v>0</v>
      </c>
      <c r="DM58" s="648">
        <f t="shared" si="186"/>
        <v>0</v>
      </c>
      <c r="DN58" s="648">
        <f t="shared" si="187"/>
        <v>0</v>
      </c>
      <c r="DO58" s="648">
        <f t="shared" si="188"/>
        <v>0</v>
      </c>
      <c r="DP58" s="651">
        <f t="shared" si="189"/>
        <v>0</v>
      </c>
      <c r="DQ58" s="951">
        <f>IF($CB58=0,0,$DP58*_xlfn.XLOOKUP($CB58,Premises!$A$10:$F$10,Premises!$A$30:$F$30)/100)</f>
        <v>0</v>
      </c>
      <c r="DR58" s="650">
        <f>IFERROR(SUM($DP58:$DQ58)*IF(INDEX(Premises!$A$42:$F$42,1,MATCH($CB58,Premises!$A$10:$F$10,0))&gt;0,INDEX(Premises!$A$42:$F$42,1,MATCH($CB58,Premises!$A$10:$F$10,0))%,$CN58),0)</f>
        <v>0</v>
      </c>
      <c r="DS58" s="650" cm="1">
        <f t="array" ref="DS58">IF($CB58=0,0,SUM($DP58:$DR58)*_xlfn.XLOOKUP($CB58,Premises!$A$10:$F$10,IF(INDEX(Settings[],MATCH(3001,Settings[ID],0),2)="B",Premises!$A$33:$F$33,Premises!$A$31:$F$31))/100)</f>
        <v>0</v>
      </c>
      <c r="DT58" s="650" cm="1">
        <f t="array" ref="DT58">IF($CB58=0,0,$DP58*_xlfn.XLOOKUP($CB58,Premises!$A$10:$F$10,IF(INDEX(Settings[],MATCH(3002,Settings[ID],0),2)="B",Premises!$A$36:$F$36,Premises!$A$34:$F$34))/100)</f>
        <v>0</v>
      </c>
      <c r="DU58" s="650">
        <f>IF($CB58=0,0,SUM($DP58:$DT58)*_xlfn.XLOOKUP($CB58,Premises!$A$10:$F$10,Premises!$A$37:$F$37)/100)</f>
        <v>0</v>
      </c>
      <c r="DV58" s="954">
        <f t="shared" si="190"/>
        <v>0</v>
      </c>
      <c r="DW58" s="951">
        <f>IF($CC58=0,0,$DV58*_xlfn.XLOOKUP($CC58,Premises!$A$10:$F$10,Premises!$A$30:$F$30)/100)</f>
        <v>0</v>
      </c>
      <c r="DX58" s="650">
        <f>IFERROR(SUM($DV58:$DW58)*IF(INDEX(Premises!$A$42:$F$42,1,MATCH($CC58,Premises!$A$10:$F$10,0))&gt;0,INDEX(Premises!$A$42:$F$42,1,MATCH($CC58,Premises!$A$10:$F$10,0))%,$CP58),0)</f>
        <v>0</v>
      </c>
      <c r="DY58" s="650" cm="1">
        <f t="array" ref="DY58">IF($CC58=0,0,SUM($DV58:$DX58)*_xlfn.XLOOKUP($CC58,Premises!$A$10:$F$10,IF(INDEX(Settings[],MATCH(3001,Settings[ID],0),2)="B",Premises!$A$33:$F$33,Premises!$A$31:$F$31))/100)</f>
        <v>0</v>
      </c>
      <c r="DZ58" s="650" cm="1">
        <f t="array" ref="DZ58">IF($CC58=0,0,$DV58*_xlfn.XLOOKUP($CC58,Premises!$A$10:$F$10,IF(INDEX(Settings[],MATCH(3002,Settings[ID],0),2)="B",Premises!$A$36:$F$36,Premises!$A$34:$F$34))/100)</f>
        <v>0</v>
      </c>
      <c r="EA58" s="650">
        <f>IF($CC58=0,0,SUM($DV58:$DZ58)*_xlfn.XLOOKUP($CC58,Premises!$A$10:$F$10,Premises!$A$37:$F$37)/100)</f>
        <v>0</v>
      </c>
      <c r="EB58" s="651">
        <f t="shared" si="191"/>
        <v>0</v>
      </c>
      <c r="EC58" s="805"/>
      <c r="ED58" s="1104"/>
      <c r="EE58" s="650"/>
      <c r="EF58" s="1110"/>
      <c r="EG58" s="1108"/>
      <c r="EH58" s="1108"/>
      <c r="EI58" s="1108"/>
      <c r="EJ58" s="1108"/>
      <c r="EK58" s="1108"/>
      <c r="EL58" s="1108"/>
      <c r="EM58" s="1110"/>
      <c r="EN58" s="1108"/>
      <c r="EO58" s="1108"/>
      <c r="EP58" s="1108"/>
      <c r="EQ58" s="1108"/>
      <c r="ER58" s="1110"/>
      <c r="ES58" s="1108"/>
      <c r="ET58" s="1108"/>
      <c r="EU58" s="1108"/>
      <c r="EV58" s="1108"/>
      <c r="EW58" s="1108"/>
      <c r="EX58" s="1111"/>
      <c r="EY58" s="2"/>
      <c r="EZ58" s="2"/>
      <c r="FA58" s="2"/>
      <c r="FB58" s="2"/>
      <c r="FC58" s="2"/>
      <c r="FD58" s="2"/>
      <c r="FE58" s="2"/>
      <c r="FF58" s="2"/>
      <c r="FG58" s="2"/>
      <c r="FH58" s="2"/>
      <c r="FI58" s="2"/>
      <c r="FJ58" s="420"/>
      <c r="FK58" s="421"/>
      <c r="FL58" s="422"/>
      <c r="FM58" s="970"/>
    </row>
    <row r="59" spans="1:169" s="13" customFormat="1" ht="12.75" customHeight="1">
      <c r="A59" s="221"/>
      <c r="B59" s="402"/>
      <c r="C59" s="403"/>
      <c r="D59" s="646"/>
      <c r="E59" s="404"/>
      <c r="F59" s="405"/>
      <c r="G59" s="405"/>
      <c r="H59" s="405"/>
      <c r="I59" s="637" cm="1">
        <f t="array" ref="I59">IF($CI59=0,0,IFERROR(INDEX(MHR[],$CI59,MATCH($CA59,MHR!$B$4:$AY$4,0)),0))</f>
        <v>0</v>
      </c>
      <c r="J59" s="634">
        <f t="shared" si="144"/>
        <v>0</v>
      </c>
      <c r="K59" s="406"/>
      <c r="L59" s="407"/>
      <c r="M59" s="871"/>
      <c r="N59" s="407"/>
      <c r="O59" s="405"/>
      <c r="P59" s="645" cm="1">
        <f t="array" ref="P59">IF($K59=0,0,IFERROR(ROUNDUP(IF(ISNUMBER($K59),$K59,INDEX($D$1:$D59,$CD59)*INDEX(Premises!$A$13:$F$13,1,$CH59)/IF(OR($K59="T",$K59="D"),250,IF($K59="W",50,IF($K59="M",12,IF(OR($K59="HJ",$K59="HY"),2,IF(OR($K59="J",$K59="Y"),1,0)))))),0),0))</f>
        <v>0</v>
      </c>
      <c r="Q59" s="637" cm="1">
        <f t="array" ref="Q59">IF($K59=0,0,IFERROR(INDEX(Premises!$A$22:$F$22,1,$CH59)*100/INDEX(Premises!$A$16:$F$16,1,$CH59),0))</f>
        <v>0</v>
      </c>
      <c r="R59" s="634">
        <f t="shared" si="145"/>
        <v>0</v>
      </c>
      <c r="S59" s="408"/>
      <c r="T59" s="409"/>
      <c r="U59" s="637" cm="1">
        <f t="array" ref="U59">IF(COUNTBLANK($S59:$T59),0,
IF(AND(INDEX(MHR[Schichtmodell],$CI59)&lt;&gt;0,INDEX(MHR[Schichtmodell],$CI59)&lt;&gt;INDEX(Premises!$A$20:$F$20,1,$CH59)),ExchangeRate*
IF(OR($T59="M",$T59="U"),IF(INDEX(MHR[Schichtmodell],$CI59)=1,INDEX(LOC[M1S],INDEX(Premises!$A$18:$F$18,1,$CH59+1)),IF(INDEX(MHR[Schichtmodell],$CI59)=2,INDEX(LOC[M2S],INDEX(Premises!$A$18:$F$18,1,$CH59+1),IF(INDEX(MHR[Schichtmodell],$CI59)=3,INDEX(LOC[M3S],INDEX(Premises!$A$18:$F$18,1,$CH59+1)),0)))),
IF(INDEX(MHR[Schichtmodell],$CI59)=1,INDEX(LOC[F1S],INDEX(Premises!$A$18:$F$18,1,$CH59+1)),IF(INDEX(MHR[Schichtmodell],$CI59)=2,INDEX(LOC[F2S],INDEX(Premises!$A$18:$F$18,1,$CH59+1)),IF(INDEX(MHR[Schichtmodell],$CI59)=3,INDEX(LOC[F3S],INDEX(Premises!$A$18:$F$18,1,$CH59+1)),0)))),
IF(OR($T59="M",$T59="U"),INDEX(Premises!$A$21:$F$21,1,$CH59),
IF(OR($T59="F",$T59="S"),INDEX(Premises!$A$22:$F$22,1,$CH59),0)))*100/INDEX(Premises!$A$16:$F$16,1,$CH59))</f>
        <v>0</v>
      </c>
      <c r="V59" s="631">
        <f t="shared" si="146"/>
        <v>0</v>
      </c>
      <c r="W59" s="410"/>
      <c r="X59" s="403"/>
      <c r="Y59" s="411"/>
      <c r="Z59" s="412"/>
      <c r="AA59" s="628">
        <f t="shared" si="147"/>
        <v>0</v>
      </c>
      <c r="AB59" s="410"/>
      <c r="AC59" s="403"/>
      <c r="AD59" s="411"/>
      <c r="AE59" s="413"/>
      <c r="AF59" s="628">
        <f t="shared" si="148"/>
        <v>0</v>
      </c>
      <c r="AG59" s="629" cm="1">
        <f t="array" ref="AG59">IF(($J59+$V59+$AF59)=0,0,INDEX(Premises!$A$30:$F$30,1,$CH59)/100)</f>
        <v>0</v>
      </c>
      <c r="AH59" s="414"/>
      <c r="AI59" s="415"/>
      <c r="AJ59" s="416"/>
      <c r="AK59" s="630">
        <f t="shared" si="149"/>
        <v>0</v>
      </c>
      <c r="AL59" s="631">
        <f t="shared" si="150"/>
        <v>0</v>
      </c>
      <c r="AM59" s="632" cm="1">
        <f t="array" ref="AM59">IF($CI59=0,0,IFERROR(INDEX(MHR[],$CI59,MATCH($CA59,MHR!$B$4:$AY$4,0)+11),0))</f>
        <v>0</v>
      </c>
      <c r="AN59" s="633" cm="1">
        <f t="array" ref="AN59">IF(($J59+$V59)=0,0,IFERROR(IF(INDEX(Premises!$A$41:$F$41,1,$CH59)&lt;&gt;0,INDEX(Premises!$A$41:$F$41,1,$CH59)/100,(IFERROR(($J59/$I59)*$AM59,0)/($V59+$J59+$R59+$AL59))),0))</f>
        <v>0</v>
      </c>
      <c r="AO59" s="634">
        <f t="shared" si="151"/>
        <v>0</v>
      </c>
      <c r="AP59" s="635">
        <f t="shared" si="152"/>
        <v>0</v>
      </c>
      <c r="AQ59" s="410" t="str">
        <f>BOM!$A$17</f>
        <v>01-01-03-10 Screw</v>
      </c>
      <c r="AR59" s="409">
        <f>VLOOKUP($AQ59,BOM,6,0)</f>
        <v>1</v>
      </c>
      <c r="AS59" s="636" cm="1">
        <f t="array" ref="AS59">IF($CJ59=0,0,IFERROR(INDEX(MAT[Einheit],$CJ59,1),0))</f>
        <v>0</v>
      </c>
      <c r="AT59" s="637" cm="1">
        <f t="array" ref="AT59">IF($CJ59=0,0,IFERROR(INDEX(MAT[Preis],$CJ59,1),0))</f>
        <v>0</v>
      </c>
      <c r="AU59" s="638">
        <f t="shared" si="153"/>
        <v>0</v>
      </c>
      <c r="AV59" s="639" cm="1">
        <f t="array" ref="AV59">IF($AU59&lt;=0,0,INDEX(Premises!$A$30:$F$30,1,$CH59)/100)</f>
        <v>0</v>
      </c>
      <c r="AW59" s="409"/>
      <c r="AX59" s="631">
        <f t="shared" si="154"/>
        <v>0</v>
      </c>
      <c r="AY59" s="640" cm="1">
        <f t="array" ref="AY59">IF($AT59&lt;=0,0,IFERROR(IF(INDEX(Premises!$A$42:$F$42,1,$CH59)&lt;&gt;0,INDEX(Premises!$A$42:$F$42,1,$CH59)/100,(INDEX(MAT[],$CJ59,MATCH($CA59,MAT!$B$4:$AE$4,0))/($AR59*$CK59*INDEX(Premises!$A$13:$F$13,1,$CH59))+INDEX(MAT[],$CJ59,MATCH($CA59,MAT!$B$4:$AE$4,0)+7))/$AT59),0))</f>
        <v>0</v>
      </c>
      <c r="AZ59" s="631">
        <f t="shared" si="155"/>
        <v>0</v>
      </c>
      <c r="BA59" s="635">
        <f t="shared" si="156"/>
        <v>0</v>
      </c>
      <c r="BB59" s="635">
        <f t="shared" si="157"/>
        <v>0</v>
      </c>
      <c r="BC59" s="639" cm="1">
        <f t="array" ref="BC59">IF($BB59&lt;=0,0,IF(BC$2=-1,0,INDEX(Premises!$A$32:$F$32,1,$CH59)/100))</f>
        <v>0</v>
      </c>
      <c r="BD59" s="631">
        <f t="shared" si="158"/>
        <v>0</v>
      </c>
      <c r="BE59" s="639" cm="1">
        <f t="array" ref="BE59">IF($BB59&lt;=0,0,IF(BE$2=-1,0,INDEX(Premises!$A$33:$F$33,1,$CH59)/100))</f>
        <v>0</v>
      </c>
      <c r="BF59" s="631">
        <f t="shared" si="159"/>
        <v>0</v>
      </c>
      <c r="BG59" s="639" cm="1">
        <f t="array" ref="BG59">IF($BB59&lt;=0,0,IF(BG$2=-1,0,INDEX(Premises!$A$31:$F$31,1,$CH59)/100))</f>
        <v>0</v>
      </c>
      <c r="BH59" s="631">
        <f t="shared" si="160"/>
        <v>0</v>
      </c>
      <c r="BI59" s="635">
        <f t="shared" si="161"/>
        <v>0</v>
      </c>
      <c r="BJ59" s="639" cm="1">
        <f t="array" ref="BJ59">IF($BB59&lt;=0,0,IF(BJ$2=-1,0,INDEX(Premises!$A$35:$F$35,1,$CH59)/100))</f>
        <v>0</v>
      </c>
      <c r="BK59" s="631">
        <f t="shared" si="162"/>
        <v>0</v>
      </c>
      <c r="BL59" s="639" cm="1">
        <f t="array" ref="BL59">IF($BB59&lt;=0,0,IF(BL$2=-1,0,INDEX(Premises!$A$36:$F$36,1,$CH59)/100))</f>
        <v>0</v>
      </c>
      <c r="BM59" s="631">
        <f t="shared" si="163"/>
        <v>0</v>
      </c>
      <c r="BN59" s="639" cm="1">
        <f t="array" ref="BN59">IF($BB59&lt;=0,0,IF(BN$2=-1,0,INDEX(Premises!$A$34:$F$34,1,$CH59)/100))</f>
        <v>0</v>
      </c>
      <c r="BO59" s="631">
        <f t="shared" si="164"/>
        <v>0</v>
      </c>
      <c r="BP59" s="639" cm="1">
        <f t="array" ref="BP59">IF($BI59=0,0,INDEX(Premises!$A$37:$F$37,1,$CH59)/100)</f>
        <v>0</v>
      </c>
      <c r="BQ59" s="409"/>
      <c r="BR59" s="631">
        <f t="shared" si="165"/>
        <v>0</v>
      </c>
      <c r="BS59" s="641">
        <f t="shared" si="166"/>
        <v>0</v>
      </c>
      <c r="BT59" s="641">
        <f t="shared" si="167"/>
        <v>0</v>
      </c>
      <c r="BU59" s="642">
        <f t="shared" si="168"/>
        <v>0</v>
      </c>
      <c r="BV59" s="417"/>
      <c r="BW59" s="418"/>
      <c r="BX59" s="418"/>
      <c r="BY59" s="419"/>
      <c r="BZ59" s="968"/>
      <c r="CA59" s="280" cm="1">
        <f t="array" ref="CA59">IF($BZ59&gt;0,VALUE(LEFT($BZ59,IF(ISERROR(FIND("-",$BZ59)),LEN($BZ59),FIND("-",$BZ59)-1))),INDEX($CA$1:$CA59,MAX(1,$CD59)))</f>
        <v>1</v>
      </c>
      <c r="CB59" s="280" cm="1">
        <f t="array" ref="CB59">IF($BT59=0,0,IF(LEN($BZ59)-LEN(SUBSTITUTE($BZ59,"-",""))&gt;1,
VALUE(MID($BZ59,FIND("-",$BZ59)+1,FIND("-",$BZ59,FIND("-",$BZ59)+1)-FIND("-",$BZ59)-1)),IF($BZ59&gt;0,0,INDEX($CB$1:$CB59,MAX(1,$CD59)))))</f>
        <v>0</v>
      </c>
      <c r="CC59" s="280" cm="1">
        <f t="array" ref="CC59">IF($BT59=0,0,IF(NOT(ISERROR(FIND("-",BZ59))),
VALUE(RIGHT($BZ59,LEN($BZ59)-IF(LEN($BZ59)-LEN(SUBSTITUTE($BZ59,"-",""))=1,FIND("-",$BZ59),FIND("-",$BZ59,FIND("-",$BZ59)+1)))),
IF($BZ59&gt;0,0,INDEX($CC$1:$CC59,MAX(1,$CD59)))))</f>
        <v>0</v>
      </c>
      <c r="CD59" s="393">
        <f>MATCH(0,$CE$1:$CE59,-1)</f>
        <v>49</v>
      </c>
      <c r="CE59" s="280"/>
      <c r="CF59" s="394"/>
      <c r="CG59" s="393" cm="1">
        <f t="array" ref="CG59">INDEX($CG$1:$CG59,$CD59)</f>
        <v>7</v>
      </c>
      <c r="CH59" s="280">
        <f>MATCH($CA59,Premises!$A$10:$F$10,0)</f>
        <v>4</v>
      </c>
      <c r="CI59" s="280">
        <f>IF(ISBLANK($E59),0,IFERROR(MATCH($E59,MHR[Bezeichnung],0),0))</f>
        <v>0</v>
      </c>
      <c r="CJ59" s="394">
        <f>IF(ISBLANK($AQ59),0,IFERROR(MATCH($AQ59,MAT[Bezeichnung],0),0))</f>
        <v>0</v>
      </c>
      <c r="CK59" s="280" cm="1">
        <f t="array" ref="CK59">INDEX($D$1:$D59,$CD59)</f>
        <v>1</v>
      </c>
      <c r="CL59" s="280"/>
      <c r="CM59" s="395"/>
      <c r="CN59" s="396" cm="1">
        <f t="array" ref="CN59">IF($CB59=0,0,IF($CB59=INDEX($CB$1:$CB59,$CD59),INDEX($CN$1:$CN59,$CD59),$CP59))</f>
        <v>0</v>
      </c>
      <c r="CO59" s="395"/>
      <c r="CP59" s="396" cm="1">
        <f t="array" ref="CP59">IF($CC59=0,0,INDEX($CP$1:$CP59,$CD59))</f>
        <v>0</v>
      </c>
      <c r="CQ59" s="397"/>
      <c r="CR59" s="398"/>
      <c r="CS59" s="398"/>
      <c r="CT59" s="970"/>
      <c r="CU59" s="2"/>
      <c r="CV59" s="647">
        <f t="shared" si="169"/>
        <v>0</v>
      </c>
      <c r="CW59" s="648">
        <f t="shared" si="170"/>
        <v>0</v>
      </c>
      <c r="CX59" s="648">
        <f t="shared" si="171"/>
        <v>0</v>
      </c>
      <c r="CY59" s="648">
        <f t="shared" si="172"/>
        <v>0</v>
      </c>
      <c r="CZ59" s="648">
        <f t="shared" si="173"/>
        <v>0</v>
      </c>
      <c r="DA59" s="648">
        <f t="shared" si="174"/>
        <v>0</v>
      </c>
      <c r="DB59" s="648">
        <f t="shared" si="175"/>
        <v>0</v>
      </c>
      <c r="DC59" s="649">
        <f t="shared" si="176"/>
        <v>0</v>
      </c>
      <c r="DD59" s="648">
        <f t="shared" si="177"/>
        <v>0</v>
      </c>
      <c r="DE59" s="648">
        <f t="shared" si="178"/>
        <v>0</v>
      </c>
      <c r="DF59" s="648">
        <f t="shared" si="179"/>
        <v>0</v>
      </c>
      <c r="DG59" s="649">
        <f t="shared" si="180"/>
        <v>0</v>
      </c>
      <c r="DH59" s="649">
        <f t="shared" si="181"/>
        <v>0</v>
      </c>
      <c r="DI59" s="648">
        <f t="shared" si="182"/>
        <v>0</v>
      </c>
      <c r="DJ59" s="648">
        <f t="shared" si="183"/>
        <v>0</v>
      </c>
      <c r="DK59" s="648">
        <f t="shared" si="184"/>
        <v>0</v>
      </c>
      <c r="DL59" s="648">
        <f t="shared" si="185"/>
        <v>0</v>
      </c>
      <c r="DM59" s="648">
        <f t="shared" si="186"/>
        <v>0</v>
      </c>
      <c r="DN59" s="648">
        <f t="shared" si="187"/>
        <v>0</v>
      </c>
      <c r="DO59" s="648">
        <f t="shared" si="188"/>
        <v>0</v>
      </c>
      <c r="DP59" s="651">
        <f t="shared" si="189"/>
        <v>0</v>
      </c>
      <c r="DQ59" s="951">
        <f>IF($CB59=0,0,$DP59*_xlfn.XLOOKUP($CB59,Premises!$A$10:$F$10,Premises!$A$30:$F$30)/100)</f>
        <v>0</v>
      </c>
      <c r="DR59" s="650">
        <f>IFERROR(SUM($DP59:$DQ59)*IF(INDEX(Premises!$A$42:$F$42,1,MATCH($CB59,Premises!$A$10:$F$10,0))&gt;0,INDEX(Premises!$A$42:$F$42,1,MATCH($CB59,Premises!$A$10:$F$10,0))%,$CN59),0)</f>
        <v>0</v>
      </c>
      <c r="DS59" s="650" cm="1">
        <f t="array" ref="DS59">IF($CB59=0,0,SUM($DP59:$DR59)*_xlfn.XLOOKUP($CB59,Premises!$A$10:$F$10,IF(INDEX(Settings[],MATCH(3001,Settings[ID],0),2)="B",Premises!$A$33:$F$33,Premises!$A$31:$F$31))/100)</f>
        <v>0</v>
      </c>
      <c r="DT59" s="650" cm="1">
        <f t="array" ref="DT59">IF($CB59=0,0,$DP59*_xlfn.XLOOKUP($CB59,Premises!$A$10:$F$10,IF(INDEX(Settings[],MATCH(3002,Settings[ID],0),2)="B",Premises!$A$36:$F$36,Premises!$A$34:$F$34))/100)</f>
        <v>0</v>
      </c>
      <c r="DU59" s="650">
        <f>IF($CB59=0,0,SUM($DP59:$DT59)*_xlfn.XLOOKUP($CB59,Premises!$A$10:$F$10,Premises!$A$37:$F$37)/100)</f>
        <v>0</v>
      </c>
      <c r="DV59" s="954">
        <f t="shared" si="190"/>
        <v>0</v>
      </c>
      <c r="DW59" s="951">
        <f>IF($CC59=0,0,$DV59*_xlfn.XLOOKUP($CC59,Premises!$A$10:$F$10,Premises!$A$30:$F$30)/100)</f>
        <v>0</v>
      </c>
      <c r="DX59" s="650">
        <f>IFERROR(SUM($DV59:$DW59)*IF(INDEX(Premises!$A$42:$F$42,1,MATCH($CC59,Premises!$A$10:$F$10,0))&gt;0,INDEX(Premises!$A$42:$F$42,1,MATCH($CC59,Premises!$A$10:$F$10,0))%,$CP59),0)</f>
        <v>0</v>
      </c>
      <c r="DY59" s="650" cm="1">
        <f t="array" ref="DY59">IF($CC59=0,0,SUM($DV59:$DX59)*_xlfn.XLOOKUP($CC59,Premises!$A$10:$F$10,IF(INDEX(Settings[],MATCH(3001,Settings[ID],0),2)="B",Premises!$A$33:$F$33,Premises!$A$31:$F$31))/100)</f>
        <v>0</v>
      </c>
      <c r="DZ59" s="650" cm="1">
        <f t="array" ref="DZ59">IF($CC59=0,0,$DV59*_xlfn.XLOOKUP($CC59,Premises!$A$10:$F$10,IF(INDEX(Settings[],MATCH(3002,Settings[ID],0),2)="B",Premises!$A$36:$F$36,Premises!$A$34:$F$34))/100)</f>
        <v>0</v>
      </c>
      <c r="EA59" s="650">
        <f>IF($CC59=0,0,SUM($DV59:$DZ59)*_xlfn.XLOOKUP($CC59,Premises!$A$10:$F$10,Premises!$A$37:$F$37)/100)</f>
        <v>0</v>
      </c>
      <c r="EB59" s="651">
        <f t="shared" si="191"/>
        <v>0</v>
      </c>
      <c r="EC59" s="805"/>
      <c r="ED59" s="1104"/>
      <c r="EE59" s="650"/>
      <c r="EF59" s="1110"/>
      <c r="EG59" s="1108"/>
      <c r="EH59" s="1108"/>
      <c r="EI59" s="1108"/>
      <c r="EJ59" s="1108"/>
      <c r="EK59" s="1108"/>
      <c r="EL59" s="1108"/>
      <c r="EM59" s="1110"/>
      <c r="EN59" s="1108"/>
      <c r="EO59" s="1108"/>
      <c r="EP59" s="1108"/>
      <c r="EQ59" s="1108"/>
      <c r="ER59" s="1110"/>
      <c r="ES59" s="1108"/>
      <c r="ET59" s="1108"/>
      <c r="EU59" s="1108"/>
      <c r="EV59" s="1108"/>
      <c r="EW59" s="1108"/>
      <c r="EX59" s="1111"/>
      <c r="EY59" s="2"/>
      <c r="EZ59" s="2"/>
      <c r="FA59" s="2"/>
      <c r="FB59" s="2"/>
      <c r="FC59" s="2"/>
      <c r="FD59" s="2"/>
      <c r="FE59" s="2"/>
      <c r="FF59" s="2"/>
      <c r="FG59" s="2"/>
      <c r="FH59" s="2"/>
      <c r="FI59" s="2"/>
      <c r="FJ59" s="420"/>
      <c r="FK59" s="421"/>
      <c r="FL59" s="422"/>
      <c r="FM59" s="970"/>
    </row>
    <row r="60" spans="1:169" s="13" customFormat="1" ht="12.75" customHeight="1">
      <c r="A60" s="221"/>
      <c r="B60" s="402"/>
      <c r="C60" s="403"/>
      <c r="D60" s="646"/>
      <c r="E60" s="404"/>
      <c r="F60" s="405"/>
      <c r="G60" s="405"/>
      <c r="H60" s="405"/>
      <c r="I60" s="637" cm="1">
        <f t="array" ref="I60">IF($CI60=0,0,IFERROR(INDEX(MHR[],$CI60,MATCH($CA60,MHR!$B$4:$AY$4,0)),0))</f>
        <v>0</v>
      </c>
      <c r="J60" s="634">
        <f t="shared" si="144"/>
        <v>0</v>
      </c>
      <c r="K60" s="406"/>
      <c r="L60" s="407"/>
      <c r="M60" s="871"/>
      <c r="N60" s="407"/>
      <c r="O60" s="405"/>
      <c r="P60" s="645" cm="1">
        <f t="array" ref="P60">IF($K60=0,0,IFERROR(ROUNDUP(IF(ISNUMBER($K60),$K60,INDEX($D$1:$D60,$CD60)*INDEX(Premises!$A$13:$F$13,1,$CH60)/IF(OR($K60="T",$K60="D"),250,IF($K60="W",50,IF($K60="M",12,IF(OR($K60="HJ",$K60="HY"),2,IF(OR($K60="J",$K60="Y"),1,0)))))),0),0))</f>
        <v>0</v>
      </c>
      <c r="Q60" s="637" cm="1">
        <f t="array" ref="Q60">IF($K60=0,0,IFERROR(INDEX(Premises!$A$22:$F$22,1,$CH60)*100/INDEX(Premises!$A$16:$F$16,1,$CH60),0))</f>
        <v>0</v>
      </c>
      <c r="R60" s="634">
        <f t="shared" si="145"/>
        <v>0</v>
      </c>
      <c r="S60" s="408"/>
      <c r="T60" s="409"/>
      <c r="U60" s="637" cm="1">
        <f t="array" ref="U60">IF(COUNTBLANK($S60:$T60),0,
IF(AND(INDEX(MHR[Schichtmodell],$CI60)&lt;&gt;0,INDEX(MHR[Schichtmodell],$CI60)&lt;&gt;INDEX(Premises!$A$20:$F$20,1,$CH60)),ExchangeRate*
IF(OR($T60="M",$T60="U"),IF(INDEX(MHR[Schichtmodell],$CI60)=1,INDEX(LOC[M1S],INDEX(Premises!$A$18:$F$18,1,$CH60+1)),IF(INDEX(MHR[Schichtmodell],$CI60)=2,INDEX(LOC[M2S],INDEX(Premises!$A$18:$F$18,1,$CH60+1),IF(INDEX(MHR[Schichtmodell],$CI60)=3,INDEX(LOC[M3S],INDEX(Premises!$A$18:$F$18,1,$CH60+1)),0)))),
IF(INDEX(MHR[Schichtmodell],$CI60)=1,INDEX(LOC[F1S],INDEX(Premises!$A$18:$F$18,1,$CH60+1)),IF(INDEX(MHR[Schichtmodell],$CI60)=2,INDEX(LOC[F2S],INDEX(Premises!$A$18:$F$18,1,$CH60+1)),IF(INDEX(MHR[Schichtmodell],$CI60)=3,INDEX(LOC[F3S],INDEX(Premises!$A$18:$F$18,1,$CH60+1)),0)))),
IF(OR($T60="M",$T60="U"),INDEX(Premises!$A$21:$F$21,1,$CH60),
IF(OR($T60="F",$T60="S"),INDEX(Premises!$A$22:$F$22,1,$CH60),0)))*100/INDEX(Premises!$A$16:$F$16,1,$CH60))</f>
        <v>0</v>
      </c>
      <c r="V60" s="631">
        <f t="shared" si="146"/>
        <v>0</v>
      </c>
      <c r="W60" s="410"/>
      <c r="X60" s="403"/>
      <c r="Y60" s="411"/>
      <c r="Z60" s="412"/>
      <c r="AA60" s="628">
        <f t="shared" si="147"/>
        <v>0</v>
      </c>
      <c r="AB60" s="410"/>
      <c r="AC60" s="403"/>
      <c r="AD60" s="411"/>
      <c r="AE60" s="413"/>
      <c r="AF60" s="628">
        <f t="shared" si="148"/>
        <v>0</v>
      </c>
      <c r="AG60" s="629" cm="1">
        <f t="array" ref="AG60">IF(($J60+$V60+$AF60)=0,0,INDEX(Premises!$A$30:$F$30,1,$CH60)/100)</f>
        <v>0</v>
      </c>
      <c r="AH60" s="414"/>
      <c r="AI60" s="415"/>
      <c r="AJ60" s="416"/>
      <c r="AK60" s="630">
        <f t="shared" si="149"/>
        <v>0</v>
      </c>
      <c r="AL60" s="631">
        <f t="shared" si="150"/>
        <v>0</v>
      </c>
      <c r="AM60" s="632" cm="1">
        <f t="array" ref="AM60">IF($CI60=0,0,IFERROR(INDEX(MHR[],$CI60,MATCH($CA60,MHR!$B$4:$AY$4,0)+11),0))</f>
        <v>0</v>
      </c>
      <c r="AN60" s="633" cm="1">
        <f t="array" ref="AN60">IF(($J60+$V60)=0,0,IFERROR(IF(INDEX(Premises!$A$41:$F$41,1,$CH60)&lt;&gt;0,INDEX(Premises!$A$41:$F$41,1,$CH60)/100,(IFERROR(($J60/$I60)*$AM60,0)/($V60+$J60+$R60+$AL60))),0))</f>
        <v>0</v>
      </c>
      <c r="AO60" s="634">
        <f t="shared" si="151"/>
        <v>0</v>
      </c>
      <c r="AP60" s="635">
        <f t="shared" si="152"/>
        <v>0</v>
      </c>
      <c r="AQ60" s="410" t="str">
        <f>BOM!$A$18</f>
        <v>01-01-03-11 Reflective foil Stamped</v>
      </c>
      <c r="AR60" s="409">
        <f>VLOOKUP($AQ60,BOM,6,0)</f>
        <v>1</v>
      </c>
      <c r="AS60" s="636" cm="1">
        <f t="array" ref="AS60">IF($CJ60=0,0,IFERROR(INDEX(MAT[Einheit],$CJ60,1),0))</f>
        <v>0</v>
      </c>
      <c r="AT60" s="637" cm="1">
        <f t="array" ref="AT60">IF($CJ60=0,0,IFERROR(INDEX(MAT[Preis],$CJ60,1),0))</f>
        <v>0</v>
      </c>
      <c r="AU60" s="638">
        <f t="shared" si="153"/>
        <v>0</v>
      </c>
      <c r="AV60" s="639" cm="1">
        <f t="array" ref="AV60">IF($AU60&lt;=0,0,INDEX(Premises!$A$30:$F$30,1,$CH60)/100)</f>
        <v>0</v>
      </c>
      <c r="AW60" s="409"/>
      <c r="AX60" s="631">
        <f t="shared" si="154"/>
        <v>0</v>
      </c>
      <c r="AY60" s="640" cm="1">
        <f t="array" ref="AY60">IF($AT60&lt;=0,0,IFERROR(IF(INDEX(Premises!$A$42:$F$42,1,$CH60)&lt;&gt;0,INDEX(Premises!$A$42:$F$42,1,$CH60)/100,(INDEX(MAT[],$CJ60,MATCH($CA60,MAT!$B$4:$AE$4,0))/($AR60*$CK60*INDEX(Premises!$A$13:$F$13,1,$CH60))+INDEX(MAT[],$CJ60,MATCH($CA60,MAT!$B$4:$AE$4,0)+7))/$AT60),0))</f>
        <v>0</v>
      </c>
      <c r="AZ60" s="631">
        <f t="shared" si="155"/>
        <v>0</v>
      </c>
      <c r="BA60" s="635">
        <f t="shared" si="156"/>
        <v>0</v>
      </c>
      <c r="BB60" s="635">
        <f t="shared" si="157"/>
        <v>0</v>
      </c>
      <c r="BC60" s="639" cm="1">
        <f t="array" ref="BC60">IF($BB60&lt;=0,0,IF(BC$2=-1,0,INDEX(Premises!$A$32:$F$32,1,$CH60)/100))</f>
        <v>0</v>
      </c>
      <c r="BD60" s="631">
        <f t="shared" si="158"/>
        <v>0</v>
      </c>
      <c r="BE60" s="639" cm="1">
        <f t="array" ref="BE60">IF($BB60&lt;=0,0,IF(BE$2=-1,0,INDEX(Premises!$A$33:$F$33,1,$CH60)/100))</f>
        <v>0</v>
      </c>
      <c r="BF60" s="631">
        <f t="shared" si="159"/>
        <v>0</v>
      </c>
      <c r="BG60" s="639" cm="1">
        <f t="array" ref="BG60">IF($BB60&lt;=0,0,IF(BG$2=-1,0,INDEX(Premises!$A$31:$F$31,1,$CH60)/100))</f>
        <v>0</v>
      </c>
      <c r="BH60" s="631">
        <f t="shared" si="160"/>
        <v>0</v>
      </c>
      <c r="BI60" s="635">
        <f t="shared" si="161"/>
        <v>0</v>
      </c>
      <c r="BJ60" s="639" cm="1">
        <f t="array" ref="BJ60">IF($BB60&lt;=0,0,IF(BJ$2=-1,0,INDEX(Premises!$A$35:$F$35,1,$CH60)/100))</f>
        <v>0</v>
      </c>
      <c r="BK60" s="631">
        <f t="shared" si="162"/>
        <v>0</v>
      </c>
      <c r="BL60" s="639" cm="1">
        <f t="array" ref="BL60">IF($BB60&lt;=0,0,IF(BL$2=-1,0,INDEX(Premises!$A$36:$F$36,1,$CH60)/100))</f>
        <v>0</v>
      </c>
      <c r="BM60" s="631">
        <f t="shared" si="163"/>
        <v>0</v>
      </c>
      <c r="BN60" s="639" cm="1">
        <f t="array" ref="BN60">IF($BB60&lt;=0,0,IF(BN$2=-1,0,INDEX(Premises!$A$34:$F$34,1,$CH60)/100))</f>
        <v>0</v>
      </c>
      <c r="BO60" s="631">
        <f t="shared" si="164"/>
        <v>0</v>
      </c>
      <c r="BP60" s="639" cm="1">
        <f t="array" ref="BP60">IF($BI60=0,0,INDEX(Premises!$A$37:$F$37,1,$CH60)/100)</f>
        <v>0</v>
      </c>
      <c r="BQ60" s="409"/>
      <c r="BR60" s="631">
        <f t="shared" si="165"/>
        <v>0</v>
      </c>
      <c r="BS60" s="641">
        <f t="shared" si="166"/>
        <v>0</v>
      </c>
      <c r="BT60" s="641">
        <f t="shared" si="167"/>
        <v>0</v>
      </c>
      <c r="BU60" s="642">
        <f t="shared" si="168"/>
        <v>0</v>
      </c>
      <c r="BV60" s="417"/>
      <c r="BW60" s="418"/>
      <c r="BX60" s="418"/>
      <c r="BY60" s="419"/>
      <c r="BZ60" s="968"/>
      <c r="CA60" s="280" cm="1">
        <f t="array" ref="CA60">IF($BZ60&gt;0,VALUE(LEFT($BZ60,IF(ISERROR(FIND("-",$BZ60)),LEN($BZ60),FIND("-",$BZ60)-1))),INDEX($CA$1:$CA60,MAX(1,$CD60)))</f>
        <v>1</v>
      </c>
      <c r="CB60" s="280" cm="1">
        <f t="array" ref="CB60">IF($BT60=0,0,IF(LEN($BZ60)-LEN(SUBSTITUTE($BZ60,"-",""))&gt;1,
VALUE(MID($BZ60,FIND("-",$BZ60)+1,FIND("-",$BZ60,FIND("-",$BZ60)+1)-FIND("-",$BZ60)-1)),IF($BZ60&gt;0,0,INDEX($CB$1:$CB60,MAX(1,$CD60)))))</f>
        <v>0</v>
      </c>
      <c r="CC60" s="280" cm="1">
        <f t="array" ref="CC60">IF($BT60=0,0,IF(NOT(ISERROR(FIND("-",BZ60))),
VALUE(RIGHT($BZ60,LEN($BZ60)-IF(LEN($BZ60)-LEN(SUBSTITUTE($BZ60,"-",""))=1,FIND("-",$BZ60),FIND("-",$BZ60,FIND("-",$BZ60)+1)))),
IF($BZ60&gt;0,0,INDEX($CC$1:$CC60,MAX(1,$CD60)))))</f>
        <v>0</v>
      </c>
      <c r="CD60" s="393">
        <f>MATCH(0,$CE$1:$CE60,-1)</f>
        <v>49</v>
      </c>
      <c r="CE60" s="280"/>
      <c r="CF60" s="394"/>
      <c r="CG60" s="393" cm="1">
        <f t="array" ref="CG60">INDEX($CG$1:$CG60,$CD60)</f>
        <v>7</v>
      </c>
      <c r="CH60" s="280">
        <f>MATCH($CA60,Premises!$A$10:$F$10,0)</f>
        <v>4</v>
      </c>
      <c r="CI60" s="280">
        <f>IF(ISBLANK($E60),0,IFERROR(MATCH($E60,MHR[Bezeichnung],0),0))</f>
        <v>0</v>
      </c>
      <c r="CJ60" s="394">
        <f>IF(ISBLANK($AQ60),0,IFERROR(MATCH($AQ60,MAT[Bezeichnung],0),0))</f>
        <v>0</v>
      </c>
      <c r="CK60" s="280" cm="1">
        <f t="array" ref="CK60">INDEX($D$1:$D60,$CD60)</f>
        <v>1</v>
      </c>
      <c r="CL60" s="280"/>
      <c r="CM60" s="395"/>
      <c r="CN60" s="396" cm="1">
        <f t="array" ref="CN60">IF($CB60=0,0,IF($CB60=INDEX($CB$1:$CB60,$CD60),INDEX($CN$1:$CN60,$CD60),$CP60))</f>
        <v>0</v>
      </c>
      <c r="CO60" s="395"/>
      <c r="CP60" s="396" cm="1">
        <f t="array" ref="CP60">IF($CC60=0,0,INDEX($CP$1:$CP60,$CD60))</f>
        <v>0</v>
      </c>
      <c r="CQ60" s="397"/>
      <c r="CR60" s="398"/>
      <c r="CS60" s="398"/>
      <c r="CT60" s="970"/>
      <c r="CU60" s="2"/>
      <c r="CV60" s="647">
        <f t="shared" si="169"/>
        <v>0</v>
      </c>
      <c r="CW60" s="648">
        <f t="shared" si="170"/>
        <v>0</v>
      </c>
      <c r="CX60" s="648">
        <f t="shared" si="171"/>
        <v>0</v>
      </c>
      <c r="CY60" s="648">
        <f t="shared" si="172"/>
        <v>0</v>
      </c>
      <c r="CZ60" s="648">
        <f t="shared" si="173"/>
        <v>0</v>
      </c>
      <c r="DA60" s="648">
        <f t="shared" si="174"/>
        <v>0</v>
      </c>
      <c r="DB60" s="648">
        <f t="shared" si="175"/>
        <v>0</v>
      </c>
      <c r="DC60" s="649">
        <f t="shared" si="176"/>
        <v>0</v>
      </c>
      <c r="DD60" s="648">
        <f t="shared" si="177"/>
        <v>0</v>
      </c>
      <c r="DE60" s="648">
        <f t="shared" si="178"/>
        <v>0</v>
      </c>
      <c r="DF60" s="648">
        <f t="shared" si="179"/>
        <v>0</v>
      </c>
      <c r="DG60" s="649">
        <f t="shared" si="180"/>
        <v>0</v>
      </c>
      <c r="DH60" s="649">
        <f t="shared" si="181"/>
        <v>0</v>
      </c>
      <c r="DI60" s="648">
        <f t="shared" si="182"/>
        <v>0</v>
      </c>
      <c r="DJ60" s="648">
        <f t="shared" si="183"/>
        <v>0</v>
      </c>
      <c r="DK60" s="648">
        <f t="shared" si="184"/>
        <v>0</v>
      </c>
      <c r="DL60" s="648">
        <f t="shared" si="185"/>
        <v>0</v>
      </c>
      <c r="DM60" s="648">
        <f t="shared" si="186"/>
        <v>0</v>
      </c>
      <c r="DN60" s="648">
        <f t="shared" si="187"/>
        <v>0</v>
      </c>
      <c r="DO60" s="648">
        <f t="shared" si="188"/>
        <v>0</v>
      </c>
      <c r="DP60" s="651">
        <f t="shared" si="189"/>
        <v>0</v>
      </c>
      <c r="DQ60" s="951">
        <f>IF($CB60=0,0,$DP60*_xlfn.XLOOKUP($CB60,Premises!$A$10:$F$10,Premises!$A$30:$F$30)/100)</f>
        <v>0</v>
      </c>
      <c r="DR60" s="650">
        <f>IFERROR(SUM($DP60:$DQ60)*IF(INDEX(Premises!$A$42:$F$42,1,MATCH($CB60,Premises!$A$10:$F$10,0))&gt;0,INDEX(Premises!$A$42:$F$42,1,MATCH($CB60,Premises!$A$10:$F$10,0))%,$CN60),0)</f>
        <v>0</v>
      </c>
      <c r="DS60" s="650" cm="1">
        <f t="array" ref="DS60">IF($CB60=0,0,SUM($DP60:$DR60)*_xlfn.XLOOKUP($CB60,Premises!$A$10:$F$10,IF(INDEX(Settings[],MATCH(3001,Settings[ID],0),2)="B",Premises!$A$33:$F$33,Premises!$A$31:$F$31))/100)</f>
        <v>0</v>
      </c>
      <c r="DT60" s="650" cm="1">
        <f t="array" ref="DT60">IF($CB60=0,0,$DP60*_xlfn.XLOOKUP($CB60,Premises!$A$10:$F$10,IF(INDEX(Settings[],MATCH(3002,Settings[ID],0),2)="B",Premises!$A$36:$F$36,Premises!$A$34:$F$34))/100)</f>
        <v>0</v>
      </c>
      <c r="DU60" s="650">
        <f>IF($CB60=0,0,SUM($DP60:$DT60)*_xlfn.XLOOKUP($CB60,Premises!$A$10:$F$10,Premises!$A$37:$F$37)/100)</f>
        <v>0</v>
      </c>
      <c r="DV60" s="954">
        <f t="shared" si="190"/>
        <v>0</v>
      </c>
      <c r="DW60" s="951">
        <f>IF($CC60=0,0,$DV60*_xlfn.XLOOKUP($CC60,Premises!$A$10:$F$10,Premises!$A$30:$F$30)/100)</f>
        <v>0</v>
      </c>
      <c r="DX60" s="650">
        <f>IFERROR(SUM($DV60:$DW60)*IF(INDEX(Premises!$A$42:$F$42,1,MATCH($CC60,Premises!$A$10:$F$10,0))&gt;0,INDEX(Premises!$A$42:$F$42,1,MATCH($CC60,Premises!$A$10:$F$10,0))%,$CP60),0)</f>
        <v>0</v>
      </c>
      <c r="DY60" s="650" cm="1">
        <f t="array" ref="DY60">IF($CC60=0,0,SUM($DV60:$DX60)*_xlfn.XLOOKUP($CC60,Premises!$A$10:$F$10,IF(INDEX(Settings[],MATCH(3001,Settings[ID],0),2)="B",Premises!$A$33:$F$33,Premises!$A$31:$F$31))/100)</f>
        <v>0</v>
      </c>
      <c r="DZ60" s="650" cm="1">
        <f t="array" ref="DZ60">IF($CC60=0,0,$DV60*_xlfn.XLOOKUP($CC60,Premises!$A$10:$F$10,IF(INDEX(Settings[],MATCH(3002,Settings[ID],0),2)="B",Premises!$A$36:$F$36,Premises!$A$34:$F$34))/100)</f>
        <v>0</v>
      </c>
      <c r="EA60" s="650">
        <f>IF($CC60=0,0,SUM($DV60:$DZ60)*_xlfn.XLOOKUP($CC60,Premises!$A$10:$F$10,Premises!$A$37:$F$37)/100)</f>
        <v>0</v>
      </c>
      <c r="EB60" s="651">
        <f t="shared" si="191"/>
        <v>0</v>
      </c>
      <c r="EC60" s="805"/>
      <c r="ED60" s="1104"/>
      <c r="EE60" s="650"/>
      <c r="EF60" s="1110"/>
      <c r="EG60" s="1108"/>
      <c r="EH60" s="1108"/>
      <c r="EI60" s="1108"/>
      <c r="EJ60" s="1108"/>
      <c r="EK60" s="1108"/>
      <c r="EL60" s="1108"/>
      <c r="EM60" s="1110"/>
      <c r="EN60" s="1108"/>
      <c r="EO60" s="1108"/>
      <c r="EP60" s="1108"/>
      <c r="EQ60" s="1108"/>
      <c r="ER60" s="1110"/>
      <c r="ES60" s="1108"/>
      <c r="ET60" s="1108"/>
      <c r="EU60" s="1108"/>
      <c r="EV60" s="1108"/>
      <c r="EW60" s="1108"/>
      <c r="EX60" s="1111"/>
      <c r="EY60" s="2"/>
      <c r="EZ60" s="2"/>
      <c r="FA60" s="2"/>
      <c r="FB60" s="2"/>
      <c r="FC60" s="2"/>
      <c r="FD60" s="2"/>
      <c r="FE60" s="2"/>
      <c r="FF60" s="2"/>
      <c r="FG60" s="2"/>
      <c r="FH60" s="2"/>
      <c r="FI60" s="2"/>
      <c r="FJ60" s="420"/>
      <c r="FK60" s="421"/>
      <c r="FL60" s="422"/>
      <c r="FM60" s="970"/>
    </row>
    <row r="61" spans="1:169" s="13" customFormat="1" ht="12.75" customHeight="1">
      <c r="A61" s="221"/>
      <c r="B61" s="402"/>
      <c r="C61" s="403"/>
      <c r="D61" s="646"/>
      <c r="E61" s="404"/>
      <c r="F61" s="405"/>
      <c r="G61" s="405"/>
      <c r="H61" s="405"/>
      <c r="I61" s="637" cm="1">
        <f t="array" ref="I61">IF($CI61=0,0,IFERROR(INDEX(MHR[],$CI61,MATCH($CA61,MHR!$B$4:$AY$4,0)),0))</f>
        <v>0</v>
      </c>
      <c r="J61" s="634">
        <f t="shared" si="144"/>
        <v>0</v>
      </c>
      <c r="K61" s="406"/>
      <c r="L61" s="407"/>
      <c r="M61" s="871"/>
      <c r="N61" s="407"/>
      <c r="O61" s="405"/>
      <c r="P61" s="645" cm="1">
        <f t="array" ref="P61">IF($K61=0,0,IFERROR(ROUNDUP(IF(ISNUMBER($K61),$K61,INDEX($D$1:$D61,$CD61)*INDEX(Premises!$A$13:$F$13,1,$CH61)/IF(OR($K61="T",$K61="D"),250,IF($K61="W",50,IF($K61="M",12,IF(OR($K61="HJ",$K61="HY"),2,IF(OR($K61="J",$K61="Y"),1,0)))))),0),0))</f>
        <v>0</v>
      </c>
      <c r="Q61" s="637" cm="1">
        <f t="array" ref="Q61">IF($K61=0,0,IFERROR(INDEX(Premises!$A$22:$F$22,1,$CH61)*100/INDEX(Premises!$A$16:$F$16,1,$CH61),0))</f>
        <v>0</v>
      </c>
      <c r="R61" s="634">
        <f t="shared" si="145"/>
        <v>0</v>
      </c>
      <c r="S61" s="408"/>
      <c r="T61" s="409"/>
      <c r="U61" s="637" cm="1">
        <f t="array" ref="U61">IF(COUNTBLANK($S61:$T61),0,
IF(AND(INDEX(MHR[Schichtmodell],$CI61)&lt;&gt;0,INDEX(MHR[Schichtmodell],$CI61)&lt;&gt;INDEX(Premises!$A$20:$F$20,1,$CH61)),ExchangeRate*
IF(OR($T61="M",$T61="U"),IF(INDEX(MHR[Schichtmodell],$CI61)=1,INDEX(LOC[M1S],INDEX(Premises!$A$18:$F$18,1,$CH61+1)),IF(INDEX(MHR[Schichtmodell],$CI61)=2,INDEX(LOC[M2S],INDEX(Premises!$A$18:$F$18,1,$CH61+1),IF(INDEX(MHR[Schichtmodell],$CI61)=3,INDEX(LOC[M3S],INDEX(Premises!$A$18:$F$18,1,$CH61+1)),0)))),
IF(INDEX(MHR[Schichtmodell],$CI61)=1,INDEX(LOC[F1S],INDEX(Premises!$A$18:$F$18,1,$CH61+1)),IF(INDEX(MHR[Schichtmodell],$CI61)=2,INDEX(LOC[F2S],INDEX(Premises!$A$18:$F$18,1,$CH61+1)),IF(INDEX(MHR[Schichtmodell],$CI61)=3,INDEX(LOC[F3S],INDEX(Premises!$A$18:$F$18,1,$CH61+1)),0)))),
IF(OR($T61="M",$T61="U"),INDEX(Premises!$A$21:$F$21,1,$CH61),
IF(OR($T61="F",$T61="S"),INDEX(Premises!$A$22:$F$22,1,$CH61),0)))*100/INDEX(Premises!$A$16:$F$16,1,$CH61))</f>
        <v>0</v>
      </c>
      <c r="V61" s="631">
        <f t="shared" si="146"/>
        <v>0</v>
      </c>
      <c r="W61" s="410"/>
      <c r="X61" s="403"/>
      <c r="Y61" s="411"/>
      <c r="Z61" s="412"/>
      <c r="AA61" s="628">
        <f t="shared" si="147"/>
        <v>0</v>
      </c>
      <c r="AB61" s="410"/>
      <c r="AC61" s="403"/>
      <c r="AD61" s="411"/>
      <c r="AE61" s="413"/>
      <c r="AF61" s="628">
        <f t="shared" si="148"/>
        <v>0</v>
      </c>
      <c r="AG61" s="629" cm="1">
        <f t="array" ref="AG61">IF(($J61+$V61+$AF61)=0,0,INDEX(Premises!$A$30:$F$30,1,$CH61)/100)</f>
        <v>0</v>
      </c>
      <c r="AH61" s="414"/>
      <c r="AI61" s="415"/>
      <c r="AJ61" s="416"/>
      <c r="AK61" s="630">
        <f t="shared" si="149"/>
        <v>0</v>
      </c>
      <c r="AL61" s="631">
        <f t="shared" si="150"/>
        <v>0</v>
      </c>
      <c r="AM61" s="632" cm="1">
        <f t="array" ref="AM61">IF($CI61=0,0,IFERROR(INDEX(MHR[],$CI61,MATCH($CA61,MHR!$B$4:$AY$4,0)+11),0))</f>
        <v>0</v>
      </c>
      <c r="AN61" s="633" cm="1">
        <f t="array" ref="AN61">IF(($J61+$V61)=0,0,IFERROR(IF(INDEX(Premises!$A$41:$F$41,1,$CH61)&lt;&gt;0,INDEX(Premises!$A$41:$F$41,1,$CH61)/100,(IFERROR(($J61/$I61)*$AM61,0)/($V61+$J61+$R61+$AL61))),0))</f>
        <v>0</v>
      </c>
      <c r="AO61" s="634">
        <f t="shared" si="151"/>
        <v>0</v>
      </c>
      <c r="AP61" s="635">
        <f t="shared" si="152"/>
        <v>0</v>
      </c>
      <c r="AQ61" s="410" t="str">
        <f>BOM!$A$19</f>
        <v>01-01-03-12 Reflective foil Unstamped</v>
      </c>
      <c r="AR61" s="409">
        <f>VLOOKUP($AQ61,BOM,6,0)</f>
        <v>1</v>
      </c>
      <c r="AS61" s="636" cm="1">
        <f t="array" ref="AS61">IF($CJ61=0,0,IFERROR(INDEX(MAT[Einheit],$CJ61,1),0))</f>
        <v>0</v>
      </c>
      <c r="AT61" s="637" cm="1">
        <f t="array" ref="AT61">IF($CJ61=0,0,IFERROR(INDEX(MAT[Preis],$CJ61,1),0))</f>
        <v>0</v>
      </c>
      <c r="AU61" s="638">
        <f t="shared" si="153"/>
        <v>0</v>
      </c>
      <c r="AV61" s="639" cm="1">
        <f t="array" ref="AV61">IF($AU61&lt;=0,0,INDEX(Premises!$A$30:$F$30,1,$CH61)/100)</f>
        <v>0</v>
      </c>
      <c r="AW61" s="409"/>
      <c r="AX61" s="631">
        <f t="shared" si="154"/>
        <v>0</v>
      </c>
      <c r="AY61" s="640" cm="1">
        <f t="array" ref="AY61">IF($AT61&lt;=0,0,IFERROR(IF(INDEX(Premises!$A$42:$F$42,1,$CH61)&lt;&gt;0,INDEX(Premises!$A$42:$F$42,1,$CH61)/100,(INDEX(MAT[],$CJ61,MATCH($CA61,MAT!$B$4:$AE$4,0))/($AR61*$CK61*INDEX(Premises!$A$13:$F$13,1,$CH61))+INDEX(MAT[],$CJ61,MATCH($CA61,MAT!$B$4:$AE$4,0)+7))/$AT61),0))</f>
        <v>0</v>
      </c>
      <c r="AZ61" s="631">
        <f t="shared" si="155"/>
        <v>0</v>
      </c>
      <c r="BA61" s="635">
        <f t="shared" si="156"/>
        <v>0</v>
      </c>
      <c r="BB61" s="635">
        <f t="shared" si="157"/>
        <v>0</v>
      </c>
      <c r="BC61" s="639" cm="1">
        <f t="array" ref="BC61">IF($BB61&lt;=0,0,IF(BC$2=-1,0,INDEX(Premises!$A$32:$F$32,1,$CH61)/100))</f>
        <v>0</v>
      </c>
      <c r="BD61" s="631">
        <f t="shared" si="158"/>
        <v>0</v>
      </c>
      <c r="BE61" s="639" cm="1">
        <f t="array" ref="BE61">IF($BB61&lt;=0,0,IF(BE$2=-1,0,INDEX(Premises!$A$33:$F$33,1,$CH61)/100))</f>
        <v>0</v>
      </c>
      <c r="BF61" s="631">
        <f t="shared" si="159"/>
        <v>0</v>
      </c>
      <c r="BG61" s="639" cm="1">
        <f t="array" ref="BG61">IF($BB61&lt;=0,0,IF(BG$2=-1,0,INDEX(Premises!$A$31:$F$31,1,$CH61)/100))</f>
        <v>0</v>
      </c>
      <c r="BH61" s="631">
        <f t="shared" si="160"/>
        <v>0</v>
      </c>
      <c r="BI61" s="635">
        <f t="shared" si="161"/>
        <v>0</v>
      </c>
      <c r="BJ61" s="639" cm="1">
        <f t="array" ref="BJ61">IF($BB61&lt;=0,0,IF(BJ$2=-1,0,INDEX(Premises!$A$35:$F$35,1,$CH61)/100))</f>
        <v>0</v>
      </c>
      <c r="BK61" s="631">
        <f t="shared" si="162"/>
        <v>0</v>
      </c>
      <c r="BL61" s="639" cm="1">
        <f t="array" ref="BL61">IF($BB61&lt;=0,0,IF(BL$2=-1,0,INDEX(Premises!$A$36:$F$36,1,$CH61)/100))</f>
        <v>0</v>
      </c>
      <c r="BM61" s="631">
        <f t="shared" si="163"/>
        <v>0</v>
      </c>
      <c r="BN61" s="639" cm="1">
        <f t="array" ref="BN61">IF($BB61&lt;=0,0,IF(BN$2=-1,0,INDEX(Premises!$A$34:$F$34,1,$CH61)/100))</f>
        <v>0</v>
      </c>
      <c r="BO61" s="631">
        <f t="shared" si="164"/>
        <v>0</v>
      </c>
      <c r="BP61" s="639" cm="1">
        <f t="array" ref="BP61">IF($BI61=0,0,INDEX(Premises!$A$37:$F$37,1,$CH61)/100)</f>
        <v>0</v>
      </c>
      <c r="BQ61" s="409"/>
      <c r="BR61" s="631">
        <f t="shared" si="165"/>
        <v>0</v>
      </c>
      <c r="BS61" s="641">
        <f t="shared" si="166"/>
        <v>0</v>
      </c>
      <c r="BT61" s="641">
        <f t="shared" si="167"/>
        <v>0</v>
      </c>
      <c r="BU61" s="642">
        <f t="shared" si="168"/>
        <v>0</v>
      </c>
      <c r="BV61" s="417"/>
      <c r="BW61" s="418"/>
      <c r="BX61" s="418"/>
      <c r="BY61" s="419"/>
      <c r="BZ61" s="968"/>
      <c r="CA61" s="280" cm="1">
        <f t="array" ref="CA61">IF($BZ61&gt;0,VALUE(LEFT($BZ61,IF(ISERROR(FIND("-",$BZ61)),LEN($BZ61),FIND("-",$BZ61)-1))),INDEX($CA$1:$CA61,MAX(1,$CD61)))</f>
        <v>1</v>
      </c>
      <c r="CB61" s="280" cm="1">
        <f t="array" ref="CB61">IF($BT61=0,0,IF(LEN($BZ61)-LEN(SUBSTITUTE($BZ61,"-",""))&gt;1,
VALUE(MID($BZ61,FIND("-",$BZ61)+1,FIND("-",$BZ61,FIND("-",$BZ61)+1)-FIND("-",$BZ61)-1)),IF($BZ61&gt;0,0,INDEX($CB$1:$CB61,MAX(1,$CD61)))))</f>
        <v>0</v>
      </c>
      <c r="CC61" s="280" cm="1">
        <f t="array" ref="CC61">IF($BT61=0,0,IF(NOT(ISERROR(FIND("-",BZ61))),
VALUE(RIGHT($BZ61,LEN($BZ61)-IF(LEN($BZ61)-LEN(SUBSTITUTE($BZ61,"-",""))=1,FIND("-",$BZ61),FIND("-",$BZ61,FIND("-",$BZ61)+1)))),
IF($BZ61&gt;0,0,INDEX($CC$1:$CC61,MAX(1,$CD61)))))</f>
        <v>0</v>
      </c>
      <c r="CD61" s="393">
        <f>MATCH(0,$CE$1:$CE61,-1)</f>
        <v>49</v>
      </c>
      <c r="CE61" s="280"/>
      <c r="CF61" s="394"/>
      <c r="CG61" s="393" cm="1">
        <f t="array" ref="CG61">INDEX($CG$1:$CG61,$CD61)</f>
        <v>7</v>
      </c>
      <c r="CH61" s="280">
        <f>MATCH($CA61,Premises!$A$10:$F$10,0)</f>
        <v>4</v>
      </c>
      <c r="CI61" s="280">
        <f>IF(ISBLANK($E61),0,IFERROR(MATCH($E61,MHR[Bezeichnung],0),0))</f>
        <v>0</v>
      </c>
      <c r="CJ61" s="394">
        <f>IF(ISBLANK($AQ61),0,IFERROR(MATCH($AQ61,MAT[Bezeichnung],0),0))</f>
        <v>0</v>
      </c>
      <c r="CK61" s="280" cm="1">
        <f t="array" ref="CK61">INDEX($D$1:$D61,$CD61)</f>
        <v>1</v>
      </c>
      <c r="CL61" s="280"/>
      <c r="CM61" s="395"/>
      <c r="CN61" s="396" cm="1">
        <f t="array" ref="CN61">IF($CB61=0,0,IF($CB61=INDEX($CB$1:$CB61,$CD61),INDEX($CN$1:$CN61,$CD61),$CP61))</f>
        <v>0</v>
      </c>
      <c r="CO61" s="395"/>
      <c r="CP61" s="396" cm="1">
        <f t="array" ref="CP61">IF($CC61=0,0,INDEX($CP$1:$CP61,$CD61))</f>
        <v>0</v>
      </c>
      <c r="CQ61" s="397"/>
      <c r="CR61" s="398"/>
      <c r="CS61" s="398"/>
      <c r="CT61" s="970"/>
      <c r="CU61" s="2"/>
      <c r="CV61" s="647">
        <f t="shared" si="169"/>
        <v>0</v>
      </c>
      <c r="CW61" s="648">
        <f t="shared" si="170"/>
        <v>0</v>
      </c>
      <c r="CX61" s="648">
        <f t="shared" si="171"/>
        <v>0</v>
      </c>
      <c r="CY61" s="648">
        <f t="shared" si="172"/>
        <v>0</v>
      </c>
      <c r="CZ61" s="648">
        <f t="shared" si="173"/>
        <v>0</v>
      </c>
      <c r="DA61" s="648">
        <f t="shared" si="174"/>
        <v>0</v>
      </c>
      <c r="DB61" s="648">
        <f t="shared" si="175"/>
        <v>0</v>
      </c>
      <c r="DC61" s="649">
        <f t="shared" si="176"/>
        <v>0</v>
      </c>
      <c r="DD61" s="648">
        <f t="shared" si="177"/>
        <v>0</v>
      </c>
      <c r="DE61" s="648">
        <f t="shared" si="178"/>
        <v>0</v>
      </c>
      <c r="DF61" s="648">
        <f t="shared" si="179"/>
        <v>0</v>
      </c>
      <c r="DG61" s="649">
        <f t="shared" si="180"/>
        <v>0</v>
      </c>
      <c r="DH61" s="649">
        <f t="shared" si="181"/>
        <v>0</v>
      </c>
      <c r="DI61" s="648">
        <f t="shared" si="182"/>
        <v>0</v>
      </c>
      <c r="DJ61" s="648">
        <f t="shared" si="183"/>
        <v>0</v>
      </c>
      <c r="DK61" s="648">
        <f t="shared" si="184"/>
        <v>0</v>
      </c>
      <c r="DL61" s="648">
        <f t="shared" si="185"/>
        <v>0</v>
      </c>
      <c r="DM61" s="648">
        <f t="shared" si="186"/>
        <v>0</v>
      </c>
      <c r="DN61" s="648">
        <f t="shared" si="187"/>
        <v>0</v>
      </c>
      <c r="DO61" s="648">
        <f t="shared" si="188"/>
        <v>0</v>
      </c>
      <c r="DP61" s="651">
        <f t="shared" si="189"/>
        <v>0</v>
      </c>
      <c r="DQ61" s="951">
        <f>IF($CB61=0,0,$DP61*_xlfn.XLOOKUP($CB61,Premises!$A$10:$F$10,Premises!$A$30:$F$30)/100)</f>
        <v>0</v>
      </c>
      <c r="DR61" s="650">
        <f>IFERROR(SUM($DP61:$DQ61)*IF(INDEX(Premises!$A$42:$F$42,1,MATCH($CB61,Premises!$A$10:$F$10,0))&gt;0,INDEX(Premises!$A$42:$F$42,1,MATCH($CB61,Premises!$A$10:$F$10,0))%,$CN61),0)</f>
        <v>0</v>
      </c>
      <c r="DS61" s="650" cm="1">
        <f t="array" ref="DS61">IF($CB61=0,0,SUM($DP61:$DR61)*_xlfn.XLOOKUP($CB61,Premises!$A$10:$F$10,IF(INDEX(Settings[],MATCH(3001,Settings[ID],0),2)="B",Premises!$A$33:$F$33,Premises!$A$31:$F$31))/100)</f>
        <v>0</v>
      </c>
      <c r="DT61" s="650" cm="1">
        <f t="array" ref="DT61">IF($CB61=0,0,$DP61*_xlfn.XLOOKUP($CB61,Premises!$A$10:$F$10,IF(INDEX(Settings[],MATCH(3002,Settings[ID],0),2)="B",Premises!$A$36:$F$36,Premises!$A$34:$F$34))/100)</f>
        <v>0</v>
      </c>
      <c r="DU61" s="650">
        <f>IF($CB61=0,0,SUM($DP61:$DT61)*_xlfn.XLOOKUP($CB61,Premises!$A$10:$F$10,Premises!$A$37:$F$37)/100)</f>
        <v>0</v>
      </c>
      <c r="DV61" s="954">
        <f t="shared" si="190"/>
        <v>0</v>
      </c>
      <c r="DW61" s="951">
        <f>IF($CC61=0,0,$DV61*_xlfn.XLOOKUP($CC61,Premises!$A$10:$F$10,Premises!$A$30:$F$30)/100)</f>
        <v>0</v>
      </c>
      <c r="DX61" s="650">
        <f>IFERROR(SUM($DV61:$DW61)*IF(INDEX(Premises!$A$42:$F$42,1,MATCH($CC61,Premises!$A$10:$F$10,0))&gt;0,INDEX(Premises!$A$42:$F$42,1,MATCH($CC61,Premises!$A$10:$F$10,0))%,$CP61),0)</f>
        <v>0</v>
      </c>
      <c r="DY61" s="650" cm="1">
        <f t="array" ref="DY61">IF($CC61=0,0,SUM($DV61:$DX61)*_xlfn.XLOOKUP($CC61,Premises!$A$10:$F$10,IF(INDEX(Settings[],MATCH(3001,Settings[ID],0),2)="B",Premises!$A$33:$F$33,Premises!$A$31:$F$31))/100)</f>
        <v>0</v>
      </c>
      <c r="DZ61" s="650" cm="1">
        <f t="array" ref="DZ61">IF($CC61=0,0,$DV61*_xlfn.XLOOKUP($CC61,Premises!$A$10:$F$10,IF(INDEX(Settings[],MATCH(3002,Settings[ID],0),2)="B",Premises!$A$36:$F$36,Premises!$A$34:$F$34))/100)</f>
        <v>0</v>
      </c>
      <c r="EA61" s="650">
        <f>IF($CC61=0,0,SUM($DV61:$DZ61)*_xlfn.XLOOKUP($CC61,Premises!$A$10:$F$10,Premises!$A$37:$F$37)/100)</f>
        <v>0</v>
      </c>
      <c r="EB61" s="651">
        <f t="shared" si="191"/>
        <v>0</v>
      </c>
      <c r="EC61" s="805"/>
      <c r="ED61" s="1104"/>
      <c r="EE61" s="650"/>
      <c r="EF61" s="1110"/>
      <c r="EG61" s="1108"/>
      <c r="EH61" s="1108"/>
      <c r="EI61" s="1108"/>
      <c r="EJ61" s="1108"/>
      <c r="EK61" s="1108"/>
      <c r="EL61" s="1108"/>
      <c r="EM61" s="1110"/>
      <c r="EN61" s="1108"/>
      <c r="EO61" s="1108"/>
      <c r="EP61" s="1108"/>
      <c r="EQ61" s="1108"/>
      <c r="ER61" s="1110"/>
      <c r="ES61" s="1108"/>
      <c r="ET61" s="1108"/>
      <c r="EU61" s="1108"/>
      <c r="EV61" s="1108"/>
      <c r="EW61" s="1108"/>
      <c r="EX61" s="1111"/>
      <c r="EY61" s="2"/>
      <c r="EZ61" s="2"/>
      <c r="FA61" s="2"/>
      <c r="FB61" s="2"/>
      <c r="FC61" s="2"/>
      <c r="FD61" s="2"/>
      <c r="FE61" s="2"/>
      <c r="FF61" s="2"/>
      <c r="FG61" s="2"/>
      <c r="FH61" s="2"/>
      <c r="FI61" s="2"/>
      <c r="FJ61" s="420"/>
      <c r="FK61" s="421"/>
      <c r="FL61" s="422"/>
      <c r="FM61" s="970"/>
    </row>
    <row r="62" spans="1:169" s="13" customFormat="1" ht="12.75" customHeight="1">
      <c r="A62" s="221"/>
      <c r="B62" s="402"/>
      <c r="C62" s="403"/>
      <c r="D62" s="646"/>
      <c r="E62" s="404"/>
      <c r="F62" s="405"/>
      <c r="G62" s="405"/>
      <c r="H62" s="405"/>
      <c r="I62" s="637" cm="1">
        <f t="array" ref="I62">IF($CI62=0,0,IFERROR(INDEX(MHR[],$CI62,MATCH($CA62,MHR!$B$4:$AY$4,0)),0))</f>
        <v>0</v>
      </c>
      <c r="J62" s="634">
        <f t="shared" si="144"/>
        <v>0</v>
      </c>
      <c r="K62" s="406"/>
      <c r="L62" s="407"/>
      <c r="M62" s="871"/>
      <c r="N62" s="407"/>
      <c r="O62" s="405"/>
      <c r="P62" s="645" cm="1">
        <f t="array" ref="P62">IF($K62=0,0,IFERROR(ROUNDUP(IF(ISNUMBER($K62),$K62,INDEX($D$1:$D62,$CD62)*INDEX(Premises!$A$13:$F$13,1,$CH62)/IF(OR($K62="T",$K62="D"),250,IF($K62="W",50,IF($K62="M",12,IF(OR($K62="HJ",$K62="HY"),2,IF(OR($K62="J",$K62="Y"),1,0)))))),0),0))</f>
        <v>0</v>
      </c>
      <c r="Q62" s="637" cm="1">
        <f t="array" ref="Q62">IF($K62=0,0,IFERROR(INDEX(Premises!$A$22:$F$22,1,$CH62)*100/INDEX(Premises!$A$16:$F$16,1,$CH62),0))</f>
        <v>0</v>
      </c>
      <c r="R62" s="634">
        <f t="shared" si="145"/>
        <v>0</v>
      </c>
      <c r="S62" s="408"/>
      <c r="T62" s="409"/>
      <c r="U62" s="637" cm="1">
        <f t="array" ref="U62">IF(COUNTBLANK($S62:$T62),0,
IF(AND(INDEX(MHR[Schichtmodell],$CI62)&lt;&gt;0,INDEX(MHR[Schichtmodell],$CI62)&lt;&gt;INDEX(Premises!$A$20:$F$20,1,$CH62)),ExchangeRate*
IF(OR($T62="M",$T62="U"),IF(INDEX(MHR[Schichtmodell],$CI62)=1,INDEX(LOC[M1S],INDEX(Premises!$A$18:$F$18,1,$CH62+1)),IF(INDEX(MHR[Schichtmodell],$CI62)=2,INDEX(LOC[M2S],INDEX(Premises!$A$18:$F$18,1,$CH62+1),IF(INDEX(MHR[Schichtmodell],$CI62)=3,INDEX(LOC[M3S],INDEX(Premises!$A$18:$F$18,1,$CH62+1)),0)))),
IF(INDEX(MHR[Schichtmodell],$CI62)=1,INDEX(LOC[F1S],INDEX(Premises!$A$18:$F$18,1,$CH62+1)),IF(INDEX(MHR[Schichtmodell],$CI62)=2,INDEX(LOC[F2S],INDEX(Premises!$A$18:$F$18,1,$CH62+1)),IF(INDEX(MHR[Schichtmodell],$CI62)=3,INDEX(LOC[F3S],INDEX(Premises!$A$18:$F$18,1,$CH62+1)),0)))),
IF(OR($T62="M",$T62="U"),INDEX(Premises!$A$21:$F$21,1,$CH62),
IF(OR($T62="F",$T62="S"),INDEX(Premises!$A$22:$F$22,1,$CH62),0)))*100/INDEX(Premises!$A$16:$F$16,1,$CH62))</f>
        <v>0</v>
      </c>
      <c r="V62" s="631">
        <f t="shared" si="146"/>
        <v>0</v>
      </c>
      <c r="W62" s="410"/>
      <c r="X62" s="403"/>
      <c r="Y62" s="411"/>
      <c r="Z62" s="412"/>
      <c r="AA62" s="628">
        <f t="shared" si="147"/>
        <v>0</v>
      </c>
      <c r="AB62" s="410"/>
      <c r="AC62" s="403"/>
      <c r="AD62" s="411"/>
      <c r="AE62" s="413"/>
      <c r="AF62" s="628">
        <f t="shared" si="148"/>
        <v>0</v>
      </c>
      <c r="AG62" s="629" cm="1">
        <f t="array" ref="AG62">IF(($J62+$V62+$AF62)=0,0,INDEX(Premises!$A$30:$F$30,1,$CH62)/100)</f>
        <v>0</v>
      </c>
      <c r="AH62" s="414"/>
      <c r="AI62" s="415"/>
      <c r="AJ62" s="416"/>
      <c r="AK62" s="630">
        <f t="shared" si="149"/>
        <v>0</v>
      </c>
      <c r="AL62" s="631">
        <f t="shared" si="150"/>
        <v>0</v>
      </c>
      <c r="AM62" s="632" cm="1">
        <f t="array" ref="AM62">IF($CI62=0,0,IFERROR(INDEX(MHR[],$CI62,MATCH($CA62,MHR!$B$4:$AY$4,0)+11),0))</f>
        <v>0</v>
      </c>
      <c r="AN62" s="633" cm="1">
        <f t="array" ref="AN62">IF(($J62+$V62)=0,0,IFERROR(IF(INDEX(Premises!$A$41:$F$41,1,$CH62)&lt;&gt;0,INDEX(Premises!$A$41:$F$41,1,$CH62)/100,(IFERROR(($J62/$I62)*$AM62,0)/($V62+$J62+$R62+$AL62))),0))</f>
        <v>0</v>
      </c>
      <c r="AO62" s="634">
        <f t="shared" si="151"/>
        <v>0</v>
      </c>
      <c r="AP62" s="635">
        <f t="shared" si="152"/>
        <v>0</v>
      </c>
      <c r="AQ62" s="410" t="str">
        <f>BOM!$A$20</f>
        <v xml:space="preserve">01-01-03-13 Light Guide </v>
      </c>
      <c r="AR62" s="409">
        <f>VLOOKUP($AQ62,BOM,6,0)</f>
        <v>1</v>
      </c>
      <c r="AS62" s="636" cm="1">
        <f t="array" ref="AS62">IF($CJ62=0,0,IFERROR(INDEX(MAT[Einheit],$CJ62,1),0))</f>
        <v>0</v>
      </c>
      <c r="AT62" s="637" cm="1">
        <f t="array" ref="AT62">IF($CJ62=0,0,IFERROR(INDEX(MAT[Preis],$CJ62,1),0))</f>
        <v>0</v>
      </c>
      <c r="AU62" s="638">
        <f t="shared" si="153"/>
        <v>0</v>
      </c>
      <c r="AV62" s="639" cm="1">
        <f t="array" ref="AV62">IF($AU62&lt;=0,0,INDEX(Premises!$A$30:$F$30,1,$CH62)/100)</f>
        <v>0</v>
      </c>
      <c r="AW62" s="409"/>
      <c r="AX62" s="631">
        <f t="shared" si="154"/>
        <v>0</v>
      </c>
      <c r="AY62" s="640" cm="1">
        <f t="array" ref="AY62">IF($AT62&lt;=0,0,IFERROR(IF(INDEX(Premises!$A$42:$F$42,1,$CH62)&lt;&gt;0,INDEX(Premises!$A$42:$F$42,1,$CH62)/100,(INDEX(MAT[],$CJ62,MATCH($CA62,MAT!$B$4:$AE$4,0))/($AR62*$CK62*INDEX(Premises!$A$13:$F$13,1,$CH62))+INDEX(MAT[],$CJ62,MATCH($CA62,MAT!$B$4:$AE$4,0)+7))/$AT62),0))</f>
        <v>0</v>
      </c>
      <c r="AZ62" s="631">
        <f t="shared" si="155"/>
        <v>0</v>
      </c>
      <c r="BA62" s="635">
        <f t="shared" si="156"/>
        <v>0</v>
      </c>
      <c r="BB62" s="635">
        <f t="shared" si="157"/>
        <v>0</v>
      </c>
      <c r="BC62" s="639" cm="1">
        <f t="array" ref="BC62">IF($BB62&lt;=0,0,IF(BC$2=-1,0,INDEX(Premises!$A$32:$F$32,1,$CH62)/100))</f>
        <v>0</v>
      </c>
      <c r="BD62" s="631">
        <f t="shared" si="158"/>
        <v>0</v>
      </c>
      <c r="BE62" s="639" cm="1">
        <f t="array" ref="BE62">IF($BB62&lt;=0,0,IF(BE$2=-1,0,INDEX(Premises!$A$33:$F$33,1,$CH62)/100))</f>
        <v>0</v>
      </c>
      <c r="BF62" s="631">
        <f t="shared" si="159"/>
        <v>0</v>
      </c>
      <c r="BG62" s="639" cm="1">
        <f t="array" ref="BG62">IF($BB62&lt;=0,0,IF(BG$2=-1,0,INDEX(Premises!$A$31:$F$31,1,$CH62)/100))</f>
        <v>0</v>
      </c>
      <c r="BH62" s="631">
        <f t="shared" si="160"/>
        <v>0</v>
      </c>
      <c r="BI62" s="635">
        <f t="shared" si="161"/>
        <v>0</v>
      </c>
      <c r="BJ62" s="639" cm="1">
        <f t="array" ref="BJ62">IF($BB62&lt;=0,0,IF(BJ$2=-1,0,INDEX(Premises!$A$35:$F$35,1,$CH62)/100))</f>
        <v>0</v>
      </c>
      <c r="BK62" s="631">
        <f t="shared" si="162"/>
        <v>0</v>
      </c>
      <c r="BL62" s="639" cm="1">
        <f t="array" ref="BL62">IF($BB62&lt;=0,0,IF(BL$2=-1,0,INDEX(Premises!$A$36:$F$36,1,$CH62)/100))</f>
        <v>0</v>
      </c>
      <c r="BM62" s="631">
        <f t="shared" si="163"/>
        <v>0</v>
      </c>
      <c r="BN62" s="639" cm="1">
        <f t="array" ref="BN62">IF($BB62&lt;=0,0,IF(BN$2=-1,0,INDEX(Premises!$A$34:$F$34,1,$CH62)/100))</f>
        <v>0</v>
      </c>
      <c r="BO62" s="631">
        <f t="shared" si="164"/>
        <v>0</v>
      </c>
      <c r="BP62" s="639" cm="1">
        <f t="array" ref="BP62">IF($BI62=0,0,INDEX(Premises!$A$37:$F$37,1,$CH62)/100)</f>
        <v>0</v>
      </c>
      <c r="BQ62" s="409"/>
      <c r="BR62" s="631">
        <f t="shared" si="165"/>
        <v>0</v>
      </c>
      <c r="BS62" s="641">
        <f t="shared" si="166"/>
        <v>0</v>
      </c>
      <c r="BT62" s="641">
        <f t="shared" si="167"/>
        <v>0</v>
      </c>
      <c r="BU62" s="642">
        <f t="shared" si="168"/>
        <v>0</v>
      </c>
      <c r="BV62" s="417"/>
      <c r="BW62" s="418"/>
      <c r="BX62" s="418"/>
      <c r="BY62" s="419"/>
      <c r="BZ62" s="968"/>
      <c r="CA62" s="280" cm="1">
        <f t="array" ref="CA62">IF($BZ62&gt;0,VALUE(LEFT($BZ62,IF(ISERROR(FIND("-",$BZ62)),LEN($BZ62),FIND("-",$BZ62)-1))),INDEX($CA$1:$CA62,MAX(1,$CD62)))</f>
        <v>1</v>
      </c>
      <c r="CB62" s="280" cm="1">
        <f t="array" ref="CB62">IF($BT62=0,0,IF(LEN($BZ62)-LEN(SUBSTITUTE($BZ62,"-",""))&gt;1,
VALUE(MID($BZ62,FIND("-",$BZ62)+1,FIND("-",$BZ62,FIND("-",$BZ62)+1)-FIND("-",$BZ62)-1)),IF($BZ62&gt;0,0,INDEX($CB$1:$CB62,MAX(1,$CD62)))))</f>
        <v>0</v>
      </c>
      <c r="CC62" s="280" cm="1">
        <f t="array" ref="CC62">IF($BT62=0,0,IF(NOT(ISERROR(FIND("-",BZ62))),
VALUE(RIGHT($BZ62,LEN($BZ62)-IF(LEN($BZ62)-LEN(SUBSTITUTE($BZ62,"-",""))=1,FIND("-",$BZ62),FIND("-",$BZ62,FIND("-",$BZ62)+1)))),
IF($BZ62&gt;0,0,INDEX($CC$1:$CC62,MAX(1,$CD62)))))</f>
        <v>0</v>
      </c>
      <c r="CD62" s="393">
        <f>MATCH(0,$CE$1:$CE62,-1)</f>
        <v>49</v>
      </c>
      <c r="CE62" s="280"/>
      <c r="CF62" s="394"/>
      <c r="CG62" s="393" cm="1">
        <f t="array" ref="CG62">INDEX($CG$1:$CG62,$CD62)</f>
        <v>7</v>
      </c>
      <c r="CH62" s="280">
        <f>MATCH($CA62,Premises!$A$10:$F$10,0)</f>
        <v>4</v>
      </c>
      <c r="CI62" s="280">
        <f>IF(ISBLANK($E62),0,IFERROR(MATCH($E62,MHR[Bezeichnung],0),0))</f>
        <v>0</v>
      </c>
      <c r="CJ62" s="394">
        <f>IF(ISBLANK($AQ62),0,IFERROR(MATCH($AQ62,MAT[Bezeichnung],0),0))</f>
        <v>0</v>
      </c>
      <c r="CK62" s="280" cm="1">
        <f t="array" ref="CK62">INDEX($D$1:$D62,$CD62)</f>
        <v>1</v>
      </c>
      <c r="CL62" s="280"/>
      <c r="CM62" s="395"/>
      <c r="CN62" s="396" cm="1">
        <f t="array" ref="CN62">IF($CB62=0,0,IF($CB62=INDEX($CB$1:$CB62,$CD62),INDEX($CN$1:$CN62,$CD62),$CP62))</f>
        <v>0</v>
      </c>
      <c r="CO62" s="395"/>
      <c r="CP62" s="396" cm="1">
        <f t="array" ref="CP62">IF($CC62=0,0,INDEX($CP$1:$CP62,$CD62))</f>
        <v>0</v>
      </c>
      <c r="CQ62" s="397"/>
      <c r="CR62" s="398"/>
      <c r="CS62" s="398"/>
      <c r="CT62" s="970"/>
      <c r="CU62" s="2"/>
      <c r="CV62" s="647">
        <f t="shared" si="169"/>
        <v>0</v>
      </c>
      <c r="CW62" s="648">
        <f t="shared" si="170"/>
        <v>0</v>
      </c>
      <c r="CX62" s="648">
        <f t="shared" si="171"/>
        <v>0</v>
      </c>
      <c r="CY62" s="648">
        <f t="shared" si="172"/>
        <v>0</v>
      </c>
      <c r="CZ62" s="648">
        <f t="shared" si="173"/>
        <v>0</v>
      </c>
      <c r="DA62" s="648">
        <f t="shared" si="174"/>
        <v>0</v>
      </c>
      <c r="DB62" s="648">
        <f t="shared" si="175"/>
        <v>0</v>
      </c>
      <c r="DC62" s="649">
        <f t="shared" si="176"/>
        <v>0</v>
      </c>
      <c r="DD62" s="648">
        <f t="shared" si="177"/>
        <v>0</v>
      </c>
      <c r="DE62" s="648">
        <f t="shared" si="178"/>
        <v>0</v>
      </c>
      <c r="DF62" s="648">
        <f t="shared" si="179"/>
        <v>0</v>
      </c>
      <c r="DG62" s="649">
        <f t="shared" si="180"/>
        <v>0</v>
      </c>
      <c r="DH62" s="649">
        <f t="shared" si="181"/>
        <v>0</v>
      </c>
      <c r="DI62" s="648">
        <f t="shared" si="182"/>
        <v>0</v>
      </c>
      <c r="DJ62" s="648">
        <f t="shared" si="183"/>
        <v>0</v>
      </c>
      <c r="DK62" s="648">
        <f t="shared" si="184"/>
        <v>0</v>
      </c>
      <c r="DL62" s="648">
        <f t="shared" si="185"/>
        <v>0</v>
      </c>
      <c r="DM62" s="648">
        <f t="shared" si="186"/>
        <v>0</v>
      </c>
      <c r="DN62" s="648">
        <f t="shared" si="187"/>
        <v>0</v>
      </c>
      <c r="DO62" s="648">
        <f t="shared" si="188"/>
        <v>0</v>
      </c>
      <c r="DP62" s="651">
        <f t="shared" si="189"/>
        <v>0</v>
      </c>
      <c r="DQ62" s="951">
        <f>IF($CB62=0,0,$DP62*_xlfn.XLOOKUP($CB62,Premises!$A$10:$F$10,Premises!$A$30:$F$30)/100)</f>
        <v>0</v>
      </c>
      <c r="DR62" s="650">
        <f>IFERROR(SUM($DP62:$DQ62)*IF(INDEX(Premises!$A$42:$F$42,1,MATCH($CB62,Premises!$A$10:$F$10,0))&gt;0,INDEX(Premises!$A$42:$F$42,1,MATCH($CB62,Premises!$A$10:$F$10,0))%,$CN62),0)</f>
        <v>0</v>
      </c>
      <c r="DS62" s="650" cm="1">
        <f t="array" ref="DS62">IF($CB62=0,0,SUM($DP62:$DR62)*_xlfn.XLOOKUP($CB62,Premises!$A$10:$F$10,IF(INDEX(Settings[],MATCH(3001,Settings[ID],0),2)="B",Premises!$A$33:$F$33,Premises!$A$31:$F$31))/100)</f>
        <v>0</v>
      </c>
      <c r="DT62" s="650" cm="1">
        <f t="array" ref="DT62">IF($CB62=0,0,$DP62*_xlfn.XLOOKUP($CB62,Premises!$A$10:$F$10,IF(INDEX(Settings[],MATCH(3002,Settings[ID],0),2)="B",Premises!$A$36:$F$36,Premises!$A$34:$F$34))/100)</f>
        <v>0</v>
      </c>
      <c r="DU62" s="650">
        <f>IF($CB62=0,0,SUM($DP62:$DT62)*_xlfn.XLOOKUP($CB62,Premises!$A$10:$F$10,Premises!$A$37:$F$37)/100)</f>
        <v>0</v>
      </c>
      <c r="DV62" s="954">
        <f t="shared" si="190"/>
        <v>0</v>
      </c>
      <c r="DW62" s="951">
        <f>IF($CC62=0,0,$DV62*_xlfn.XLOOKUP($CC62,Premises!$A$10:$F$10,Premises!$A$30:$F$30)/100)</f>
        <v>0</v>
      </c>
      <c r="DX62" s="650">
        <f>IFERROR(SUM($DV62:$DW62)*IF(INDEX(Premises!$A$42:$F$42,1,MATCH($CC62,Premises!$A$10:$F$10,0))&gt;0,INDEX(Premises!$A$42:$F$42,1,MATCH($CC62,Premises!$A$10:$F$10,0))%,$CP62),0)</f>
        <v>0</v>
      </c>
      <c r="DY62" s="650" cm="1">
        <f t="array" ref="DY62">IF($CC62=0,0,SUM($DV62:$DX62)*_xlfn.XLOOKUP($CC62,Premises!$A$10:$F$10,IF(INDEX(Settings[],MATCH(3001,Settings[ID],0),2)="B",Premises!$A$33:$F$33,Premises!$A$31:$F$31))/100)</f>
        <v>0</v>
      </c>
      <c r="DZ62" s="650" cm="1">
        <f t="array" ref="DZ62">IF($CC62=0,0,$DV62*_xlfn.XLOOKUP($CC62,Premises!$A$10:$F$10,IF(INDEX(Settings[],MATCH(3002,Settings[ID],0),2)="B",Premises!$A$36:$F$36,Premises!$A$34:$F$34))/100)</f>
        <v>0</v>
      </c>
      <c r="EA62" s="650">
        <f>IF($CC62=0,0,SUM($DV62:$DZ62)*_xlfn.XLOOKUP($CC62,Premises!$A$10:$F$10,Premises!$A$37:$F$37)/100)</f>
        <v>0</v>
      </c>
      <c r="EB62" s="651">
        <f t="shared" si="191"/>
        <v>0</v>
      </c>
      <c r="EC62" s="805"/>
      <c r="ED62" s="1104"/>
      <c r="EE62" s="650"/>
      <c r="EF62" s="1110"/>
      <c r="EG62" s="1108"/>
      <c r="EH62" s="1108"/>
      <c r="EI62" s="1108"/>
      <c r="EJ62" s="1108"/>
      <c r="EK62" s="1108"/>
      <c r="EL62" s="1108"/>
      <c r="EM62" s="1110"/>
      <c r="EN62" s="1108"/>
      <c r="EO62" s="1108"/>
      <c r="EP62" s="1108"/>
      <c r="EQ62" s="1108"/>
      <c r="ER62" s="1110"/>
      <c r="ES62" s="1108"/>
      <c r="ET62" s="1108"/>
      <c r="EU62" s="1108"/>
      <c r="EV62" s="1108"/>
      <c r="EW62" s="1108"/>
      <c r="EX62" s="1111"/>
      <c r="EY62" s="2"/>
      <c r="EZ62" s="2"/>
      <c r="FA62" s="2"/>
      <c r="FB62" s="2"/>
      <c r="FC62" s="2"/>
      <c r="FD62" s="2"/>
      <c r="FE62" s="2"/>
      <c r="FF62" s="2"/>
      <c r="FG62" s="2"/>
      <c r="FH62" s="2"/>
      <c r="FI62" s="2"/>
      <c r="FJ62" s="420"/>
      <c r="FK62" s="421"/>
      <c r="FL62" s="422"/>
      <c r="FM62" s="970"/>
    </row>
    <row r="63" spans="1:169" s="13" customFormat="1" ht="12.75" customHeight="1">
      <c r="A63" s="221"/>
      <c r="B63" s="402"/>
      <c r="C63" s="403"/>
      <c r="D63" s="646"/>
      <c r="E63" s="404"/>
      <c r="F63" s="405"/>
      <c r="G63" s="405"/>
      <c r="H63" s="405"/>
      <c r="I63" s="637" cm="1">
        <f t="array" ref="I63">IF($CI63=0,0,IFERROR(INDEX(MHR[],$CI63,MATCH($CA63,MHR!$B$4:$AY$4,0)),0))</f>
        <v>0</v>
      </c>
      <c r="J63" s="634">
        <f t="shared" si="144"/>
        <v>0</v>
      </c>
      <c r="K63" s="406"/>
      <c r="L63" s="407"/>
      <c r="M63" s="871"/>
      <c r="N63" s="407"/>
      <c r="O63" s="405"/>
      <c r="P63" s="645" cm="1">
        <f t="array" ref="P63">IF($K63=0,0,IFERROR(ROUNDUP(IF(ISNUMBER($K63),$K63,INDEX($D$1:$D63,$CD63)*INDEX(Premises!$A$13:$F$13,1,$CH63)/IF(OR($K63="T",$K63="D"),250,IF($K63="W",50,IF($K63="M",12,IF(OR($K63="HJ",$K63="HY"),2,IF(OR($K63="J",$K63="Y"),1,0)))))),0),0))</f>
        <v>0</v>
      </c>
      <c r="Q63" s="637" cm="1">
        <f t="array" ref="Q63">IF($K63=0,0,IFERROR(INDEX(Premises!$A$22:$F$22,1,$CH63)*100/INDEX(Premises!$A$16:$F$16,1,$CH63),0))</f>
        <v>0</v>
      </c>
      <c r="R63" s="634">
        <f t="shared" si="145"/>
        <v>0</v>
      </c>
      <c r="S63" s="408"/>
      <c r="T63" s="409"/>
      <c r="U63" s="637" cm="1">
        <f t="array" ref="U63">IF(COUNTBLANK($S63:$T63),0,
IF(AND(INDEX(MHR[Schichtmodell],$CI63)&lt;&gt;0,INDEX(MHR[Schichtmodell],$CI63)&lt;&gt;INDEX(Premises!$A$20:$F$20,1,$CH63)),ExchangeRate*
IF(OR($T63="M",$T63="U"),IF(INDEX(MHR[Schichtmodell],$CI63)=1,INDEX(LOC[M1S],INDEX(Premises!$A$18:$F$18,1,$CH63+1)),IF(INDEX(MHR[Schichtmodell],$CI63)=2,INDEX(LOC[M2S],INDEX(Premises!$A$18:$F$18,1,$CH63+1),IF(INDEX(MHR[Schichtmodell],$CI63)=3,INDEX(LOC[M3S],INDEX(Premises!$A$18:$F$18,1,$CH63+1)),0)))),
IF(INDEX(MHR[Schichtmodell],$CI63)=1,INDEX(LOC[F1S],INDEX(Premises!$A$18:$F$18,1,$CH63+1)),IF(INDEX(MHR[Schichtmodell],$CI63)=2,INDEX(LOC[F2S],INDEX(Premises!$A$18:$F$18,1,$CH63+1)),IF(INDEX(MHR[Schichtmodell],$CI63)=3,INDEX(LOC[F3S],INDEX(Premises!$A$18:$F$18,1,$CH63+1)),0)))),
IF(OR($T63="M",$T63="U"),INDEX(Premises!$A$21:$F$21,1,$CH63),
IF(OR($T63="F",$T63="S"),INDEX(Premises!$A$22:$F$22,1,$CH63),0)))*100/INDEX(Premises!$A$16:$F$16,1,$CH63))</f>
        <v>0</v>
      </c>
      <c r="V63" s="631">
        <f t="shared" si="146"/>
        <v>0</v>
      </c>
      <c r="W63" s="410"/>
      <c r="X63" s="403"/>
      <c r="Y63" s="411"/>
      <c r="Z63" s="412"/>
      <c r="AA63" s="628">
        <f t="shared" si="147"/>
        <v>0</v>
      </c>
      <c r="AB63" s="410"/>
      <c r="AC63" s="403"/>
      <c r="AD63" s="411"/>
      <c r="AE63" s="413"/>
      <c r="AF63" s="628">
        <f t="shared" si="148"/>
        <v>0</v>
      </c>
      <c r="AG63" s="629" cm="1">
        <f t="array" ref="AG63">IF(($J63+$V63+$AF63)=0,0,INDEX(Premises!$A$30:$F$30,1,$CH63)/100)</f>
        <v>0</v>
      </c>
      <c r="AH63" s="414"/>
      <c r="AI63" s="415"/>
      <c r="AJ63" s="416"/>
      <c r="AK63" s="630">
        <f t="shared" si="149"/>
        <v>0</v>
      </c>
      <c r="AL63" s="631">
        <f t="shared" si="150"/>
        <v>0</v>
      </c>
      <c r="AM63" s="632" cm="1">
        <f t="array" ref="AM63">IF($CI63=0,0,IFERROR(INDEX(MHR[],$CI63,MATCH($CA63,MHR!$B$4:$AY$4,0)+11),0))</f>
        <v>0</v>
      </c>
      <c r="AN63" s="633" cm="1">
        <f t="array" ref="AN63">IF(($J63+$V63)=0,0,IFERROR(IF(INDEX(Premises!$A$41:$F$41,1,$CH63)&lt;&gt;0,INDEX(Premises!$A$41:$F$41,1,$CH63)/100,(IFERROR(($J63/$I63)*$AM63,0)/($V63+$J63+$R63+$AL63))),0))</f>
        <v>0</v>
      </c>
      <c r="AO63" s="634">
        <f t="shared" si="151"/>
        <v>0</v>
      </c>
      <c r="AP63" s="635">
        <f t="shared" si="152"/>
        <v>0</v>
      </c>
      <c r="AQ63" s="410" t="str">
        <f>BOM!$A$21</f>
        <v>01-01-03-14 Diffusion Foil</v>
      </c>
      <c r="AR63" s="409">
        <f>VLOOKUP($AQ63,BOM,6,0)</f>
        <v>1</v>
      </c>
      <c r="AS63" s="636" cm="1">
        <f t="array" ref="AS63">IF($CJ63=0,0,IFERROR(INDEX(MAT[Einheit],$CJ63,1),0))</f>
        <v>0</v>
      </c>
      <c r="AT63" s="637" cm="1">
        <f t="array" ref="AT63">IF($CJ63=0,0,IFERROR(INDEX(MAT[Preis],$CJ63,1),0))</f>
        <v>0</v>
      </c>
      <c r="AU63" s="638">
        <f t="shared" si="153"/>
        <v>0</v>
      </c>
      <c r="AV63" s="639" cm="1">
        <f t="array" ref="AV63">IF($AU63&lt;=0,0,INDEX(Premises!$A$30:$F$30,1,$CH63)/100)</f>
        <v>0</v>
      </c>
      <c r="AW63" s="409"/>
      <c r="AX63" s="631">
        <f t="shared" si="154"/>
        <v>0</v>
      </c>
      <c r="AY63" s="640" cm="1">
        <f t="array" ref="AY63">IF($AT63&lt;=0,0,IFERROR(IF(INDEX(Premises!$A$42:$F$42,1,$CH63)&lt;&gt;0,INDEX(Premises!$A$42:$F$42,1,$CH63)/100,(INDEX(MAT[],$CJ63,MATCH($CA63,MAT!$B$4:$AE$4,0))/($AR63*$CK63*INDEX(Premises!$A$13:$F$13,1,$CH63))+INDEX(MAT[],$CJ63,MATCH($CA63,MAT!$B$4:$AE$4,0)+7))/$AT63),0))</f>
        <v>0</v>
      </c>
      <c r="AZ63" s="631">
        <f t="shared" si="155"/>
        <v>0</v>
      </c>
      <c r="BA63" s="635">
        <f t="shared" si="156"/>
        <v>0</v>
      </c>
      <c r="BB63" s="635">
        <f t="shared" si="157"/>
        <v>0</v>
      </c>
      <c r="BC63" s="639" cm="1">
        <f t="array" ref="BC63">IF($BB63&lt;=0,0,IF(BC$2=-1,0,INDEX(Premises!$A$32:$F$32,1,$CH63)/100))</f>
        <v>0</v>
      </c>
      <c r="BD63" s="631">
        <f t="shared" si="158"/>
        <v>0</v>
      </c>
      <c r="BE63" s="639" cm="1">
        <f t="array" ref="BE63">IF($BB63&lt;=0,0,IF(BE$2=-1,0,INDEX(Premises!$A$33:$F$33,1,$CH63)/100))</f>
        <v>0</v>
      </c>
      <c r="BF63" s="631">
        <f t="shared" si="159"/>
        <v>0</v>
      </c>
      <c r="BG63" s="639" cm="1">
        <f t="array" ref="BG63">IF($BB63&lt;=0,0,IF(BG$2=-1,0,INDEX(Premises!$A$31:$F$31,1,$CH63)/100))</f>
        <v>0</v>
      </c>
      <c r="BH63" s="631">
        <f t="shared" si="160"/>
        <v>0</v>
      </c>
      <c r="BI63" s="635">
        <f t="shared" si="161"/>
        <v>0</v>
      </c>
      <c r="BJ63" s="639" cm="1">
        <f t="array" ref="BJ63">IF($BB63&lt;=0,0,IF(BJ$2=-1,0,INDEX(Premises!$A$35:$F$35,1,$CH63)/100))</f>
        <v>0</v>
      </c>
      <c r="BK63" s="631">
        <f t="shared" si="162"/>
        <v>0</v>
      </c>
      <c r="BL63" s="639" cm="1">
        <f t="array" ref="BL63">IF($BB63&lt;=0,0,IF(BL$2=-1,0,INDEX(Premises!$A$36:$F$36,1,$CH63)/100))</f>
        <v>0</v>
      </c>
      <c r="BM63" s="631">
        <f t="shared" si="163"/>
        <v>0</v>
      </c>
      <c r="BN63" s="639" cm="1">
        <f t="array" ref="BN63">IF($BB63&lt;=0,0,IF(BN$2=-1,0,INDEX(Premises!$A$34:$F$34,1,$CH63)/100))</f>
        <v>0</v>
      </c>
      <c r="BO63" s="631">
        <f t="shared" si="164"/>
        <v>0</v>
      </c>
      <c r="BP63" s="639" cm="1">
        <f t="array" ref="BP63">IF($BI63=0,0,INDEX(Premises!$A$37:$F$37,1,$CH63)/100)</f>
        <v>0</v>
      </c>
      <c r="BQ63" s="409"/>
      <c r="BR63" s="631">
        <f t="shared" si="165"/>
        <v>0</v>
      </c>
      <c r="BS63" s="641">
        <f t="shared" si="166"/>
        <v>0</v>
      </c>
      <c r="BT63" s="641">
        <f t="shared" si="167"/>
        <v>0</v>
      </c>
      <c r="BU63" s="642">
        <f t="shared" si="168"/>
        <v>0</v>
      </c>
      <c r="BV63" s="417"/>
      <c r="BW63" s="418"/>
      <c r="BX63" s="418"/>
      <c r="BY63" s="419"/>
      <c r="BZ63" s="968"/>
      <c r="CA63" s="280" cm="1">
        <f t="array" ref="CA63">IF($BZ63&gt;0,VALUE(LEFT($BZ63,IF(ISERROR(FIND("-",$BZ63)),LEN($BZ63),FIND("-",$BZ63)-1))),INDEX($CA$1:$CA63,MAX(1,$CD63)))</f>
        <v>1</v>
      </c>
      <c r="CB63" s="280" cm="1">
        <f t="array" ref="CB63">IF($BT63=0,0,IF(LEN($BZ63)-LEN(SUBSTITUTE($BZ63,"-",""))&gt;1,
VALUE(MID($BZ63,FIND("-",$BZ63)+1,FIND("-",$BZ63,FIND("-",$BZ63)+1)-FIND("-",$BZ63)-1)),IF($BZ63&gt;0,0,INDEX($CB$1:$CB63,MAX(1,$CD63)))))</f>
        <v>0</v>
      </c>
      <c r="CC63" s="280" cm="1">
        <f t="array" ref="CC63">IF($BT63=0,0,IF(NOT(ISERROR(FIND("-",BZ63))),
VALUE(RIGHT($BZ63,LEN($BZ63)-IF(LEN($BZ63)-LEN(SUBSTITUTE($BZ63,"-",""))=1,FIND("-",$BZ63),FIND("-",$BZ63,FIND("-",$BZ63)+1)))),
IF($BZ63&gt;0,0,INDEX($CC$1:$CC63,MAX(1,$CD63)))))</f>
        <v>0</v>
      </c>
      <c r="CD63" s="393">
        <f>MATCH(0,$CE$1:$CE63,-1)</f>
        <v>49</v>
      </c>
      <c r="CE63" s="280"/>
      <c r="CF63" s="394"/>
      <c r="CG63" s="393" cm="1">
        <f t="array" ref="CG63">INDEX($CG$1:$CG63,$CD63)</f>
        <v>7</v>
      </c>
      <c r="CH63" s="280">
        <f>MATCH($CA63,Premises!$A$10:$F$10,0)</f>
        <v>4</v>
      </c>
      <c r="CI63" s="280">
        <f>IF(ISBLANK($E63),0,IFERROR(MATCH($E63,MHR[Bezeichnung],0),0))</f>
        <v>0</v>
      </c>
      <c r="CJ63" s="394">
        <f>IF(ISBLANK($AQ63),0,IFERROR(MATCH($AQ63,MAT[Bezeichnung],0),0))</f>
        <v>0</v>
      </c>
      <c r="CK63" s="280" cm="1">
        <f t="array" ref="CK63">INDEX($D$1:$D63,$CD63)</f>
        <v>1</v>
      </c>
      <c r="CL63" s="280"/>
      <c r="CM63" s="395"/>
      <c r="CN63" s="396" cm="1">
        <f t="array" ref="CN63">IF($CB63=0,0,IF($CB63=INDEX($CB$1:$CB63,$CD63),INDEX($CN$1:$CN63,$CD63),$CP63))</f>
        <v>0</v>
      </c>
      <c r="CO63" s="395"/>
      <c r="CP63" s="396" cm="1">
        <f t="array" ref="CP63">IF($CC63=0,0,INDEX($CP$1:$CP63,$CD63))</f>
        <v>0</v>
      </c>
      <c r="CQ63" s="397"/>
      <c r="CR63" s="398"/>
      <c r="CS63" s="398"/>
      <c r="CT63" s="970"/>
      <c r="CU63" s="2"/>
      <c r="CV63" s="647">
        <f t="shared" si="169"/>
        <v>0</v>
      </c>
      <c r="CW63" s="648">
        <f t="shared" si="170"/>
        <v>0</v>
      </c>
      <c r="CX63" s="648">
        <f t="shared" si="171"/>
        <v>0</v>
      </c>
      <c r="CY63" s="648">
        <f t="shared" si="172"/>
        <v>0</v>
      </c>
      <c r="CZ63" s="648">
        <f t="shared" si="173"/>
        <v>0</v>
      </c>
      <c r="DA63" s="648">
        <f t="shared" si="174"/>
        <v>0</v>
      </c>
      <c r="DB63" s="648">
        <f t="shared" si="175"/>
        <v>0</v>
      </c>
      <c r="DC63" s="649">
        <f t="shared" si="176"/>
        <v>0</v>
      </c>
      <c r="DD63" s="648">
        <f t="shared" si="177"/>
        <v>0</v>
      </c>
      <c r="DE63" s="648">
        <f t="shared" si="178"/>
        <v>0</v>
      </c>
      <c r="DF63" s="648">
        <f t="shared" si="179"/>
        <v>0</v>
      </c>
      <c r="DG63" s="649">
        <f t="shared" si="180"/>
        <v>0</v>
      </c>
      <c r="DH63" s="649">
        <f t="shared" si="181"/>
        <v>0</v>
      </c>
      <c r="DI63" s="648">
        <f t="shared" si="182"/>
        <v>0</v>
      </c>
      <c r="DJ63" s="648">
        <f t="shared" si="183"/>
        <v>0</v>
      </c>
      <c r="DK63" s="648">
        <f t="shared" si="184"/>
        <v>0</v>
      </c>
      <c r="DL63" s="648">
        <f t="shared" si="185"/>
        <v>0</v>
      </c>
      <c r="DM63" s="648">
        <f t="shared" si="186"/>
        <v>0</v>
      </c>
      <c r="DN63" s="648">
        <f t="shared" si="187"/>
        <v>0</v>
      </c>
      <c r="DO63" s="648">
        <f t="shared" si="188"/>
        <v>0</v>
      </c>
      <c r="DP63" s="651">
        <f t="shared" si="189"/>
        <v>0</v>
      </c>
      <c r="DQ63" s="951">
        <f>IF($CB63=0,0,$DP63*_xlfn.XLOOKUP($CB63,Premises!$A$10:$F$10,Premises!$A$30:$F$30)/100)</f>
        <v>0</v>
      </c>
      <c r="DR63" s="650">
        <f>IFERROR(SUM($DP63:$DQ63)*IF(INDEX(Premises!$A$42:$F$42,1,MATCH($CB63,Premises!$A$10:$F$10,0))&gt;0,INDEX(Premises!$A$42:$F$42,1,MATCH($CB63,Premises!$A$10:$F$10,0))%,$CN63),0)</f>
        <v>0</v>
      </c>
      <c r="DS63" s="650" cm="1">
        <f t="array" ref="DS63">IF($CB63=0,0,SUM($DP63:$DR63)*_xlfn.XLOOKUP($CB63,Premises!$A$10:$F$10,IF(INDEX(Settings[],MATCH(3001,Settings[ID],0),2)="B",Premises!$A$33:$F$33,Premises!$A$31:$F$31))/100)</f>
        <v>0</v>
      </c>
      <c r="DT63" s="650" cm="1">
        <f t="array" ref="DT63">IF($CB63=0,0,$DP63*_xlfn.XLOOKUP($CB63,Premises!$A$10:$F$10,IF(INDEX(Settings[],MATCH(3002,Settings[ID],0),2)="B",Premises!$A$36:$F$36,Premises!$A$34:$F$34))/100)</f>
        <v>0</v>
      </c>
      <c r="DU63" s="650">
        <f>IF($CB63=0,0,SUM($DP63:$DT63)*_xlfn.XLOOKUP($CB63,Premises!$A$10:$F$10,Premises!$A$37:$F$37)/100)</f>
        <v>0</v>
      </c>
      <c r="DV63" s="954">
        <f t="shared" si="190"/>
        <v>0</v>
      </c>
      <c r="DW63" s="951">
        <f>IF($CC63=0,0,$DV63*_xlfn.XLOOKUP($CC63,Premises!$A$10:$F$10,Premises!$A$30:$F$30)/100)</f>
        <v>0</v>
      </c>
      <c r="DX63" s="650">
        <f>IFERROR(SUM($DV63:$DW63)*IF(INDEX(Premises!$A$42:$F$42,1,MATCH($CC63,Premises!$A$10:$F$10,0))&gt;0,INDEX(Premises!$A$42:$F$42,1,MATCH($CC63,Premises!$A$10:$F$10,0))%,$CP63),0)</f>
        <v>0</v>
      </c>
      <c r="DY63" s="650" cm="1">
        <f t="array" ref="DY63">IF($CC63=0,0,SUM($DV63:$DX63)*_xlfn.XLOOKUP($CC63,Premises!$A$10:$F$10,IF(INDEX(Settings[],MATCH(3001,Settings[ID],0),2)="B",Premises!$A$33:$F$33,Premises!$A$31:$F$31))/100)</f>
        <v>0</v>
      </c>
      <c r="DZ63" s="650" cm="1">
        <f t="array" ref="DZ63">IF($CC63=0,0,$DV63*_xlfn.XLOOKUP($CC63,Premises!$A$10:$F$10,IF(INDEX(Settings[],MATCH(3002,Settings[ID],0),2)="B",Premises!$A$36:$F$36,Premises!$A$34:$F$34))/100)</f>
        <v>0</v>
      </c>
      <c r="EA63" s="650">
        <f>IF($CC63=0,0,SUM($DV63:$DZ63)*_xlfn.XLOOKUP($CC63,Premises!$A$10:$F$10,Premises!$A$37:$F$37)/100)</f>
        <v>0</v>
      </c>
      <c r="EB63" s="651">
        <f t="shared" si="191"/>
        <v>0</v>
      </c>
      <c r="EC63" s="805"/>
      <c r="ED63" s="1104"/>
      <c r="EE63" s="650"/>
      <c r="EF63" s="1110"/>
      <c r="EG63" s="1108"/>
      <c r="EH63" s="1108"/>
      <c r="EI63" s="1108"/>
      <c r="EJ63" s="1108"/>
      <c r="EK63" s="1108"/>
      <c r="EL63" s="1108"/>
      <c r="EM63" s="1110"/>
      <c r="EN63" s="1108"/>
      <c r="EO63" s="1108"/>
      <c r="EP63" s="1108"/>
      <c r="EQ63" s="1108"/>
      <c r="ER63" s="1110"/>
      <c r="ES63" s="1108"/>
      <c r="ET63" s="1108"/>
      <c r="EU63" s="1108"/>
      <c r="EV63" s="1108"/>
      <c r="EW63" s="1108"/>
      <c r="EX63" s="1111"/>
      <c r="EY63" s="2"/>
      <c r="EZ63" s="2"/>
      <c r="FA63" s="2"/>
      <c r="FB63" s="2"/>
      <c r="FC63" s="2"/>
      <c r="FD63" s="2"/>
      <c r="FE63" s="2"/>
      <c r="FF63" s="2"/>
      <c r="FG63" s="2"/>
      <c r="FH63" s="2"/>
      <c r="FI63" s="2"/>
      <c r="FJ63" s="420"/>
      <c r="FK63" s="421"/>
      <c r="FL63" s="422"/>
      <c r="FM63" s="970"/>
    </row>
    <row r="64" spans="1:169" s="13" customFormat="1" ht="12.75" customHeight="1">
      <c r="A64" s="221"/>
      <c r="B64" s="402"/>
      <c r="C64" s="403"/>
      <c r="D64" s="646"/>
      <c r="E64" s="404"/>
      <c r="F64" s="405"/>
      <c r="G64" s="405"/>
      <c r="H64" s="405"/>
      <c r="I64" s="637" cm="1">
        <f t="array" ref="I64">IF($CI64=0,0,IFERROR(INDEX(MHR[],$CI64,MATCH($CA64,MHR!$B$4:$AY$4,0)),0))</f>
        <v>0</v>
      </c>
      <c r="J64" s="634">
        <f t="shared" si="144"/>
        <v>0</v>
      </c>
      <c r="K64" s="406"/>
      <c r="L64" s="407"/>
      <c r="M64" s="871"/>
      <c r="N64" s="407"/>
      <c r="O64" s="405"/>
      <c r="P64" s="645" cm="1">
        <f t="array" ref="P64">IF($K64=0,0,IFERROR(ROUNDUP(IF(ISNUMBER($K64),$K64,INDEX($D$1:$D64,$CD64)*INDEX(Premises!$A$13:$F$13,1,$CH64)/IF(OR($K64="T",$K64="D"),250,IF($K64="W",50,IF($K64="M",12,IF(OR($K64="HJ",$K64="HY"),2,IF(OR($K64="J",$K64="Y"),1,0)))))),0),0))</f>
        <v>0</v>
      </c>
      <c r="Q64" s="637" cm="1">
        <f t="array" ref="Q64">IF($K64=0,0,IFERROR(INDEX(Premises!$A$22:$F$22,1,$CH64)*100/INDEX(Premises!$A$16:$F$16,1,$CH64),0))</f>
        <v>0</v>
      </c>
      <c r="R64" s="634">
        <f t="shared" si="145"/>
        <v>0</v>
      </c>
      <c r="S64" s="408"/>
      <c r="T64" s="409"/>
      <c r="U64" s="637" cm="1">
        <f t="array" ref="U64">IF(COUNTBLANK($S64:$T64),0,
IF(AND(INDEX(MHR[Schichtmodell],$CI64)&lt;&gt;0,INDEX(MHR[Schichtmodell],$CI64)&lt;&gt;INDEX(Premises!$A$20:$F$20,1,$CH64)),ExchangeRate*
IF(OR($T64="M",$T64="U"),IF(INDEX(MHR[Schichtmodell],$CI64)=1,INDEX(LOC[M1S],INDEX(Premises!$A$18:$F$18,1,$CH64+1)),IF(INDEX(MHR[Schichtmodell],$CI64)=2,INDEX(LOC[M2S],INDEX(Premises!$A$18:$F$18,1,$CH64+1),IF(INDEX(MHR[Schichtmodell],$CI64)=3,INDEX(LOC[M3S],INDEX(Premises!$A$18:$F$18,1,$CH64+1)),0)))),
IF(INDEX(MHR[Schichtmodell],$CI64)=1,INDEX(LOC[F1S],INDEX(Premises!$A$18:$F$18,1,$CH64+1)),IF(INDEX(MHR[Schichtmodell],$CI64)=2,INDEX(LOC[F2S],INDEX(Premises!$A$18:$F$18,1,$CH64+1)),IF(INDEX(MHR[Schichtmodell],$CI64)=3,INDEX(LOC[F3S],INDEX(Premises!$A$18:$F$18,1,$CH64+1)),0)))),
IF(OR($T64="M",$T64="U"),INDEX(Premises!$A$21:$F$21,1,$CH64),
IF(OR($T64="F",$T64="S"),INDEX(Premises!$A$22:$F$22,1,$CH64),0)))*100/INDEX(Premises!$A$16:$F$16,1,$CH64))</f>
        <v>0</v>
      </c>
      <c r="V64" s="631">
        <f t="shared" si="146"/>
        <v>0</v>
      </c>
      <c r="W64" s="410"/>
      <c r="X64" s="403"/>
      <c r="Y64" s="411"/>
      <c r="Z64" s="412"/>
      <c r="AA64" s="628">
        <f t="shared" si="147"/>
        <v>0</v>
      </c>
      <c r="AB64" s="410"/>
      <c r="AC64" s="403"/>
      <c r="AD64" s="411"/>
      <c r="AE64" s="413"/>
      <c r="AF64" s="628">
        <f t="shared" si="148"/>
        <v>0</v>
      </c>
      <c r="AG64" s="629" cm="1">
        <f t="array" ref="AG64">IF(($J64+$V64+$AF64)=0,0,INDEX(Premises!$A$30:$F$30,1,$CH64)/100)</f>
        <v>0</v>
      </c>
      <c r="AH64" s="414"/>
      <c r="AI64" s="415"/>
      <c r="AJ64" s="416"/>
      <c r="AK64" s="630">
        <f t="shared" si="149"/>
        <v>0</v>
      </c>
      <c r="AL64" s="631">
        <f t="shared" si="150"/>
        <v>0</v>
      </c>
      <c r="AM64" s="632" cm="1">
        <f t="array" ref="AM64">IF($CI64=0,0,IFERROR(INDEX(MHR[],$CI64,MATCH($CA64,MHR!$B$4:$AY$4,0)+11),0))</f>
        <v>0</v>
      </c>
      <c r="AN64" s="633" cm="1">
        <f t="array" ref="AN64">IF(($J64+$V64)=0,0,IFERROR(IF(INDEX(Premises!$A$41:$F$41,1,$CH64)&lt;&gt;0,INDEX(Premises!$A$41:$F$41,1,$CH64)/100,(IFERROR(($J64/$I64)*$AM64,0)/($V64+$J64+$R64+$AL64))),0))</f>
        <v>0</v>
      </c>
      <c r="AO64" s="634">
        <f t="shared" si="151"/>
        <v>0</v>
      </c>
      <c r="AP64" s="635">
        <f t="shared" si="152"/>
        <v>0</v>
      </c>
      <c r="AQ64" s="410" t="str">
        <f>BOM!$A$22</f>
        <v xml:space="preserve">01-01-03-15 Light Enhancement Foil </v>
      </c>
      <c r="AR64" s="409">
        <f>VLOOKUP($AQ64,BOM,6,0)</f>
        <v>1</v>
      </c>
      <c r="AS64" s="636" cm="1">
        <f t="array" ref="AS64">IF($CJ64=0,0,IFERROR(INDEX(MAT[Einheit],$CJ64,1),0))</f>
        <v>0</v>
      </c>
      <c r="AT64" s="637" cm="1">
        <f t="array" ref="AT64">IF($CJ64=0,0,IFERROR(INDEX(MAT[Preis],$CJ64,1),0))</f>
        <v>0</v>
      </c>
      <c r="AU64" s="638">
        <f t="shared" si="153"/>
        <v>0</v>
      </c>
      <c r="AV64" s="639" cm="1">
        <f t="array" ref="AV64">IF($AU64&lt;=0,0,INDEX(Premises!$A$30:$F$30,1,$CH64)/100)</f>
        <v>0</v>
      </c>
      <c r="AW64" s="409"/>
      <c r="AX64" s="631">
        <f t="shared" si="154"/>
        <v>0</v>
      </c>
      <c r="AY64" s="640" cm="1">
        <f t="array" ref="AY64">IF($AT64&lt;=0,0,IFERROR(IF(INDEX(Premises!$A$42:$F$42,1,$CH64)&lt;&gt;0,INDEX(Premises!$A$42:$F$42,1,$CH64)/100,(INDEX(MAT[],$CJ64,MATCH($CA64,MAT!$B$4:$AE$4,0))/($AR64*$CK64*INDEX(Premises!$A$13:$F$13,1,$CH64))+INDEX(MAT[],$CJ64,MATCH($CA64,MAT!$B$4:$AE$4,0)+7))/$AT64),0))</f>
        <v>0</v>
      </c>
      <c r="AZ64" s="631">
        <f t="shared" si="155"/>
        <v>0</v>
      </c>
      <c r="BA64" s="635">
        <f t="shared" si="156"/>
        <v>0</v>
      </c>
      <c r="BB64" s="635">
        <f t="shared" si="157"/>
        <v>0</v>
      </c>
      <c r="BC64" s="639" cm="1">
        <f t="array" ref="BC64">IF($BB64&lt;=0,0,IF(BC$2=-1,0,INDEX(Premises!$A$32:$F$32,1,$CH64)/100))</f>
        <v>0</v>
      </c>
      <c r="BD64" s="631">
        <f t="shared" si="158"/>
        <v>0</v>
      </c>
      <c r="BE64" s="639" cm="1">
        <f t="array" ref="BE64">IF($BB64&lt;=0,0,IF(BE$2=-1,0,INDEX(Premises!$A$33:$F$33,1,$CH64)/100))</f>
        <v>0</v>
      </c>
      <c r="BF64" s="631">
        <f t="shared" si="159"/>
        <v>0</v>
      </c>
      <c r="BG64" s="639" cm="1">
        <f t="array" ref="BG64">IF($BB64&lt;=0,0,IF(BG$2=-1,0,INDEX(Premises!$A$31:$F$31,1,$CH64)/100))</f>
        <v>0</v>
      </c>
      <c r="BH64" s="631">
        <f t="shared" si="160"/>
        <v>0</v>
      </c>
      <c r="BI64" s="635">
        <f t="shared" si="161"/>
        <v>0</v>
      </c>
      <c r="BJ64" s="639" cm="1">
        <f t="array" ref="BJ64">IF($BB64&lt;=0,0,IF(BJ$2=-1,0,INDEX(Premises!$A$35:$F$35,1,$CH64)/100))</f>
        <v>0</v>
      </c>
      <c r="BK64" s="631">
        <f t="shared" si="162"/>
        <v>0</v>
      </c>
      <c r="BL64" s="639" cm="1">
        <f t="array" ref="BL64">IF($BB64&lt;=0,0,IF(BL$2=-1,0,INDEX(Premises!$A$36:$F$36,1,$CH64)/100))</f>
        <v>0</v>
      </c>
      <c r="BM64" s="631">
        <f t="shared" si="163"/>
        <v>0</v>
      </c>
      <c r="BN64" s="639" cm="1">
        <f t="array" ref="BN64">IF($BB64&lt;=0,0,IF(BN$2=-1,0,INDEX(Premises!$A$34:$F$34,1,$CH64)/100))</f>
        <v>0</v>
      </c>
      <c r="BO64" s="631">
        <f t="shared" si="164"/>
        <v>0</v>
      </c>
      <c r="BP64" s="639" cm="1">
        <f t="array" ref="BP64">IF($BI64=0,0,INDEX(Premises!$A$37:$F$37,1,$CH64)/100)</f>
        <v>0</v>
      </c>
      <c r="BQ64" s="409"/>
      <c r="BR64" s="631">
        <f t="shared" si="165"/>
        <v>0</v>
      </c>
      <c r="BS64" s="641">
        <f t="shared" si="166"/>
        <v>0</v>
      </c>
      <c r="BT64" s="641">
        <f t="shared" si="167"/>
        <v>0</v>
      </c>
      <c r="BU64" s="642">
        <f t="shared" si="168"/>
        <v>0</v>
      </c>
      <c r="BV64" s="417"/>
      <c r="BW64" s="418"/>
      <c r="BX64" s="418"/>
      <c r="BY64" s="419"/>
      <c r="BZ64" s="968"/>
      <c r="CA64" s="280" cm="1">
        <f t="array" ref="CA64">IF($BZ64&gt;0,VALUE(LEFT($BZ64,IF(ISERROR(FIND("-",$BZ64)),LEN($BZ64),FIND("-",$BZ64)-1))),INDEX($CA$1:$CA64,MAX(1,$CD64)))</f>
        <v>1</v>
      </c>
      <c r="CB64" s="280" cm="1">
        <f t="array" ref="CB64">IF($BT64=0,0,IF(LEN($BZ64)-LEN(SUBSTITUTE($BZ64,"-",""))&gt;1,
VALUE(MID($BZ64,FIND("-",$BZ64)+1,FIND("-",$BZ64,FIND("-",$BZ64)+1)-FIND("-",$BZ64)-1)),IF($BZ64&gt;0,0,INDEX($CB$1:$CB64,MAX(1,$CD64)))))</f>
        <v>0</v>
      </c>
      <c r="CC64" s="280" cm="1">
        <f t="array" ref="CC64">IF($BT64=0,0,IF(NOT(ISERROR(FIND("-",BZ64))),
VALUE(RIGHT($BZ64,LEN($BZ64)-IF(LEN($BZ64)-LEN(SUBSTITUTE($BZ64,"-",""))=1,FIND("-",$BZ64),FIND("-",$BZ64,FIND("-",$BZ64)+1)))),
IF($BZ64&gt;0,0,INDEX($CC$1:$CC64,MAX(1,$CD64)))))</f>
        <v>0</v>
      </c>
      <c r="CD64" s="393">
        <f>MATCH(0,$CE$1:$CE64,-1)</f>
        <v>49</v>
      </c>
      <c r="CE64" s="280"/>
      <c r="CF64" s="394"/>
      <c r="CG64" s="393" cm="1">
        <f t="array" ref="CG64">INDEX($CG$1:$CG64,$CD64)</f>
        <v>7</v>
      </c>
      <c r="CH64" s="280">
        <f>MATCH($CA64,Premises!$A$10:$F$10,0)</f>
        <v>4</v>
      </c>
      <c r="CI64" s="280">
        <f>IF(ISBLANK($E64),0,IFERROR(MATCH($E64,MHR[Bezeichnung],0),0))</f>
        <v>0</v>
      </c>
      <c r="CJ64" s="394">
        <f>IF(ISBLANK($AQ64),0,IFERROR(MATCH($AQ64,MAT[Bezeichnung],0),0))</f>
        <v>0</v>
      </c>
      <c r="CK64" s="280" cm="1">
        <f t="array" ref="CK64">INDEX($D$1:$D64,$CD64)</f>
        <v>1</v>
      </c>
      <c r="CL64" s="280"/>
      <c r="CM64" s="395"/>
      <c r="CN64" s="396" cm="1">
        <f t="array" ref="CN64">IF($CB64=0,0,IF($CB64=INDEX($CB$1:$CB64,$CD64),INDEX($CN$1:$CN64,$CD64),$CP64))</f>
        <v>0</v>
      </c>
      <c r="CO64" s="395"/>
      <c r="CP64" s="396" cm="1">
        <f t="array" ref="CP64">IF($CC64=0,0,INDEX($CP$1:$CP64,$CD64))</f>
        <v>0</v>
      </c>
      <c r="CQ64" s="397"/>
      <c r="CR64" s="398"/>
      <c r="CS64" s="398"/>
      <c r="CT64" s="970"/>
      <c r="CU64" s="2"/>
      <c r="CV64" s="647">
        <f t="shared" si="169"/>
        <v>0</v>
      </c>
      <c r="CW64" s="648">
        <f t="shared" si="170"/>
        <v>0</v>
      </c>
      <c r="CX64" s="648">
        <f t="shared" si="171"/>
        <v>0</v>
      </c>
      <c r="CY64" s="648">
        <f t="shared" si="172"/>
        <v>0</v>
      </c>
      <c r="CZ64" s="648">
        <f t="shared" si="173"/>
        <v>0</v>
      </c>
      <c r="DA64" s="648">
        <f t="shared" si="174"/>
        <v>0</v>
      </c>
      <c r="DB64" s="648">
        <f t="shared" si="175"/>
        <v>0</v>
      </c>
      <c r="DC64" s="649">
        <f t="shared" si="176"/>
        <v>0</v>
      </c>
      <c r="DD64" s="648">
        <f t="shared" si="177"/>
        <v>0</v>
      </c>
      <c r="DE64" s="648">
        <f t="shared" si="178"/>
        <v>0</v>
      </c>
      <c r="DF64" s="648">
        <f t="shared" si="179"/>
        <v>0</v>
      </c>
      <c r="DG64" s="649">
        <f t="shared" si="180"/>
        <v>0</v>
      </c>
      <c r="DH64" s="649">
        <f t="shared" si="181"/>
        <v>0</v>
      </c>
      <c r="DI64" s="648">
        <f t="shared" si="182"/>
        <v>0</v>
      </c>
      <c r="DJ64" s="648">
        <f t="shared" si="183"/>
        <v>0</v>
      </c>
      <c r="DK64" s="648">
        <f t="shared" si="184"/>
        <v>0</v>
      </c>
      <c r="DL64" s="648">
        <f t="shared" si="185"/>
        <v>0</v>
      </c>
      <c r="DM64" s="648">
        <f t="shared" si="186"/>
        <v>0</v>
      </c>
      <c r="DN64" s="648">
        <f t="shared" si="187"/>
        <v>0</v>
      </c>
      <c r="DO64" s="648">
        <f t="shared" si="188"/>
        <v>0</v>
      </c>
      <c r="DP64" s="651">
        <f t="shared" si="189"/>
        <v>0</v>
      </c>
      <c r="DQ64" s="951">
        <f>IF($CB64=0,0,$DP64*_xlfn.XLOOKUP($CB64,Premises!$A$10:$F$10,Premises!$A$30:$F$30)/100)</f>
        <v>0</v>
      </c>
      <c r="DR64" s="650">
        <f>IFERROR(SUM($DP64:$DQ64)*IF(INDEX(Premises!$A$42:$F$42,1,MATCH($CB64,Premises!$A$10:$F$10,0))&gt;0,INDEX(Premises!$A$42:$F$42,1,MATCH($CB64,Premises!$A$10:$F$10,0))%,$CN64),0)</f>
        <v>0</v>
      </c>
      <c r="DS64" s="650" cm="1">
        <f t="array" ref="DS64">IF($CB64=0,0,SUM($DP64:$DR64)*_xlfn.XLOOKUP($CB64,Premises!$A$10:$F$10,IF(INDEX(Settings[],MATCH(3001,Settings[ID],0),2)="B",Premises!$A$33:$F$33,Premises!$A$31:$F$31))/100)</f>
        <v>0</v>
      </c>
      <c r="DT64" s="650" cm="1">
        <f t="array" ref="DT64">IF($CB64=0,0,$DP64*_xlfn.XLOOKUP($CB64,Premises!$A$10:$F$10,IF(INDEX(Settings[],MATCH(3002,Settings[ID],0),2)="B",Premises!$A$36:$F$36,Premises!$A$34:$F$34))/100)</f>
        <v>0</v>
      </c>
      <c r="DU64" s="650">
        <f>IF($CB64=0,0,SUM($DP64:$DT64)*_xlfn.XLOOKUP($CB64,Premises!$A$10:$F$10,Premises!$A$37:$F$37)/100)</f>
        <v>0</v>
      </c>
      <c r="DV64" s="954">
        <f t="shared" si="190"/>
        <v>0</v>
      </c>
      <c r="DW64" s="951">
        <f>IF($CC64=0,0,$DV64*_xlfn.XLOOKUP($CC64,Premises!$A$10:$F$10,Premises!$A$30:$F$30)/100)</f>
        <v>0</v>
      </c>
      <c r="DX64" s="650">
        <f>IFERROR(SUM($DV64:$DW64)*IF(INDEX(Premises!$A$42:$F$42,1,MATCH($CC64,Premises!$A$10:$F$10,0))&gt;0,INDEX(Premises!$A$42:$F$42,1,MATCH($CC64,Premises!$A$10:$F$10,0))%,$CP64),0)</f>
        <v>0</v>
      </c>
      <c r="DY64" s="650" cm="1">
        <f t="array" ref="DY64">IF($CC64=0,0,SUM($DV64:$DX64)*_xlfn.XLOOKUP($CC64,Premises!$A$10:$F$10,IF(INDEX(Settings[],MATCH(3001,Settings[ID],0),2)="B",Premises!$A$33:$F$33,Premises!$A$31:$F$31))/100)</f>
        <v>0</v>
      </c>
      <c r="DZ64" s="650" cm="1">
        <f t="array" ref="DZ64">IF($CC64=0,0,$DV64*_xlfn.XLOOKUP($CC64,Premises!$A$10:$F$10,IF(INDEX(Settings[],MATCH(3002,Settings[ID],0),2)="B",Premises!$A$36:$F$36,Premises!$A$34:$F$34))/100)</f>
        <v>0</v>
      </c>
      <c r="EA64" s="650">
        <f>IF($CC64=0,0,SUM($DV64:$DZ64)*_xlfn.XLOOKUP($CC64,Premises!$A$10:$F$10,Premises!$A$37:$F$37)/100)</f>
        <v>0</v>
      </c>
      <c r="EB64" s="651">
        <f t="shared" si="191"/>
        <v>0</v>
      </c>
      <c r="EC64" s="805"/>
      <c r="ED64" s="1104"/>
      <c r="EE64" s="650"/>
      <c r="EF64" s="1110"/>
      <c r="EG64" s="1108"/>
      <c r="EH64" s="1108"/>
      <c r="EI64" s="1108"/>
      <c r="EJ64" s="1108"/>
      <c r="EK64" s="1108"/>
      <c r="EL64" s="1108"/>
      <c r="EM64" s="1110"/>
      <c r="EN64" s="1108"/>
      <c r="EO64" s="1108"/>
      <c r="EP64" s="1108"/>
      <c r="EQ64" s="1108"/>
      <c r="ER64" s="1110"/>
      <c r="ES64" s="1108"/>
      <c r="ET64" s="1108"/>
      <c r="EU64" s="1108"/>
      <c r="EV64" s="1108"/>
      <c r="EW64" s="1108"/>
      <c r="EX64" s="1111"/>
      <c r="EY64" s="2"/>
      <c r="EZ64" s="2"/>
      <c r="FA64" s="2"/>
      <c r="FB64" s="2"/>
      <c r="FC64" s="2"/>
      <c r="FD64" s="2"/>
      <c r="FE64" s="2"/>
      <c r="FF64" s="2"/>
      <c r="FG64" s="2"/>
      <c r="FH64" s="2"/>
      <c r="FI64" s="2"/>
      <c r="FJ64" s="420"/>
      <c r="FK64" s="421"/>
      <c r="FL64" s="422"/>
      <c r="FM64" s="970"/>
    </row>
    <row r="65" spans="1:169" s="13" customFormat="1" ht="12.75" customHeight="1">
      <c r="A65" s="221"/>
      <c r="B65" s="402"/>
      <c r="C65" s="403"/>
      <c r="D65" s="646"/>
      <c r="E65" s="404"/>
      <c r="F65" s="405"/>
      <c r="G65" s="405"/>
      <c r="H65" s="405"/>
      <c r="I65" s="637" cm="1">
        <f t="array" ref="I65">IF($CI65=0,0,IFERROR(INDEX(MHR[],$CI65,MATCH($CA65,MHR!$B$4:$AY$4,0)),0))</f>
        <v>0</v>
      </c>
      <c r="J65" s="634">
        <f t="shared" si="144"/>
        <v>0</v>
      </c>
      <c r="K65" s="406"/>
      <c r="L65" s="407"/>
      <c r="M65" s="871"/>
      <c r="N65" s="407"/>
      <c r="O65" s="405"/>
      <c r="P65" s="645" cm="1">
        <f t="array" ref="P65">IF($K65=0,0,IFERROR(ROUNDUP(IF(ISNUMBER($K65),$K65,INDEX($D$1:$D65,$CD65)*INDEX(Premises!$A$13:$F$13,1,$CH65)/IF(OR($K65="T",$K65="D"),250,IF($K65="W",50,IF($K65="M",12,IF(OR($K65="HJ",$K65="HY"),2,IF(OR($K65="J",$K65="Y"),1,0)))))),0),0))</f>
        <v>0</v>
      </c>
      <c r="Q65" s="637" cm="1">
        <f t="array" ref="Q65">IF($K65=0,0,IFERROR(INDEX(Premises!$A$22:$F$22,1,$CH65)*100/INDEX(Premises!$A$16:$F$16,1,$CH65),0))</f>
        <v>0</v>
      </c>
      <c r="R65" s="634">
        <f t="shared" si="145"/>
        <v>0</v>
      </c>
      <c r="S65" s="408"/>
      <c r="T65" s="409"/>
      <c r="U65" s="637" cm="1">
        <f t="array" ref="U65">IF(COUNTBLANK($S65:$T65),0,
IF(AND(INDEX(MHR[Schichtmodell],$CI65)&lt;&gt;0,INDEX(MHR[Schichtmodell],$CI65)&lt;&gt;INDEX(Premises!$A$20:$F$20,1,$CH65)),ExchangeRate*
IF(OR($T65="M",$T65="U"),IF(INDEX(MHR[Schichtmodell],$CI65)=1,INDEX(LOC[M1S],INDEX(Premises!$A$18:$F$18,1,$CH65+1)),IF(INDEX(MHR[Schichtmodell],$CI65)=2,INDEX(LOC[M2S],INDEX(Premises!$A$18:$F$18,1,$CH65+1),IF(INDEX(MHR[Schichtmodell],$CI65)=3,INDEX(LOC[M3S],INDEX(Premises!$A$18:$F$18,1,$CH65+1)),0)))),
IF(INDEX(MHR[Schichtmodell],$CI65)=1,INDEX(LOC[F1S],INDEX(Premises!$A$18:$F$18,1,$CH65+1)),IF(INDEX(MHR[Schichtmodell],$CI65)=2,INDEX(LOC[F2S],INDEX(Premises!$A$18:$F$18,1,$CH65+1)),IF(INDEX(MHR[Schichtmodell],$CI65)=3,INDEX(LOC[F3S],INDEX(Premises!$A$18:$F$18,1,$CH65+1)),0)))),
IF(OR($T65="M",$T65="U"),INDEX(Premises!$A$21:$F$21,1,$CH65),
IF(OR($T65="F",$T65="S"),INDEX(Premises!$A$22:$F$22,1,$CH65),0)))*100/INDEX(Premises!$A$16:$F$16,1,$CH65))</f>
        <v>0</v>
      </c>
      <c r="V65" s="631">
        <f t="shared" si="146"/>
        <v>0</v>
      </c>
      <c r="W65" s="410"/>
      <c r="X65" s="403"/>
      <c r="Y65" s="411"/>
      <c r="Z65" s="412"/>
      <c r="AA65" s="628">
        <f t="shared" si="147"/>
        <v>0</v>
      </c>
      <c r="AB65" s="410"/>
      <c r="AC65" s="403"/>
      <c r="AD65" s="411"/>
      <c r="AE65" s="413"/>
      <c r="AF65" s="628">
        <f t="shared" si="148"/>
        <v>0</v>
      </c>
      <c r="AG65" s="629" cm="1">
        <f t="array" ref="AG65">IF(($J65+$V65+$AF65)=0,0,INDEX(Premises!$A$30:$F$30,1,$CH65)/100)</f>
        <v>0</v>
      </c>
      <c r="AH65" s="414"/>
      <c r="AI65" s="415"/>
      <c r="AJ65" s="416"/>
      <c r="AK65" s="630">
        <f t="shared" si="149"/>
        <v>0</v>
      </c>
      <c r="AL65" s="631">
        <f t="shared" si="150"/>
        <v>0</v>
      </c>
      <c r="AM65" s="632" cm="1">
        <f t="array" ref="AM65">IF($CI65=0,0,IFERROR(INDEX(MHR[],$CI65,MATCH($CA65,MHR!$B$4:$AY$4,0)+11),0))</f>
        <v>0</v>
      </c>
      <c r="AN65" s="633" cm="1">
        <f t="array" ref="AN65">IF(($J65+$V65)=0,0,IFERROR(IF(INDEX(Premises!$A$41:$F$41,1,$CH65)&lt;&gt;0,INDEX(Premises!$A$41:$F$41,1,$CH65)/100,(IFERROR(($J65/$I65)*$AM65,0)/($V65+$J65+$R65+$AL65))),0))</f>
        <v>0</v>
      </c>
      <c r="AO65" s="634">
        <f t="shared" si="151"/>
        <v>0</v>
      </c>
      <c r="AP65" s="635">
        <f t="shared" si="152"/>
        <v>0</v>
      </c>
      <c r="AQ65" s="410"/>
      <c r="AR65" s="409"/>
      <c r="AS65" s="636" cm="1">
        <f t="array" ref="AS65">IF($CJ65=0,0,IFERROR(INDEX(MAT[Einheit],$CJ65,1),0))</f>
        <v>0</v>
      </c>
      <c r="AT65" s="637" cm="1">
        <f t="array" ref="AT65">IF($CJ65=0,0,IFERROR(INDEX(MAT[Preis],$CJ65,1),0))</f>
        <v>0</v>
      </c>
      <c r="AU65" s="638">
        <f t="shared" si="153"/>
        <v>0</v>
      </c>
      <c r="AV65" s="639" cm="1">
        <f t="array" ref="AV65">IF($AU65&lt;=0,0,INDEX(Premises!$A$30:$F$30,1,$CH65)/100)</f>
        <v>0</v>
      </c>
      <c r="AW65" s="409"/>
      <c r="AX65" s="631">
        <f t="shared" si="154"/>
        <v>0</v>
      </c>
      <c r="AY65" s="640" cm="1">
        <f t="array" ref="AY65">IF($AT65&lt;=0,0,IFERROR(IF(INDEX(Premises!$A$42:$F$42,1,$CH65)&lt;&gt;0,INDEX(Premises!$A$42:$F$42,1,$CH65)/100,(INDEX(MAT[],$CJ65,MATCH($CA65,MAT!$B$4:$AE$4,0))/($AR65*$CK65*INDEX(Premises!$A$13:$F$13,1,$CH65))+INDEX(MAT[],$CJ65,MATCH($CA65,MAT!$B$4:$AE$4,0)+7))/$AT65),0))</f>
        <v>0</v>
      </c>
      <c r="AZ65" s="631">
        <f t="shared" si="155"/>
        <v>0</v>
      </c>
      <c r="BA65" s="635">
        <f t="shared" si="156"/>
        <v>0</v>
      </c>
      <c r="BB65" s="635">
        <f t="shared" si="157"/>
        <v>0</v>
      </c>
      <c r="BC65" s="639" cm="1">
        <f t="array" ref="BC65">IF($BB65&lt;=0,0,IF(BC$2=-1,0,INDEX(Premises!$A$32:$F$32,1,$CH65)/100))</f>
        <v>0</v>
      </c>
      <c r="BD65" s="631">
        <f t="shared" si="158"/>
        <v>0</v>
      </c>
      <c r="BE65" s="639" cm="1">
        <f t="array" ref="BE65">IF($BB65&lt;=0,0,IF(BE$2=-1,0,INDEX(Premises!$A$33:$F$33,1,$CH65)/100))</f>
        <v>0</v>
      </c>
      <c r="BF65" s="631">
        <f t="shared" si="159"/>
        <v>0</v>
      </c>
      <c r="BG65" s="639" cm="1">
        <f t="array" ref="BG65">IF($BB65&lt;=0,0,IF(BG$2=-1,0,INDEX(Premises!$A$31:$F$31,1,$CH65)/100))</f>
        <v>0</v>
      </c>
      <c r="BH65" s="631">
        <f t="shared" si="160"/>
        <v>0</v>
      </c>
      <c r="BI65" s="635">
        <f t="shared" si="161"/>
        <v>0</v>
      </c>
      <c r="BJ65" s="639" cm="1">
        <f t="array" ref="BJ65">IF($BB65&lt;=0,0,IF(BJ$2=-1,0,INDEX(Premises!$A$35:$F$35,1,$CH65)/100))</f>
        <v>0</v>
      </c>
      <c r="BK65" s="631">
        <f t="shared" si="162"/>
        <v>0</v>
      </c>
      <c r="BL65" s="639" cm="1">
        <f t="array" ref="BL65">IF($BB65&lt;=0,0,IF(BL$2=-1,0,INDEX(Premises!$A$36:$F$36,1,$CH65)/100))</f>
        <v>0</v>
      </c>
      <c r="BM65" s="631">
        <f t="shared" si="163"/>
        <v>0</v>
      </c>
      <c r="BN65" s="639" cm="1">
        <f t="array" ref="BN65">IF($BB65&lt;=0,0,IF(BN$2=-1,0,INDEX(Premises!$A$34:$F$34,1,$CH65)/100))</f>
        <v>0</v>
      </c>
      <c r="BO65" s="631">
        <f t="shared" si="164"/>
        <v>0</v>
      </c>
      <c r="BP65" s="639" cm="1">
        <f t="array" ref="BP65">IF($BI65=0,0,INDEX(Premises!$A$37:$F$37,1,$CH65)/100)</f>
        <v>0</v>
      </c>
      <c r="BQ65" s="409"/>
      <c r="BR65" s="631">
        <f t="shared" si="165"/>
        <v>0</v>
      </c>
      <c r="BS65" s="641">
        <f t="shared" si="166"/>
        <v>0</v>
      </c>
      <c r="BT65" s="641">
        <f t="shared" si="167"/>
        <v>0</v>
      </c>
      <c r="BU65" s="642">
        <f t="shared" si="168"/>
        <v>0</v>
      </c>
      <c r="BV65" s="417"/>
      <c r="BW65" s="418"/>
      <c r="BX65" s="418"/>
      <c r="BY65" s="419"/>
      <c r="BZ65" s="968"/>
      <c r="CA65" s="280" cm="1">
        <f t="array" ref="CA65">IF($BZ65&gt;0,VALUE(LEFT($BZ65,IF(ISERROR(FIND("-",$BZ65)),LEN($BZ65),FIND("-",$BZ65)-1))),INDEX($CA$1:$CA65,MAX(1,$CD65)))</f>
        <v>1</v>
      </c>
      <c r="CB65" s="280" cm="1">
        <f t="array" ref="CB65">IF($BT65=0,0,IF(LEN($BZ65)-LEN(SUBSTITUTE($BZ65,"-",""))&gt;1,
VALUE(MID($BZ65,FIND("-",$BZ65)+1,FIND("-",$BZ65,FIND("-",$BZ65)+1)-FIND("-",$BZ65)-1)),IF($BZ65&gt;0,0,INDEX($CB$1:$CB65,MAX(1,$CD65)))))</f>
        <v>0</v>
      </c>
      <c r="CC65" s="280" cm="1">
        <f t="array" ref="CC65">IF($BT65=0,0,IF(NOT(ISERROR(FIND("-",BZ65))),
VALUE(RIGHT($BZ65,LEN($BZ65)-IF(LEN($BZ65)-LEN(SUBSTITUTE($BZ65,"-",""))=1,FIND("-",$BZ65),FIND("-",$BZ65,FIND("-",$BZ65)+1)))),
IF($BZ65&gt;0,0,INDEX($CC$1:$CC65,MAX(1,$CD65)))))</f>
        <v>0</v>
      </c>
      <c r="CD65" s="393">
        <f>MATCH(0,$CE$1:$CE65,-1)</f>
        <v>49</v>
      </c>
      <c r="CE65" s="280"/>
      <c r="CF65" s="394"/>
      <c r="CG65" s="393" cm="1">
        <f t="array" ref="CG65">INDEX($CG$1:$CG65,$CD65)</f>
        <v>7</v>
      </c>
      <c r="CH65" s="280">
        <f>MATCH($CA65,Premises!$A$10:$F$10,0)</f>
        <v>4</v>
      </c>
      <c r="CI65" s="280">
        <f>IF(ISBLANK($E65),0,IFERROR(MATCH($E65,MHR[Bezeichnung],0),0))</f>
        <v>0</v>
      </c>
      <c r="CJ65" s="394">
        <f>IF(ISBLANK($AQ65),0,IFERROR(MATCH($AQ65,MAT[Bezeichnung],0),0))</f>
        <v>0</v>
      </c>
      <c r="CK65" s="280" cm="1">
        <f t="array" ref="CK65">INDEX($D$1:$D65,$CD65)</f>
        <v>1</v>
      </c>
      <c r="CL65" s="280"/>
      <c r="CM65" s="395"/>
      <c r="CN65" s="396" cm="1">
        <f t="array" ref="CN65">IF($CB65=0,0,IF($CB65=INDEX($CB$1:$CB65,$CD65),INDEX($CN$1:$CN65,$CD65),$CP65))</f>
        <v>0</v>
      </c>
      <c r="CO65" s="395"/>
      <c r="CP65" s="396" cm="1">
        <f t="array" ref="CP65">IF($CC65=0,0,INDEX($CP$1:$CP65,$CD65))</f>
        <v>0</v>
      </c>
      <c r="CQ65" s="397"/>
      <c r="CR65" s="398"/>
      <c r="CS65" s="398"/>
      <c r="CT65" s="970"/>
      <c r="CU65" s="2"/>
      <c r="CV65" s="647">
        <f t="shared" si="169"/>
        <v>0</v>
      </c>
      <c r="CW65" s="648">
        <f t="shared" si="170"/>
        <v>0</v>
      </c>
      <c r="CX65" s="648">
        <f t="shared" si="171"/>
        <v>0</v>
      </c>
      <c r="CY65" s="648">
        <f t="shared" si="172"/>
        <v>0</v>
      </c>
      <c r="CZ65" s="648">
        <f t="shared" si="173"/>
        <v>0</v>
      </c>
      <c r="DA65" s="648">
        <f t="shared" si="174"/>
        <v>0</v>
      </c>
      <c r="DB65" s="648">
        <f t="shared" si="175"/>
        <v>0</v>
      </c>
      <c r="DC65" s="649">
        <f t="shared" si="176"/>
        <v>0</v>
      </c>
      <c r="DD65" s="648">
        <f t="shared" si="177"/>
        <v>0</v>
      </c>
      <c r="DE65" s="648">
        <f t="shared" si="178"/>
        <v>0</v>
      </c>
      <c r="DF65" s="648">
        <f t="shared" si="179"/>
        <v>0</v>
      </c>
      <c r="DG65" s="649">
        <f t="shared" si="180"/>
        <v>0</v>
      </c>
      <c r="DH65" s="649">
        <f t="shared" si="181"/>
        <v>0</v>
      </c>
      <c r="DI65" s="648">
        <f t="shared" si="182"/>
        <v>0</v>
      </c>
      <c r="DJ65" s="648">
        <f t="shared" si="183"/>
        <v>0</v>
      </c>
      <c r="DK65" s="648">
        <f t="shared" si="184"/>
        <v>0</v>
      </c>
      <c r="DL65" s="648">
        <f t="shared" si="185"/>
        <v>0</v>
      </c>
      <c r="DM65" s="648">
        <f t="shared" si="186"/>
        <v>0</v>
      </c>
      <c r="DN65" s="648">
        <f t="shared" si="187"/>
        <v>0</v>
      </c>
      <c r="DO65" s="648">
        <f t="shared" si="188"/>
        <v>0</v>
      </c>
      <c r="DP65" s="651">
        <f t="shared" si="189"/>
        <v>0</v>
      </c>
      <c r="DQ65" s="951">
        <f>IF($CB65=0,0,$DP65*_xlfn.XLOOKUP($CB65,Premises!$A$10:$F$10,Premises!$A$30:$F$30)/100)</f>
        <v>0</v>
      </c>
      <c r="DR65" s="650">
        <f>IFERROR(SUM($DP65:$DQ65)*IF(INDEX(Premises!$A$42:$F$42,1,MATCH($CB65,Premises!$A$10:$F$10,0))&gt;0,INDEX(Premises!$A$42:$F$42,1,MATCH($CB65,Premises!$A$10:$F$10,0))%,$CN65),0)</f>
        <v>0</v>
      </c>
      <c r="DS65" s="650" cm="1">
        <f t="array" ref="DS65">IF($CB65=0,0,SUM($DP65:$DR65)*_xlfn.XLOOKUP($CB65,Premises!$A$10:$F$10,IF(INDEX(Settings[],MATCH(3001,Settings[ID],0),2)="B",Premises!$A$33:$F$33,Premises!$A$31:$F$31))/100)</f>
        <v>0</v>
      </c>
      <c r="DT65" s="650" cm="1">
        <f t="array" ref="DT65">IF($CB65=0,0,$DP65*_xlfn.XLOOKUP($CB65,Premises!$A$10:$F$10,IF(INDEX(Settings[],MATCH(3002,Settings[ID],0),2)="B",Premises!$A$36:$F$36,Premises!$A$34:$F$34))/100)</f>
        <v>0</v>
      </c>
      <c r="DU65" s="650">
        <f>IF($CB65=0,0,SUM($DP65:$DT65)*_xlfn.XLOOKUP($CB65,Premises!$A$10:$F$10,Premises!$A$37:$F$37)/100)</f>
        <v>0</v>
      </c>
      <c r="DV65" s="954">
        <f t="shared" si="190"/>
        <v>0</v>
      </c>
      <c r="DW65" s="951">
        <f>IF($CC65=0,0,$DV65*_xlfn.XLOOKUP($CC65,Premises!$A$10:$F$10,Premises!$A$30:$F$30)/100)</f>
        <v>0</v>
      </c>
      <c r="DX65" s="650">
        <f>IFERROR(SUM($DV65:$DW65)*IF(INDEX(Premises!$A$42:$F$42,1,MATCH($CC65,Premises!$A$10:$F$10,0))&gt;0,INDEX(Premises!$A$42:$F$42,1,MATCH($CC65,Premises!$A$10:$F$10,0))%,$CP65),0)</f>
        <v>0</v>
      </c>
      <c r="DY65" s="650" cm="1">
        <f t="array" ref="DY65">IF($CC65=0,0,SUM($DV65:$DX65)*_xlfn.XLOOKUP($CC65,Premises!$A$10:$F$10,IF(INDEX(Settings[],MATCH(3001,Settings[ID],0),2)="B",Premises!$A$33:$F$33,Premises!$A$31:$F$31))/100)</f>
        <v>0</v>
      </c>
      <c r="DZ65" s="650" cm="1">
        <f t="array" ref="DZ65">IF($CC65=0,0,$DV65*_xlfn.XLOOKUP($CC65,Premises!$A$10:$F$10,IF(INDEX(Settings[],MATCH(3002,Settings[ID],0),2)="B",Premises!$A$36:$F$36,Premises!$A$34:$F$34))/100)</f>
        <v>0</v>
      </c>
      <c r="EA65" s="650">
        <f>IF($CC65=0,0,SUM($DV65:$DZ65)*_xlfn.XLOOKUP($CC65,Premises!$A$10:$F$10,Premises!$A$37:$F$37)/100)</f>
        <v>0</v>
      </c>
      <c r="EB65" s="651">
        <f t="shared" si="191"/>
        <v>0</v>
      </c>
      <c r="EC65" s="805"/>
      <c r="ED65" s="1104"/>
      <c r="EE65" s="650"/>
      <c r="EF65" s="1110"/>
      <c r="EG65" s="1108"/>
      <c r="EH65" s="1108"/>
      <c r="EI65" s="1108"/>
      <c r="EJ65" s="1108"/>
      <c r="EK65" s="1108"/>
      <c r="EL65" s="1108"/>
      <c r="EM65" s="1110"/>
      <c r="EN65" s="1108"/>
      <c r="EO65" s="1108"/>
      <c r="EP65" s="1108"/>
      <c r="EQ65" s="1108"/>
      <c r="ER65" s="1110"/>
      <c r="ES65" s="1108"/>
      <c r="ET65" s="1108"/>
      <c r="EU65" s="1108"/>
      <c r="EV65" s="1108"/>
      <c r="EW65" s="1108"/>
      <c r="EX65" s="1111"/>
      <c r="EY65" s="2"/>
      <c r="EZ65" s="2"/>
      <c r="FA65" s="2"/>
      <c r="FB65" s="2"/>
      <c r="FC65" s="2"/>
      <c r="FD65" s="2"/>
      <c r="FE65" s="2"/>
      <c r="FF65" s="2"/>
      <c r="FG65" s="2"/>
      <c r="FH65" s="2"/>
      <c r="FI65" s="2"/>
      <c r="FJ65" s="420"/>
      <c r="FK65" s="421"/>
      <c r="FL65" s="422"/>
      <c r="FM65" s="970"/>
    </row>
    <row r="66" spans="1:169" s="13" customFormat="1" ht="12.75" customHeight="1">
      <c r="A66" s="221"/>
      <c r="B66" s="1329" t="s">
        <v>207</v>
      </c>
      <c r="C66" s="1348">
        <f>MAX(C67:C78)</f>
        <v>7</v>
      </c>
      <c r="D66" s="646"/>
      <c r="E66" s="404" t="s">
        <v>4370</v>
      </c>
      <c r="F66" s="405">
        <f>C66</f>
        <v>7</v>
      </c>
      <c r="G66" s="405" t="s">
        <v>93</v>
      </c>
      <c r="H66" s="405">
        <v>1</v>
      </c>
      <c r="I66" s="637" cm="1">
        <f t="array" ref="I66">IF($CI66=0,0,IFERROR(INDEX(MHR[],$CI66,MATCH($CA66,MHR!$B$4:$AY$4,0)),0))</f>
        <v>8.8825094819712813</v>
      </c>
      <c r="J66" s="634">
        <f t="shared" si="144"/>
        <v>1.7271546214944158E-2</v>
      </c>
      <c r="K66" s="406" t="s">
        <v>49</v>
      </c>
      <c r="L66" s="407">
        <v>30</v>
      </c>
      <c r="M66" s="871">
        <v>1</v>
      </c>
      <c r="N66" s="407"/>
      <c r="O66" s="405"/>
      <c r="P66" s="645" cm="1">
        <f t="array" ref="P66">IF($K66=0,0,IFERROR(ROUNDUP(IF(ISNUMBER($K66),$K66,INDEX($D$1:$D66,$CD66)*INDEX(Premises!$A$13:$F$13,1,$CH66)/IF(OR($K66="T",$K66="D"),250,IF($K66="W",50,IF($K66="M",12,IF(OR($K66="HJ",$K66="HY"),2,IF(OR($K66="J",$K66="Y"),1,0)))))),0),0))</f>
        <v>3334</v>
      </c>
      <c r="Q66" s="637" cm="1">
        <f t="array" ref="Q66">IF($K66=0,0,IFERROR(INDEX(Premises!$A$22:$F$22,1,$CH66)*100/INDEX(Premises!$A$16:$F$16,1,$CH66),0))</f>
        <v>16.925000000000001</v>
      </c>
      <c r="R66" s="634">
        <f t="shared" si="145"/>
        <v>3.8703523518253268E-3</v>
      </c>
      <c r="S66" s="408">
        <v>2</v>
      </c>
      <c r="T66" s="409" t="s">
        <v>275</v>
      </c>
      <c r="U66" s="637" cm="1">
        <f t="array" ref="U66">IF(COUNTBLANK($S66:$T66),0,
IF(AND(INDEX(MHR[Schichtmodell],$CI66)&lt;&gt;0,INDEX(MHR[Schichtmodell],$CI66)&lt;&gt;INDEX(Premises!$A$20:$F$20,1,$CH66)),ExchangeRate*
IF(OR($T66="M",$T66="U"),IF(INDEX(MHR[Schichtmodell],$CI66)=1,INDEX(LOC[M1S],INDEX(Premises!$A$18:$F$18,1,$CH66+1)),IF(INDEX(MHR[Schichtmodell],$CI66)=2,INDEX(LOC[M2S],INDEX(Premises!$A$18:$F$18,1,$CH66+1),IF(INDEX(MHR[Schichtmodell],$CI66)=3,INDEX(LOC[M3S],INDEX(Premises!$A$18:$F$18,1,$CH66+1)),0)))),
IF(INDEX(MHR[Schichtmodell],$CI66)=1,INDEX(LOC[F1S],INDEX(Premises!$A$18:$F$18,1,$CH66+1)),IF(INDEX(MHR[Schichtmodell],$CI66)=2,INDEX(LOC[F2S],INDEX(Premises!$A$18:$F$18,1,$CH66+1)),IF(INDEX(MHR[Schichtmodell],$CI66)=3,INDEX(LOC[F3S],INDEX(Premises!$A$18:$F$18,1,$CH66+1)),0)))),
IF(OR($T66="M",$T66="U"),INDEX(Premises!$A$21:$F$21,1,$CH66),
IF(OR($T66="F",$T66="S"),INDEX(Premises!$A$22:$F$22,1,$CH66),0)))*100/INDEX(Premises!$A$16:$F$16,1,$CH66))</f>
        <v>12.037500000000001</v>
      </c>
      <c r="V66" s="631">
        <f t="shared" si="146"/>
        <v>4.6812500000000007E-2</v>
      </c>
      <c r="W66" s="410"/>
      <c r="X66" s="403"/>
      <c r="Y66" s="411"/>
      <c r="Z66" s="412"/>
      <c r="AA66" s="628">
        <f t="shared" si="147"/>
        <v>0</v>
      </c>
      <c r="AB66" s="410"/>
      <c r="AC66" s="403"/>
      <c r="AD66" s="411"/>
      <c r="AE66" s="413"/>
      <c r="AF66" s="628">
        <f t="shared" si="148"/>
        <v>0</v>
      </c>
      <c r="AG66" s="629" cm="1">
        <f t="array" ref="AG66">IF(($J66+$V66+$AF66)=0,0,INDEX(Premises!$A$30:$F$30,1,$CH66)/100)</f>
        <v>0.01</v>
      </c>
      <c r="AH66" s="414"/>
      <c r="AI66" s="415"/>
      <c r="AJ66" s="416"/>
      <c r="AK66" s="630">
        <f t="shared" si="149"/>
        <v>0</v>
      </c>
      <c r="AL66" s="631">
        <f t="shared" si="150"/>
        <v>6.4084046214944171E-4</v>
      </c>
      <c r="AM66" s="632" cm="1">
        <f t="array" ref="AM66">IF($CI66=0,0,IFERROR(INDEX(MHR[],$CI66,MATCH($CA66,MHR!$B$4:$AY$4,0)+11),0))</f>
        <v>2.0874804079499141</v>
      </c>
      <c r="AN66" s="633" cm="1">
        <f t="array" ref="AN66">IF(($J66+$V66)=0,0,IFERROR(IF(INDEX(Premises!$A$41:$F$41,1,$CH66)&lt;&gt;0,INDEX(Premises!$A$41:$F$41,1,$CH66)/100,(IFERROR(($J66/$I66)*$AM66,0)/($V66+$J66+$R66+$AL66))),0))</f>
        <v>5.9173052526482355E-2</v>
      </c>
      <c r="AO66" s="634">
        <f t="shared" si="151"/>
        <v>4.058989682124833E-3</v>
      </c>
      <c r="AP66" s="635">
        <f t="shared" si="152"/>
        <v>7.2654228711043767E-2</v>
      </c>
      <c r="AQ66" s="410"/>
      <c r="AR66" s="409"/>
      <c r="AS66" s="636" cm="1">
        <f t="array" ref="AS66">IF($CJ66=0,0,IFERROR(INDEX(MAT[Einheit],$CJ66,1),0))</f>
        <v>0</v>
      </c>
      <c r="AT66" s="637" cm="1">
        <f t="array" ref="AT66">IF($CJ66=0,0,IFERROR(INDEX(MAT[Preis],$CJ66,1),0))</f>
        <v>0</v>
      </c>
      <c r="AU66" s="638">
        <f t="shared" si="153"/>
        <v>0</v>
      </c>
      <c r="AV66" s="639" cm="1">
        <f t="array" ref="AV66">IF($AU66&lt;=0,0,INDEX(Premises!$A$30:$F$30,1,$CH66)/100)</f>
        <v>0</v>
      </c>
      <c r="AW66" s="409"/>
      <c r="AX66" s="631">
        <f t="shared" si="154"/>
        <v>0</v>
      </c>
      <c r="AY66" s="640" cm="1">
        <f t="array" ref="AY66">IF($AT66&lt;=0,0,IFERROR(IF(INDEX(Premises!$A$42:$F$42,1,$CH66)&lt;&gt;0,INDEX(Premises!$A$42:$F$42,1,$CH66)/100,(INDEX(MAT[],$CJ66,MATCH($CA66,MAT!$B$4:$AE$4,0))/($AR66*$CK66*INDEX(Premises!$A$13:$F$13,1,$CH66))+INDEX(MAT[],$CJ66,MATCH($CA66,MAT!$B$4:$AE$4,0)+7))/$AT66),0))</f>
        <v>0</v>
      </c>
      <c r="AZ66" s="631">
        <f t="shared" si="155"/>
        <v>0</v>
      </c>
      <c r="BA66" s="635">
        <f t="shared" si="156"/>
        <v>0</v>
      </c>
      <c r="BB66" s="635">
        <f t="shared" si="157"/>
        <v>7.2654228711043767E-2</v>
      </c>
      <c r="BC66" s="639" cm="1">
        <f t="array" ref="BC66">IF($BB66&lt;=0,0,IF(BC$2=-1,0,INDEX(Premises!$A$32:$F$32,1,$CH66)/100))</f>
        <v>0</v>
      </c>
      <c r="BD66" s="631">
        <f t="shared" si="158"/>
        <v>0</v>
      </c>
      <c r="BE66" s="639" cm="1">
        <f t="array" ref="BE66">IF($BB66&lt;=0,0,IF(BE$2=-1,0,INDEX(Premises!$A$33:$F$33,1,$CH66)/100))</f>
        <v>0</v>
      </c>
      <c r="BF66" s="631">
        <f t="shared" si="159"/>
        <v>0</v>
      </c>
      <c r="BG66" s="639" cm="1">
        <f t="array" ref="BG66">IF($BB66&lt;=0,0,IF(BG$2=-1,0,INDEX(Premises!$A$31:$F$31,1,$CH66)/100))</f>
        <v>0.125</v>
      </c>
      <c r="BH66" s="631">
        <f t="shared" si="160"/>
        <v>9.0016735311117899E-3</v>
      </c>
      <c r="BI66" s="635">
        <f t="shared" si="161"/>
        <v>8.1655902242155562E-2</v>
      </c>
      <c r="BJ66" s="639" cm="1">
        <f t="array" ref="BJ66">IF($BB66&lt;=0,0,IF(BJ$2=-1,0,INDEX(Premises!$A$35:$F$35,1,$CH66)/100))</f>
        <v>0</v>
      </c>
      <c r="BK66" s="631">
        <f t="shared" si="162"/>
        <v>0</v>
      </c>
      <c r="BL66" s="639" cm="1">
        <f t="array" ref="BL66">IF($BB66&lt;=0,0,IF(BL$2=-1,0,INDEX(Premises!$A$36:$F$36,1,$CH66)/100))</f>
        <v>0</v>
      </c>
      <c r="BM66" s="631">
        <f t="shared" si="163"/>
        <v>0</v>
      </c>
      <c r="BN66" s="639" cm="1">
        <f t="array" ref="BN66">IF($BB66&lt;=0,0,IF(BN$2=-1,0,INDEX(Premises!$A$34:$F$34,1,$CH66)/100))</f>
        <v>0.06</v>
      </c>
      <c r="BO66" s="631">
        <f t="shared" si="164"/>
        <v>4.3208032949336589E-3</v>
      </c>
      <c r="BP66" s="639" cm="1">
        <f t="array" ref="BP66">IF($BI66=0,0,INDEX(Premises!$A$37:$F$37,1,$CH66)/100)</f>
        <v>0</v>
      </c>
      <c r="BQ66" s="409"/>
      <c r="BR66" s="631">
        <f t="shared" si="165"/>
        <v>0</v>
      </c>
      <c r="BS66" s="641">
        <f t="shared" si="166"/>
        <v>8.5976705537089221E-2</v>
      </c>
      <c r="BT66" s="641">
        <f t="shared" si="167"/>
        <v>8.5976705537089221E-2</v>
      </c>
      <c r="BU66" s="642">
        <f t="shared" si="168"/>
        <v>1</v>
      </c>
      <c r="BV66" s="417"/>
      <c r="BW66" s="418"/>
      <c r="BX66" s="418"/>
      <c r="BY66" s="419"/>
      <c r="BZ66" s="968"/>
      <c r="CA66" s="280" cm="1">
        <f t="array" ref="CA66">IF($BZ66&gt;0,VALUE(LEFT($BZ66,IF(ISERROR(FIND("-",$BZ66)),LEN($BZ66),FIND("-",$BZ66)-1))),INDEX($CA$1:$CA66,MAX(1,$CD66)))</f>
        <v>1</v>
      </c>
      <c r="CB66" s="280" cm="1">
        <f t="array" ref="CB66">IF($BT66=0,0,IF(LEN($BZ66)-LEN(SUBSTITUTE($BZ66,"-",""))&gt;1,
VALUE(MID($BZ66,FIND("-",$BZ66)+1,FIND("-",$BZ66,FIND("-",$BZ66)+1)-FIND("-",$BZ66)-1)),IF($BZ66&gt;0,0,INDEX($CB$1:$CB66,MAX(1,$CD66)))))</f>
        <v>0</v>
      </c>
      <c r="CC66" s="280" cm="1">
        <f t="array" ref="CC66">IF($BT66=0,0,IF(NOT(ISERROR(FIND("-",BZ66))),
VALUE(RIGHT($BZ66,LEN($BZ66)-IF(LEN($BZ66)-LEN(SUBSTITUTE($BZ66,"-",""))=1,FIND("-",$BZ66),FIND("-",$BZ66,FIND("-",$BZ66)+1)))),
IF($BZ66&gt;0,0,INDEX($CC$1:$CC66,MAX(1,$CD66)))))</f>
        <v>0</v>
      </c>
      <c r="CD66" s="393">
        <f>MATCH(0,$CE$1:$CE66,-1)</f>
        <v>49</v>
      </c>
      <c r="CE66" s="280"/>
      <c r="CF66" s="394"/>
      <c r="CG66" s="393" cm="1">
        <f t="array" ref="CG66">INDEX($CG$1:$CG66,$CD66)</f>
        <v>7</v>
      </c>
      <c r="CH66" s="280">
        <f>MATCH($CA66,Premises!$A$10:$F$10,0)</f>
        <v>4</v>
      </c>
      <c r="CI66" s="280">
        <f>IF(ISBLANK($E66),0,IFERROR(MATCH($E66,MHR[Bezeichnung],0),0))</f>
        <v>9</v>
      </c>
      <c r="CJ66" s="394">
        <f>IF(ISBLANK($AQ66),0,IFERROR(MATCH($AQ66,MAT[Bezeichnung],0),0))</f>
        <v>0</v>
      </c>
      <c r="CK66" s="280" cm="1">
        <f t="array" ref="CK66">INDEX($D$1:$D66,$CD66)</f>
        <v>1</v>
      </c>
      <c r="CL66" s="280"/>
      <c r="CM66" s="395"/>
      <c r="CN66" s="396" cm="1">
        <f t="array" ref="CN66">IF($CB66=0,0,IF($CB66=INDEX($CB$1:$CB66,$CD66),INDEX($CN$1:$CN66,$CD66),$CP66))</f>
        <v>0</v>
      </c>
      <c r="CO66" s="395"/>
      <c r="CP66" s="396" cm="1">
        <f t="array" ref="CP66">IF($CC66=0,0,INDEX($CP$1:$CP66,$CD66))</f>
        <v>0</v>
      </c>
      <c r="CQ66" s="397"/>
      <c r="CR66" s="398"/>
      <c r="CS66" s="398"/>
      <c r="CT66" s="970"/>
      <c r="CU66" s="2"/>
      <c r="CV66" s="647">
        <f t="shared" si="169"/>
        <v>1.7271546214944158E-2</v>
      </c>
      <c r="CW66" s="648">
        <f t="shared" si="170"/>
        <v>3.8703523518253268E-3</v>
      </c>
      <c r="CX66" s="648">
        <f t="shared" si="171"/>
        <v>4.6812500000000007E-2</v>
      </c>
      <c r="CY66" s="648">
        <f t="shared" si="172"/>
        <v>0</v>
      </c>
      <c r="CZ66" s="648">
        <f t="shared" si="173"/>
        <v>0</v>
      </c>
      <c r="DA66" s="648">
        <f t="shared" si="174"/>
        <v>6.4084046214944171E-4</v>
      </c>
      <c r="DB66" s="648">
        <f t="shared" si="175"/>
        <v>4.058989682124833E-3</v>
      </c>
      <c r="DC66" s="649">
        <f t="shared" si="176"/>
        <v>7.2654228711043767E-2</v>
      </c>
      <c r="DD66" s="648">
        <f t="shared" si="177"/>
        <v>0</v>
      </c>
      <c r="DE66" s="648">
        <f t="shared" si="178"/>
        <v>0</v>
      </c>
      <c r="DF66" s="648">
        <f t="shared" si="179"/>
        <v>0</v>
      </c>
      <c r="DG66" s="649">
        <f t="shared" si="180"/>
        <v>0</v>
      </c>
      <c r="DH66" s="649">
        <f t="shared" si="181"/>
        <v>7.2654228711043767E-2</v>
      </c>
      <c r="DI66" s="648">
        <f t="shared" si="182"/>
        <v>0</v>
      </c>
      <c r="DJ66" s="648">
        <f t="shared" si="183"/>
        <v>0</v>
      </c>
      <c r="DK66" s="648">
        <f t="shared" si="184"/>
        <v>9.0016735311117899E-3</v>
      </c>
      <c r="DL66" s="648">
        <f t="shared" si="185"/>
        <v>0</v>
      </c>
      <c r="DM66" s="648">
        <f t="shared" si="186"/>
        <v>0</v>
      </c>
      <c r="DN66" s="648">
        <f t="shared" si="187"/>
        <v>4.3208032949336589E-3</v>
      </c>
      <c r="DO66" s="648">
        <f t="shared" si="188"/>
        <v>0</v>
      </c>
      <c r="DP66" s="651">
        <f t="shared" si="189"/>
        <v>8.5976705537089221E-2</v>
      </c>
      <c r="DQ66" s="951">
        <f>IF($CB66=0,0,$DP66*_xlfn.XLOOKUP($CB66,Premises!$A$10:$F$10,Premises!$A$30:$F$30)/100)</f>
        <v>0</v>
      </c>
      <c r="DR66" s="650">
        <f>IFERROR(SUM($DP66:$DQ66)*IF(INDEX(Premises!$A$42:$F$42,1,MATCH($CB66,Premises!$A$10:$F$10,0))&gt;0,INDEX(Premises!$A$42:$F$42,1,MATCH($CB66,Premises!$A$10:$F$10,0))%,$CN66),0)</f>
        <v>0</v>
      </c>
      <c r="DS66" s="650" cm="1">
        <f t="array" ref="DS66">IF($CB66=0,0,SUM($DP66:$DR66)*_xlfn.XLOOKUP($CB66,Premises!$A$10:$F$10,IF(INDEX(Settings[],MATCH(3001,Settings[ID],0),2)="B",Premises!$A$33:$F$33,Premises!$A$31:$F$31))/100)</f>
        <v>0</v>
      </c>
      <c r="DT66" s="650" cm="1">
        <f t="array" ref="DT66">IF($CB66=0,0,$DP66*_xlfn.XLOOKUP($CB66,Premises!$A$10:$F$10,IF(INDEX(Settings[],MATCH(3002,Settings[ID],0),2)="B",Premises!$A$36:$F$36,Premises!$A$34:$F$34))/100)</f>
        <v>0</v>
      </c>
      <c r="DU66" s="650">
        <f>IF($CB66=0,0,SUM($DP66:$DT66)*_xlfn.XLOOKUP($CB66,Premises!$A$10:$F$10,Premises!$A$37:$F$37)/100)</f>
        <v>0</v>
      </c>
      <c r="DV66" s="954">
        <f t="shared" si="190"/>
        <v>8.5976705537089221E-2</v>
      </c>
      <c r="DW66" s="951">
        <f>IF($CC66=0,0,$DV66*_xlfn.XLOOKUP($CC66,Premises!$A$10:$F$10,Premises!$A$30:$F$30)/100)</f>
        <v>0</v>
      </c>
      <c r="DX66" s="650">
        <f>IFERROR(SUM($DV66:$DW66)*IF(INDEX(Premises!$A$42:$F$42,1,MATCH($CC66,Premises!$A$10:$F$10,0))&gt;0,INDEX(Premises!$A$42:$F$42,1,MATCH($CC66,Premises!$A$10:$F$10,0))%,$CP66),0)</f>
        <v>0</v>
      </c>
      <c r="DY66" s="650" cm="1">
        <f t="array" ref="DY66">IF($CC66=0,0,SUM($DV66:$DX66)*_xlfn.XLOOKUP($CC66,Premises!$A$10:$F$10,IF(INDEX(Settings[],MATCH(3001,Settings[ID],0),2)="B",Premises!$A$33:$F$33,Premises!$A$31:$F$31))/100)</f>
        <v>0</v>
      </c>
      <c r="DZ66" s="650" cm="1">
        <f t="array" ref="DZ66">IF($CC66=0,0,$DV66*_xlfn.XLOOKUP($CC66,Premises!$A$10:$F$10,IF(INDEX(Settings[],MATCH(3002,Settings[ID],0),2)="B",Premises!$A$36:$F$36,Premises!$A$34:$F$34))/100)</f>
        <v>0</v>
      </c>
      <c r="EA66" s="650">
        <f>IF($CC66=0,0,SUM($DV66:$DZ66)*_xlfn.XLOOKUP($CC66,Premises!$A$10:$F$10,Premises!$A$37:$F$37)/100)</f>
        <v>0</v>
      </c>
      <c r="EB66" s="651">
        <f t="shared" si="191"/>
        <v>8.5976705537089221E-2</v>
      </c>
      <c r="EC66" s="805"/>
      <c r="ED66" s="1104"/>
      <c r="EE66" s="650"/>
      <c r="EF66" s="1110"/>
      <c r="EG66" s="1108"/>
      <c r="EH66" s="1108"/>
      <c r="EI66" s="1108"/>
      <c r="EJ66" s="1108"/>
      <c r="EK66" s="1108"/>
      <c r="EL66" s="1108"/>
      <c r="EM66" s="1110"/>
      <c r="EN66" s="1108"/>
      <c r="EO66" s="1108"/>
      <c r="EP66" s="1108"/>
      <c r="EQ66" s="1108"/>
      <c r="ER66" s="1110"/>
      <c r="ES66" s="1108"/>
      <c r="ET66" s="1108"/>
      <c r="EU66" s="1108"/>
      <c r="EV66" s="1108"/>
      <c r="EW66" s="1108"/>
      <c r="EX66" s="1111"/>
      <c r="EY66" s="2"/>
      <c r="EZ66" s="2"/>
      <c r="FA66" s="2"/>
      <c r="FB66" s="2"/>
      <c r="FC66" s="2"/>
      <c r="FD66" s="2"/>
      <c r="FE66" s="2"/>
      <c r="FF66" s="2"/>
      <c r="FG66" s="2"/>
      <c r="FH66" s="2"/>
      <c r="FI66" s="2"/>
      <c r="FJ66" s="420"/>
      <c r="FK66" s="421"/>
      <c r="FL66" s="422"/>
      <c r="FM66" s="970"/>
    </row>
    <row r="67" spans="1:169" s="13" customFormat="1" ht="12.75" customHeight="1">
      <c r="A67" s="221"/>
      <c r="B67" s="402" t="s">
        <v>4359</v>
      </c>
      <c r="C67" s="403">
        <v>3</v>
      </c>
      <c r="D67" s="646"/>
      <c r="E67" s="404"/>
      <c r="F67" s="405"/>
      <c r="G67" s="405"/>
      <c r="H67" s="405"/>
      <c r="I67" s="637" cm="1">
        <f t="array" ref="I67">IF($CI67=0,0,IFERROR(INDEX(MHR[],$CI67,MATCH($CA67,MHR!$B$4:$AY$4,0)),0))</f>
        <v>0</v>
      </c>
      <c r="J67" s="634">
        <f t="shared" si="144"/>
        <v>0</v>
      </c>
      <c r="K67" s="406"/>
      <c r="L67" s="407"/>
      <c r="M67" s="871"/>
      <c r="N67" s="407"/>
      <c r="O67" s="405"/>
      <c r="P67" s="645" cm="1">
        <f t="array" ref="P67">IF($K67=0,0,IFERROR(ROUNDUP(IF(ISNUMBER($K67),$K67,INDEX($D$1:$D67,$CD67)*INDEX(Premises!$A$13:$F$13,1,$CH67)/IF(OR($K67="T",$K67="D"),250,IF($K67="W",50,IF($K67="M",12,IF(OR($K67="HJ",$K67="HY"),2,IF(OR($K67="J",$K67="Y"),1,0)))))),0),0))</f>
        <v>0</v>
      </c>
      <c r="Q67" s="637" cm="1">
        <f t="array" ref="Q67">IF($K67=0,0,IFERROR(INDEX(Premises!$A$22:$F$22,1,$CH67)*100/INDEX(Premises!$A$16:$F$16,1,$CH67),0))</f>
        <v>0</v>
      </c>
      <c r="R67" s="634">
        <f t="shared" si="145"/>
        <v>0</v>
      </c>
      <c r="S67" s="408"/>
      <c r="T67" s="409"/>
      <c r="U67" s="637" cm="1">
        <f t="array" ref="U67">IF(COUNTBLANK($S67:$T67),0,
IF(AND(INDEX(MHR[Schichtmodell],$CI67)&lt;&gt;0,INDEX(MHR[Schichtmodell],$CI67)&lt;&gt;INDEX(Premises!$A$20:$F$20,1,$CH67)),ExchangeRate*
IF(OR($T67="M",$T67="U"),IF(INDEX(MHR[Schichtmodell],$CI67)=1,INDEX(LOC[M1S],INDEX(Premises!$A$18:$F$18,1,$CH67+1)),IF(INDEX(MHR[Schichtmodell],$CI67)=2,INDEX(LOC[M2S],INDEX(Premises!$A$18:$F$18,1,$CH67+1),IF(INDEX(MHR[Schichtmodell],$CI67)=3,INDEX(LOC[M3S],INDEX(Premises!$A$18:$F$18,1,$CH67+1)),0)))),
IF(INDEX(MHR[Schichtmodell],$CI67)=1,INDEX(LOC[F1S],INDEX(Premises!$A$18:$F$18,1,$CH67+1)),IF(INDEX(MHR[Schichtmodell],$CI67)=2,INDEX(LOC[F2S],INDEX(Premises!$A$18:$F$18,1,$CH67+1)),IF(INDEX(MHR[Schichtmodell],$CI67)=3,INDEX(LOC[F3S],INDEX(Premises!$A$18:$F$18,1,$CH67+1)),0)))),
IF(OR($T67="M",$T67="U"),INDEX(Premises!$A$21:$F$21,1,$CH67),
IF(OR($T67="F",$T67="S"),INDEX(Premises!$A$22:$F$22,1,$CH67),0)))*100/INDEX(Premises!$A$16:$F$16,1,$CH67))</f>
        <v>0</v>
      </c>
      <c r="V67" s="631">
        <f t="shared" si="146"/>
        <v>0</v>
      </c>
      <c r="W67" s="410"/>
      <c r="X67" s="403"/>
      <c r="Y67" s="411"/>
      <c r="Z67" s="412"/>
      <c r="AA67" s="628">
        <f t="shared" si="147"/>
        <v>0</v>
      </c>
      <c r="AB67" s="410"/>
      <c r="AC67" s="403"/>
      <c r="AD67" s="411"/>
      <c r="AE67" s="413"/>
      <c r="AF67" s="628">
        <f t="shared" si="148"/>
        <v>0</v>
      </c>
      <c r="AG67" s="629" cm="1">
        <f t="array" ref="AG67">IF(($J67+$V67+$AF67)=0,0,INDEX(Premises!$A$30:$F$30,1,$CH67)/100)</f>
        <v>0</v>
      </c>
      <c r="AH67" s="414"/>
      <c r="AI67" s="415"/>
      <c r="AJ67" s="416"/>
      <c r="AK67" s="630">
        <f t="shared" si="149"/>
        <v>0</v>
      </c>
      <c r="AL67" s="631">
        <f t="shared" si="150"/>
        <v>0</v>
      </c>
      <c r="AM67" s="632" cm="1">
        <f t="array" ref="AM67">IF($CI67=0,0,IFERROR(INDEX(MHR[],$CI67,MATCH($CA67,MHR!$B$4:$AY$4,0)+11),0))</f>
        <v>0</v>
      </c>
      <c r="AN67" s="633" cm="1">
        <f t="array" ref="AN67">IF(($J67+$V67)=0,0,IFERROR(IF(INDEX(Premises!$A$41:$F$41,1,$CH67)&lt;&gt;0,INDEX(Premises!$A$41:$F$41,1,$CH67)/100,(IFERROR(($J67/$I67)*$AM67,0)/($V67+$J67+$R67+$AL67))),0))</f>
        <v>0</v>
      </c>
      <c r="AO67" s="634">
        <f t="shared" si="151"/>
        <v>0</v>
      </c>
      <c r="AP67" s="635">
        <f t="shared" si="152"/>
        <v>0</v>
      </c>
      <c r="AQ67" s="410"/>
      <c r="AR67" s="409"/>
      <c r="AS67" s="636" cm="1">
        <f t="array" ref="AS67">IF($CJ67=0,0,IFERROR(INDEX(MAT[Einheit],$CJ67,1),0))</f>
        <v>0</v>
      </c>
      <c r="AT67" s="637" cm="1">
        <f t="array" ref="AT67">IF($CJ67=0,0,IFERROR(INDEX(MAT[Preis],$CJ67,1),0))</f>
        <v>0</v>
      </c>
      <c r="AU67" s="638">
        <f t="shared" si="153"/>
        <v>0</v>
      </c>
      <c r="AV67" s="639" cm="1">
        <f t="array" ref="AV67">IF($AU67&lt;=0,0,INDEX(Premises!$A$30:$F$30,1,$CH67)/100)</f>
        <v>0</v>
      </c>
      <c r="AW67" s="409"/>
      <c r="AX67" s="631">
        <f t="shared" si="154"/>
        <v>0</v>
      </c>
      <c r="AY67" s="640" cm="1">
        <f t="array" ref="AY67">IF($AT67&lt;=0,0,IFERROR(IF(INDEX(Premises!$A$42:$F$42,1,$CH67)&lt;&gt;0,INDEX(Premises!$A$42:$F$42,1,$CH67)/100,(INDEX(MAT[],$CJ67,MATCH($CA67,MAT!$B$4:$AE$4,0))/($AR67*$CK67*INDEX(Premises!$A$13:$F$13,1,$CH67))+INDEX(MAT[],$CJ67,MATCH($CA67,MAT!$B$4:$AE$4,0)+7))/$AT67),0))</f>
        <v>0</v>
      </c>
      <c r="AZ67" s="631">
        <f t="shared" si="155"/>
        <v>0</v>
      </c>
      <c r="BA67" s="635">
        <f t="shared" si="156"/>
        <v>0</v>
      </c>
      <c r="BB67" s="635">
        <f t="shared" si="157"/>
        <v>0</v>
      </c>
      <c r="BC67" s="639" cm="1">
        <f t="array" ref="BC67">IF($BB67&lt;=0,0,IF(BC$2=-1,0,INDEX(Premises!$A$32:$F$32,1,$CH67)/100))</f>
        <v>0</v>
      </c>
      <c r="BD67" s="631">
        <f t="shared" si="158"/>
        <v>0</v>
      </c>
      <c r="BE67" s="639" cm="1">
        <f t="array" ref="BE67">IF($BB67&lt;=0,0,IF(BE$2=-1,0,INDEX(Premises!$A$33:$F$33,1,$CH67)/100))</f>
        <v>0</v>
      </c>
      <c r="BF67" s="631">
        <f t="shared" si="159"/>
        <v>0</v>
      </c>
      <c r="BG67" s="639" cm="1">
        <f t="array" ref="BG67">IF($BB67&lt;=0,0,IF(BG$2=-1,0,INDEX(Premises!$A$31:$F$31,1,$CH67)/100))</f>
        <v>0</v>
      </c>
      <c r="BH67" s="631">
        <f t="shared" si="160"/>
        <v>0</v>
      </c>
      <c r="BI67" s="635">
        <f t="shared" si="161"/>
        <v>0</v>
      </c>
      <c r="BJ67" s="639" cm="1">
        <f t="array" ref="BJ67">IF($BB67&lt;=0,0,IF(BJ$2=-1,0,INDEX(Premises!$A$35:$F$35,1,$CH67)/100))</f>
        <v>0</v>
      </c>
      <c r="BK67" s="631">
        <f t="shared" si="162"/>
        <v>0</v>
      </c>
      <c r="BL67" s="639" cm="1">
        <f t="array" ref="BL67">IF($BB67&lt;=0,0,IF(BL$2=-1,0,INDEX(Premises!$A$36:$F$36,1,$CH67)/100))</f>
        <v>0</v>
      </c>
      <c r="BM67" s="631">
        <f t="shared" si="163"/>
        <v>0</v>
      </c>
      <c r="BN67" s="639" cm="1">
        <f t="array" ref="BN67">IF($BB67&lt;=0,0,IF(BN$2=-1,0,INDEX(Premises!$A$34:$F$34,1,$CH67)/100))</f>
        <v>0</v>
      </c>
      <c r="BO67" s="631">
        <f t="shared" si="164"/>
        <v>0</v>
      </c>
      <c r="BP67" s="639" cm="1">
        <f t="array" ref="BP67">IF($BI67=0,0,INDEX(Premises!$A$37:$F$37,1,$CH67)/100)</f>
        <v>0</v>
      </c>
      <c r="BQ67" s="409"/>
      <c r="BR67" s="631">
        <f t="shared" si="165"/>
        <v>0</v>
      </c>
      <c r="BS67" s="641">
        <f t="shared" si="166"/>
        <v>0</v>
      </c>
      <c r="BT67" s="641">
        <f t="shared" si="167"/>
        <v>0</v>
      </c>
      <c r="BU67" s="642">
        <f t="shared" si="168"/>
        <v>0</v>
      </c>
      <c r="BV67" s="417"/>
      <c r="BW67" s="418"/>
      <c r="BX67" s="418"/>
      <c r="BY67" s="419"/>
      <c r="BZ67" s="968"/>
      <c r="CA67" s="280" cm="1">
        <f t="array" ref="CA67">IF($BZ67&gt;0,VALUE(LEFT($BZ67,IF(ISERROR(FIND("-",$BZ67)),LEN($BZ67),FIND("-",$BZ67)-1))),INDEX($CA$1:$CA67,MAX(1,$CD67)))</f>
        <v>1</v>
      </c>
      <c r="CB67" s="280" cm="1">
        <f t="array" ref="CB67">IF($BT67=0,0,IF(LEN($BZ67)-LEN(SUBSTITUTE($BZ67,"-",""))&gt;1,
VALUE(MID($BZ67,FIND("-",$BZ67)+1,FIND("-",$BZ67,FIND("-",$BZ67)+1)-FIND("-",$BZ67)-1)),IF($BZ67&gt;0,0,INDEX($CB$1:$CB67,MAX(1,$CD67)))))</f>
        <v>0</v>
      </c>
      <c r="CC67" s="280" cm="1">
        <f t="array" ref="CC67">IF($BT67=0,0,IF(NOT(ISERROR(FIND("-",BZ67))),
VALUE(RIGHT($BZ67,LEN($BZ67)-IF(LEN($BZ67)-LEN(SUBSTITUTE($BZ67,"-",""))=1,FIND("-",$BZ67),FIND("-",$BZ67,FIND("-",$BZ67)+1)))),
IF($BZ67&gt;0,0,INDEX($CC$1:$CC67,MAX(1,$CD67)))))</f>
        <v>0</v>
      </c>
      <c r="CD67" s="393">
        <f>MATCH(0,$CE$1:$CE67,-1)</f>
        <v>49</v>
      </c>
      <c r="CE67" s="280"/>
      <c r="CF67" s="394"/>
      <c r="CG67" s="393" cm="1">
        <f t="array" ref="CG67">INDEX($CG$1:$CG67,$CD67)</f>
        <v>7</v>
      </c>
      <c r="CH67" s="280">
        <f>MATCH($CA67,Premises!$A$10:$F$10,0)</f>
        <v>4</v>
      </c>
      <c r="CI67" s="280">
        <f>IF(ISBLANK($E67),0,IFERROR(MATCH($E67,MHR[Bezeichnung],0),0))</f>
        <v>0</v>
      </c>
      <c r="CJ67" s="394">
        <f>IF(ISBLANK($AQ67),0,IFERROR(MATCH($AQ67,MAT[Bezeichnung],0),0))</f>
        <v>0</v>
      </c>
      <c r="CK67" s="280" cm="1">
        <f t="array" ref="CK67">INDEX($D$1:$D67,$CD67)</f>
        <v>1</v>
      </c>
      <c r="CL67" s="280"/>
      <c r="CM67" s="395"/>
      <c r="CN67" s="396" cm="1">
        <f t="array" ref="CN67">IF($CB67=0,0,IF($CB67=INDEX($CB$1:$CB67,$CD67),INDEX($CN$1:$CN67,$CD67),$CP67))</f>
        <v>0</v>
      </c>
      <c r="CO67" s="395"/>
      <c r="CP67" s="396" cm="1">
        <f t="array" ref="CP67">IF($CC67=0,0,INDEX($CP$1:$CP67,$CD67))</f>
        <v>0</v>
      </c>
      <c r="CQ67" s="397"/>
      <c r="CR67" s="398"/>
      <c r="CS67" s="398"/>
      <c r="CT67" s="970"/>
      <c r="CU67" s="2"/>
      <c r="CV67" s="647">
        <f t="shared" si="169"/>
        <v>0</v>
      </c>
      <c r="CW67" s="648">
        <f t="shared" si="170"/>
        <v>0</v>
      </c>
      <c r="CX67" s="648">
        <f t="shared" si="171"/>
        <v>0</v>
      </c>
      <c r="CY67" s="648">
        <f t="shared" si="172"/>
        <v>0</v>
      </c>
      <c r="CZ67" s="648">
        <f t="shared" si="173"/>
        <v>0</v>
      </c>
      <c r="DA67" s="648">
        <f t="shared" si="174"/>
        <v>0</v>
      </c>
      <c r="DB67" s="648">
        <f t="shared" si="175"/>
        <v>0</v>
      </c>
      <c r="DC67" s="649">
        <f t="shared" si="176"/>
        <v>0</v>
      </c>
      <c r="DD67" s="648">
        <f t="shared" si="177"/>
        <v>0</v>
      </c>
      <c r="DE67" s="648">
        <f t="shared" si="178"/>
        <v>0</v>
      </c>
      <c r="DF67" s="648">
        <f t="shared" si="179"/>
        <v>0</v>
      </c>
      <c r="DG67" s="649">
        <f t="shared" si="180"/>
        <v>0</v>
      </c>
      <c r="DH67" s="649">
        <f t="shared" si="181"/>
        <v>0</v>
      </c>
      <c r="DI67" s="648">
        <f t="shared" si="182"/>
        <v>0</v>
      </c>
      <c r="DJ67" s="648">
        <f t="shared" si="183"/>
        <v>0</v>
      </c>
      <c r="DK67" s="648">
        <f t="shared" si="184"/>
        <v>0</v>
      </c>
      <c r="DL67" s="648">
        <f t="shared" si="185"/>
        <v>0</v>
      </c>
      <c r="DM67" s="648">
        <f t="shared" si="186"/>
        <v>0</v>
      </c>
      <c r="DN67" s="648">
        <f t="shared" si="187"/>
        <v>0</v>
      </c>
      <c r="DO67" s="648">
        <f t="shared" si="188"/>
        <v>0</v>
      </c>
      <c r="DP67" s="651">
        <f t="shared" si="189"/>
        <v>0</v>
      </c>
      <c r="DQ67" s="951">
        <f>IF($CB67=0,0,$DP67*_xlfn.XLOOKUP($CB67,Premises!$A$10:$F$10,Premises!$A$30:$F$30)/100)</f>
        <v>0</v>
      </c>
      <c r="DR67" s="650">
        <f>IFERROR(SUM($DP67:$DQ67)*IF(INDEX(Premises!$A$42:$F$42,1,MATCH($CB67,Premises!$A$10:$F$10,0))&gt;0,INDEX(Premises!$A$42:$F$42,1,MATCH($CB67,Premises!$A$10:$F$10,0))%,$CN67),0)</f>
        <v>0</v>
      </c>
      <c r="DS67" s="650" cm="1">
        <f t="array" ref="DS67">IF($CB67=0,0,SUM($DP67:$DR67)*_xlfn.XLOOKUP($CB67,Premises!$A$10:$F$10,IF(INDEX(Settings[],MATCH(3001,Settings[ID],0),2)="B",Premises!$A$33:$F$33,Premises!$A$31:$F$31))/100)</f>
        <v>0</v>
      </c>
      <c r="DT67" s="650" cm="1">
        <f t="array" ref="DT67">IF($CB67=0,0,$DP67*_xlfn.XLOOKUP($CB67,Premises!$A$10:$F$10,IF(INDEX(Settings[],MATCH(3002,Settings[ID],0),2)="B",Premises!$A$36:$F$36,Premises!$A$34:$F$34))/100)</f>
        <v>0</v>
      </c>
      <c r="DU67" s="650">
        <f>IF($CB67=0,0,SUM($DP67:$DT67)*_xlfn.XLOOKUP($CB67,Premises!$A$10:$F$10,Premises!$A$37:$F$37)/100)</f>
        <v>0</v>
      </c>
      <c r="DV67" s="954">
        <f t="shared" si="190"/>
        <v>0</v>
      </c>
      <c r="DW67" s="951">
        <f>IF($CC67=0,0,$DV67*_xlfn.XLOOKUP($CC67,Premises!$A$10:$F$10,Premises!$A$30:$F$30)/100)</f>
        <v>0</v>
      </c>
      <c r="DX67" s="650">
        <f>IFERROR(SUM($DV67:$DW67)*IF(INDEX(Premises!$A$42:$F$42,1,MATCH($CC67,Premises!$A$10:$F$10,0))&gt;0,INDEX(Premises!$A$42:$F$42,1,MATCH($CC67,Premises!$A$10:$F$10,0))%,$CP67),0)</f>
        <v>0</v>
      </c>
      <c r="DY67" s="650" cm="1">
        <f t="array" ref="DY67">IF($CC67=0,0,SUM($DV67:$DX67)*_xlfn.XLOOKUP($CC67,Premises!$A$10:$F$10,IF(INDEX(Settings[],MATCH(3001,Settings[ID],0),2)="B",Premises!$A$33:$F$33,Premises!$A$31:$F$31))/100)</f>
        <v>0</v>
      </c>
      <c r="DZ67" s="650" cm="1">
        <f t="array" ref="DZ67">IF($CC67=0,0,$DV67*_xlfn.XLOOKUP($CC67,Premises!$A$10:$F$10,IF(INDEX(Settings[],MATCH(3002,Settings[ID],0),2)="B",Premises!$A$36:$F$36,Premises!$A$34:$F$34))/100)</f>
        <v>0</v>
      </c>
      <c r="EA67" s="650">
        <f>IF($CC67=0,0,SUM($DV67:$DZ67)*_xlfn.XLOOKUP($CC67,Premises!$A$10:$F$10,Premises!$A$37:$F$37)/100)</f>
        <v>0</v>
      </c>
      <c r="EB67" s="651">
        <f t="shared" si="191"/>
        <v>0</v>
      </c>
      <c r="EC67" s="805"/>
      <c r="ED67" s="1104"/>
      <c r="EE67" s="650"/>
      <c r="EF67" s="1110"/>
      <c r="EG67" s="1108"/>
      <c r="EH67" s="1108"/>
      <c r="EI67" s="1108"/>
      <c r="EJ67" s="1108"/>
      <c r="EK67" s="1108"/>
      <c r="EL67" s="1108"/>
      <c r="EM67" s="1110"/>
      <c r="EN67" s="1108"/>
      <c r="EO67" s="1108"/>
      <c r="EP67" s="1108"/>
      <c r="EQ67" s="1108"/>
      <c r="ER67" s="1110"/>
      <c r="ES67" s="1108"/>
      <c r="ET67" s="1108"/>
      <c r="EU67" s="1108"/>
      <c r="EV67" s="1108"/>
      <c r="EW67" s="1108"/>
      <c r="EX67" s="1111"/>
      <c r="EY67" s="2"/>
      <c r="EZ67" s="2"/>
      <c r="FA67" s="2"/>
      <c r="FB67" s="2"/>
      <c r="FC67" s="2"/>
      <c r="FD67" s="2"/>
      <c r="FE67" s="2"/>
      <c r="FF67" s="2"/>
      <c r="FG67" s="2"/>
      <c r="FH67" s="2"/>
      <c r="FI67" s="2"/>
      <c r="FJ67" s="420"/>
      <c r="FK67" s="421"/>
      <c r="FL67" s="422"/>
      <c r="FM67" s="970"/>
    </row>
    <row r="68" spans="1:169" s="13" customFormat="1" ht="12.75" customHeight="1">
      <c r="A68" s="221"/>
      <c r="B68" s="402" t="s">
        <v>4372</v>
      </c>
      <c r="C68" s="403">
        <v>5</v>
      </c>
      <c r="D68" s="646"/>
      <c r="E68" s="404"/>
      <c r="F68" s="405"/>
      <c r="G68" s="405"/>
      <c r="H68" s="405"/>
      <c r="I68" s="637" cm="1">
        <f t="array" ref="I68">IF($CI68=0,0,IFERROR(INDEX(MHR[],$CI68,MATCH($CA68,MHR!$B$4:$AY$4,0)),0))</f>
        <v>0</v>
      </c>
      <c r="J68" s="634">
        <f t="shared" ref="J68:J79" si="192">IF(COUNTBLANK($E68:$H68),0,IFERROR($F68/$H68/IF($G68="s",3600,IF($G68="min",60,IF($G68="h",1,0)))*I68,0))</f>
        <v>0</v>
      </c>
      <c r="K68" s="406"/>
      <c r="L68" s="407"/>
      <c r="M68" s="871"/>
      <c r="N68" s="407"/>
      <c r="O68" s="405"/>
      <c r="P68" s="645" cm="1">
        <f t="array" ref="P68">IF($K68=0,0,IFERROR(ROUNDUP(IF(ISNUMBER($K68),$K68,INDEX($D$1:$D68,$CD68)*INDEX(Premises!$A$13:$F$13,1,$CH68)/IF(OR($K68="T",$K68="D"),250,IF($K68="W",50,IF($K68="M",12,IF(OR($K68="HJ",$K68="HY"),2,IF(OR($K68="J",$K68="Y"),1,0)))))),0),0))</f>
        <v>0</v>
      </c>
      <c r="Q68" s="637" cm="1">
        <f t="array" ref="Q68">IF($K68=0,0,IFERROR(INDEX(Premises!$A$22:$F$22,1,$CH68)*100/INDEX(Premises!$A$16:$F$16,1,$CH68),0))</f>
        <v>0</v>
      </c>
      <c r="R68" s="634">
        <f t="shared" ref="R68:R79" si="193">IF($P68=0,0,IFERROR(($L68/60*($I68+$Q68*$M68)+($N68/60*($Q68*$O68)))/$P68,0))</f>
        <v>0</v>
      </c>
      <c r="S68" s="408"/>
      <c r="T68" s="409"/>
      <c r="U68" s="637" cm="1">
        <f t="array" ref="U68">IF(COUNTBLANK($S68:$T68),0,
IF(AND(INDEX(MHR[Schichtmodell],$CI68)&lt;&gt;0,INDEX(MHR[Schichtmodell],$CI68)&lt;&gt;INDEX(Premises!$A$20:$F$20,1,$CH68)),ExchangeRate*
IF(OR($T68="M",$T68="U"),IF(INDEX(MHR[Schichtmodell],$CI68)=1,INDEX(LOC[M1S],INDEX(Premises!$A$18:$F$18,1,$CH68+1)),IF(INDEX(MHR[Schichtmodell],$CI68)=2,INDEX(LOC[M2S],INDEX(Premises!$A$18:$F$18,1,$CH68+1),IF(INDEX(MHR[Schichtmodell],$CI68)=3,INDEX(LOC[M3S],INDEX(Premises!$A$18:$F$18,1,$CH68+1)),0)))),
IF(INDEX(MHR[Schichtmodell],$CI68)=1,INDEX(LOC[F1S],INDEX(Premises!$A$18:$F$18,1,$CH68+1)),IF(INDEX(MHR[Schichtmodell],$CI68)=2,INDEX(LOC[F2S],INDEX(Premises!$A$18:$F$18,1,$CH68+1)),IF(INDEX(MHR[Schichtmodell],$CI68)=3,INDEX(LOC[F3S],INDEX(Premises!$A$18:$F$18,1,$CH68+1)),0)))),
IF(OR($T68="M",$T68="U"),INDEX(Premises!$A$21:$F$21,1,$CH68),
IF(OR($T68="F",$T68="S"),INDEX(Premises!$A$22:$F$22,1,$CH68),0)))*100/INDEX(Premises!$A$16:$F$16,1,$CH68))</f>
        <v>0</v>
      </c>
      <c r="V68" s="631">
        <f t="shared" ref="V68:V79" si="194">IF($U68=0,0,IFERROR($F68/$H68/IF($G68="s",3600,IF($G68="min",60,IF($G68="h",1,0)))*$S68*$U68,0))</f>
        <v>0</v>
      </c>
      <c r="W68" s="410"/>
      <c r="X68" s="403"/>
      <c r="Y68" s="411"/>
      <c r="Z68" s="412"/>
      <c r="AA68" s="628">
        <f t="shared" ref="AA68:AA79" si="195">IFERROR($X68*$Z68/$Y68/MAX(1,$H68),0)</f>
        <v>0</v>
      </c>
      <c r="AB68" s="410"/>
      <c r="AC68" s="403"/>
      <c r="AD68" s="411"/>
      <c r="AE68" s="413"/>
      <c r="AF68" s="628">
        <f t="shared" ref="AF68:AF79" si="196">IFERROR($AC68*$AE68/$AD68,0)</f>
        <v>0</v>
      </c>
      <c r="AG68" s="629" cm="1">
        <f t="array" ref="AG68">IF(($J68+$V68+$AF68)=0,0,INDEX(Premises!$A$30:$F$30,1,$CH68)/100)</f>
        <v>0</v>
      </c>
      <c r="AH68" s="414"/>
      <c r="AI68" s="415"/>
      <c r="AJ68" s="416"/>
      <c r="AK68" s="630">
        <f t="shared" ref="AK68:AK79" si="197">IF(COUNTBLANK($AH68:$AI68),0,$AH68*$AI68*$AG68)</f>
        <v>0</v>
      </c>
      <c r="AL68" s="631">
        <f t="shared" ref="AL68:AL79" si="198">($AK68+$AJ68*$AG68*(1-$AH68)+($J68+$V68+$AF68)*$AG68*(1-$AH68))</f>
        <v>0</v>
      </c>
      <c r="AM68" s="632" cm="1">
        <f t="array" ref="AM68">IF($CI68=0,0,IFERROR(INDEX(MHR[],$CI68,MATCH($CA68,MHR!$B$4:$AY$4,0)+11),0))</f>
        <v>0</v>
      </c>
      <c r="AN68" s="633" cm="1">
        <f t="array" ref="AN68">IF(($J68+$V68)=0,0,IFERROR(IF(INDEX(Premises!$A$41:$F$41,1,$CH68)&lt;&gt;0,INDEX(Premises!$A$41:$F$41,1,$CH68)/100,(IFERROR(($J68/$I68)*$AM68,0)/($V68+$J68+$R68+$AL68))),0))</f>
        <v>0</v>
      </c>
      <c r="AO68" s="634">
        <f t="shared" ref="AO68:AO79" si="199">IF(($J68+$V68)=0,0,IF(IFERROR(($J68+$R68+$V68+$AL68)*$AN68,0)&lt;&gt;IFERROR(($J68/$I68)*$AM68,0),($J68+$R68+$V68+$AL68)*$AN68,IFERROR(($J68/$I68)*$AM68,0)))</f>
        <v>0</v>
      </c>
      <c r="AP68" s="635">
        <f t="shared" ref="AP68:AP79" si="200">$V68+$J68+$R68+$AA68+$AF68+$AL68+$AO68</f>
        <v>0</v>
      </c>
      <c r="AQ68" s="410"/>
      <c r="AR68" s="409"/>
      <c r="AS68" s="636" cm="1">
        <f t="array" ref="AS68">IF($CJ68=0,0,IFERROR(INDEX(MAT[Einheit],$CJ68,1),0))</f>
        <v>0</v>
      </c>
      <c r="AT68" s="637" cm="1">
        <f t="array" ref="AT68">IF($CJ68=0,0,IFERROR(INDEX(MAT[Preis],$CJ68,1),0))</f>
        <v>0</v>
      </c>
      <c r="AU68" s="638">
        <f t="shared" ref="AU68:AU79" si="201">$AR68*$AT68</f>
        <v>0</v>
      </c>
      <c r="AV68" s="639" cm="1">
        <f t="array" ref="AV68">IF($AU68&lt;=0,0,INDEX(Premises!$A$30:$F$30,1,$CH68)/100)</f>
        <v>0</v>
      </c>
      <c r="AW68" s="409"/>
      <c r="AX68" s="631">
        <f t="shared" ref="AX68:AX79" si="202">IF($AV68=0,0,($AU68+$AW68)*$AV68)</f>
        <v>0</v>
      </c>
      <c r="AY68" s="640" cm="1">
        <f t="array" ref="AY68">IF($AT68&lt;=0,0,IFERROR(IF(INDEX(Premises!$A$42:$F$42,1,$CH68)&lt;&gt;0,INDEX(Premises!$A$42:$F$42,1,$CH68)/100,(INDEX(MAT[],$CJ68,MATCH($CA68,MAT!$B$4:$AE$4,0))/($AR68*$CK68*INDEX(Premises!$A$13:$F$13,1,$CH68))+INDEX(MAT[],$CJ68,MATCH($CA68,MAT!$B$4:$AE$4,0)+7))/$AT68),0))</f>
        <v>0</v>
      </c>
      <c r="AZ68" s="631">
        <f t="shared" ref="AZ68:AZ79" si="203">IF($AY68=0,0,($AU68+$AX68)*$AY68)</f>
        <v>0</v>
      </c>
      <c r="BA68" s="635">
        <f t="shared" ref="BA68:BA79" si="204">$AU68+$AX68+$AZ68</f>
        <v>0</v>
      </c>
      <c r="BB68" s="635">
        <f t="shared" ref="BB68:BB79" si="205">$AP68+$BA68</f>
        <v>0</v>
      </c>
      <c r="BC68" s="639" cm="1">
        <f t="array" ref="BC68">IF($BB68&lt;=0,0,IF(BC$2=-1,0,INDEX(Premises!$A$32:$F$32,1,$CH68)/100))</f>
        <v>0</v>
      </c>
      <c r="BD68" s="631">
        <f t="shared" ref="BD68:BD79" si="206">IF($AP68&lt;=0,0,($AP68-$AA68-$AL68)*$BC68)</f>
        <v>0</v>
      </c>
      <c r="BE68" s="639" cm="1">
        <f t="array" ref="BE68">IF($BB68&lt;=0,0,IF(BE$2=-1,0,INDEX(Premises!$A$33:$F$33,1,$CH68)/100))</f>
        <v>0</v>
      </c>
      <c r="BF68" s="631">
        <f t="shared" ref="BF68:BF79" si="207">IF($BA68&lt;=0,0,$BA68*$BE68)</f>
        <v>0</v>
      </c>
      <c r="BG68" s="639" cm="1">
        <f t="array" ref="BG68">IF($BB68&lt;=0,0,IF(BG$2=-1,0,INDEX(Premises!$A$31:$F$31,1,$CH68)/100))</f>
        <v>0</v>
      </c>
      <c r="BH68" s="631">
        <f t="shared" ref="BH68:BH79" si="208">(($AP68-$AA68-$AL68)+$BA68)*$BG68</f>
        <v>0</v>
      </c>
      <c r="BI68" s="635">
        <f t="shared" ref="BI68:BI79" si="209">$BB68+$BD68+$BF68+$BH68</f>
        <v>0</v>
      </c>
      <c r="BJ68" s="639" cm="1">
        <f t="array" ref="BJ68">IF($BB68&lt;=0,0,IF(BJ$2=-1,0,INDEX(Premises!$A$35:$F$35,1,$CH68)/100))</f>
        <v>0</v>
      </c>
      <c r="BK68" s="631">
        <f t="shared" ref="BK68:BK79" si="210">IF($AP68&lt;=0,0,($AP68-$AL68-$AA68)*$BJ68)</f>
        <v>0</v>
      </c>
      <c r="BL68" s="639" cm="1">
        <f t="array" ref="BL68">IF($BB68&lt;=0,0,IF(BL$2=-1,0,INDEX(Premises!$A$36:$F$36,1,$CH68)/100))</f>
        <v>0</v>
      </c>
      <c r="BM68" s="631">
        <f t="shared" ref="BM68:BM79" si="211">IF($AU68&lt;=0,0,($AR68*$AT68)*$BL68)</f>
        <v>0</v>
      </c>
      <c r="BN68" s="639" cm="1">
        <f t="array" ref="BN68">IF($BB68&lt;=0,0,IF(BN$2=-1,0,INDEX(Premises!$A$34:$F$34,1,$CH68)/100))</f>
        <v>0</v>
      </c>
      <c r="BO68" s="631">
        <f t="shared" ref="BO68:BO79" si="212">(($AP68-$AL68-$AA68)+($AR68*$AT68))*$BN68</f>
        <v>0</v>
      </c>
      <c r="BP68" s="639" cm="1">
        <f t="array" ref="BP68">IF($BI68=0,0,INDEX(Premises!$A$37:$F$37,1,$CH68)/100)</f>
        <v>0</v>
      </c>
      <c r="BQ68" s="409"/>
      <c r="BR68" s="631">
        <f t="shared" ref="BR68:BR79" si="213">($BI68+$BK68+$BM68+$BO68)*$BP68+$BQ68</f>
        <v>0</v>
      </c>
      <c r="BS68" s="641">
        <f t="shared" ref="BS68:BS79" si="214">BI68+BK68+BM68+BO68+BR68</f>
        <v>0</v>
      </c>
      <c r="BT68" s="641">
        <f t="shared" ref="BT68:BT79" si="215">IF($BS68=0,0,$CK68*$BS68)</f>
        <v>0</v>
      </c>
      <c r="BU68" s="642">
        <f t="shared" ref="BU68:BU79" si="216">IF($BT68=0,0,MAX(1,$EB68/$DP68))</f>
        <v>0</v>
      </c>
      <c r="BV68" s="1147"/>
      <c r="BW68" s="418"/>
      <c r="BX68" s="418"/>
      <c r="BY68" s="419"/>
      <c r="BZ68" s="968"/>
      <c r="CA68" s="280" cm="1">
        <f t="array" ref="CA68">IF($BZ68&gt;0,VALUE(LEFT($BZ68,IF(ISERROR(FIND("-",$BZ68)),LEN($BZ68),FIND("-",$BZ68)-1))),INDEX($CA$1:$CA68,MAX(1,$CD68)))</f>
        <v>1</v>
      </c>
      <c r="CB68" s="280" cm="1">
        <f t="array" ref="CB68">IF($BT68=0,0,IF(LEN($BZ68)-LEN(SUBSTITUTE($BZ68,"-",""))&gt;1,
VALUE(MID($BZ68,FIND("-",$BZ68)+1,FIND("-",$BZ68,FIND("-",$BZ68)+1)-FIND("-",$BZ68)-1)),IF($BZ68&gt;0,0,INDEX($CB$1:$CB68,MAX(1,$CD68)))))</f>
        <v>0</v>
      </c>
      <c r="CC68" s="280" cm="1">
        <f t="array" ref="CC68">IF($BT68=0,0,IF(NOT(ISERROR(FIND("-",BZ68))),
VALUE(RIGHT($BZ68,LEN($BZ68)-IF(LEN($BZ68)-LEN(SUBSTITUTE($BZ68,"-",""))=1,FIND("-",$BZ68),FIND("-",$BZ68,FIND("-",$BZ68)+1)))),
IF($BZ68&gt;0,0,INDEX($CC$1:$CC68,MAX(1,$CD68)))))</f>
        <v>0</v>
      </c>
      <c r="CD68" s="393">
        <f>MATCH(0,$CE$1:$CE68,-1)</f>
        <v>49</v>
      </c>
      <c r="CE68" s="280"/>
      <c r="CF68" s="394"/>
      <c r="CG68" s="393" cm="1">
        <f t="array" ref="CG68">INDEX($CG$1:$CG68,$CD68)</f>
        <v>7</v>
      </c>
      <c r="CH68" s="280">
        <f>MATCH($CA68,Premises!$A$10:$F$10,0)</f>
        <v>4</v>
      </c>
      <c r="CI68" s="280">
        <f>IF(ISBLANK($E68),0,IFERROR(MATCH($E68,MHR[Bezeichnung],0),0))</f>
        <v>0</v>
      </c>
      <c r="CJ68" s="394">
        <f>IF(ISBLANK($AQ68),0,IFERROR(MATCH($AQ68,MAT[Bezeichnung],0),0))</f>
        <v>0</v>
      </c>
      <c r="CK68" s="280" cm="1">
        <f t="array" ref="CK68">INDEX($D$1:$D68,$CD68)</f>
        <v>1</v>
      </c>
      <c r="CL68" s="280"/>
      <c r="CM68" s="395"/>
      <c r="CN68" s="396" cm="1">
        <f t="array" ref="CN68">IF($CB68=0,0,IF($CB68=INDEX($CB$1:$CB68,$CD68),INDEX($CN$1:$CN68,$CD68),$CP68))</f>
        <v>0</v>
      </c>
      <c r="CO68" s="395"/>
      <c r="CP68" s="396" cm="1">
        <f t="array" ref="CP68">IF($CC68=0,0,INDEX($CP$1:$CP68,$CD68))</f>
        <v>0</v>
      </c>
      <c r="CQ68" s="397"/>
      <c r="CR68" s="398"/>
      <c r="CS68" s="398"/>
      <c r="CT68" s="1152"/>
      <c r="CU68" s="1149"/>
      <c r="CV68" s="647">
        <f t="shared" ref="CV68:CV79" si="217">$J68*$CK68</f>
        <v>0</v>
      </c>
      <c r="CW68" s="648">
        <f t="shared" ref="CW68:CW79" si="218">$R68*$CK68</f>
        <v>0</v>
      </c>
      <c r="CX68" s="648">
        <f t="shared" ref="CX68:CX79" si="219">$V68*$CK68</f>
        <v>0</v>
      </c>
      <c r="CY68" s="648">
        <f t="shared" ref="CY68:CY79" si="220">$AA68*$CK68</f>
        <v>0</v>
      </c>
      <c r="CZ68" s="648">
        <f t="shared" ref="CZ68:CZ79" si="221">$AF68*$CK68</f>
        <v>0</v>
      </c>
      <c r="DA68" s="648">
        <f t="shared" ref="DA68:DA79" si="222">$AL68*$CK68</f>
        <v>0</v>
      </c>
      <c r="DB68" s="648">
        <f t="shared" ref="DB68:DB79" si="223">$AO68*$CK68</f>
        <v>0</v>
      </c>
      <c r="DC68" s="649">
        <f t="shared" ref="DC68:DC79" si="224">$AP68*$CK68</f>
        <v>0</v>
      </c>
      <c r="DD68" s="648">
        <f t="shared" ref="DD68:DD79" si="225">$AU68*$CK68</f>
        <v>0</v>
      </c>
      <c r="DE68" s="648">
        <f t="shared" ref="DE68:DE79" si="226">$AX68*$CK68</f>
        <v>0</v>
      </c>
      <c r="DF68" s="648">
        <f t="shared" ref="DF68:DF79" si="227">$AZ68*$CK68</f>
        <v>0</v>
      </c>
      <c r="DG68" s="649">
        <f t="shared" ref="DG68:DG79" si="228">$BA68*$CK68</f>
        <v>0</v>
      </c>
      <c r="DH68" s="649">
        <f t="shared" ref="DH68:DH79" si="229">$BB68*$CK68</f>
        <v>0</v>
      </c>
      <c r="DI68" s="648">
        <f t="shared" ref="DI68:DI79" si="230">$BD68*$CK68</f>
        <v>0</v>
      </c>
      <c r="DJ68" s="648">
        <f t="shared" ref="DJ68:DJ79" si="231">$BF68*$CK68</f>
        <v>0</v>
      </c>
      <c r="DK68" s="648">
        <f t="shared" ref="DK68:DK79" si="232">$BH68*$CK68</f>
        <v>0</v>
      </c>
      <c r="DL68" s="648">
        <f t="shared" ref="DL68:DL79" si="233">$BK68*$CK68</f>
        <v>0</v>
      </c>
      <c r="DM68" s="648">
        <f t="shared" ref="DM68:DM79" si="234">$BM68*$CK68</f>
        <v>0</v>
      </c>
      <c r="DN68" s="648">
        <f t="shared" ref="DN68:DN79" si="235">$BO68*$CK68</f>
        <v>0</v>
      </c>
      <c r="DO68" s="648">
        <f t="shared" ref="DO68:DO79" si="236">$BR68*$CK68</f>
        <v>0</v>
      </c>
      <c r="DP68" s="651">
        <f t="shared" ref="DP68:DP79" si="237">$CK68*($BB68+$BD68+$BF68+$BH68+$BK68+$BM68+$BO68+$BR68)</f>
        <v>0</v>
      </c>
      <c r="DQ68" s="951">
        <f>IF($CB68=0,0,$DP68*_xlfn.XLOOKUP($CB68,Premises!$A$10:$F$10,Premises!$A$30:$F$30)/100)</f>
        <v>0</v>
      </c>
      <c r="DR68" s="650">
        <f>IFERROR(SUM($DP68:$DQ68)*IF(INDEX(Premises!$A$42:$F$42,1,MATCH($CB68,Premises!$A$10:$F$10,0))&gt;0,INDEX(Premises!$A$42:$F$42,1,MATCH($CB68,Premises!$A$10:$F$10,0))%,$CN68),0)</f>
        <v>0</v>
      </c>
      <c r="DS68" s="650" cm="1">
        <f t="array" ref="DS68">IF($CB68=0,0,SUM($DP68:$DR68)*_xlfn.XLOOKUP($CB68,Premises!$A$10:$F$10,IF(INDEX(Settings[],MATCH(3001,Settings[ID],0),2)="B",Premises!$A$33:$F$33,Premises!$A$31:$F$31))/100)</f>
        <v>0</v>
      </c>
      <c r="DT68" s="650" cm="1">
        <f t="array" ref="DT68">IF($CB68=0,0,$DP68*_xlfn.XLOOKUP($CB68,Premises!$A$10:$F$10,IF(INDEX(Settings[],MATCH(3002,Settings[ID],0),2)="B",Premises!$A$36:$F$36,Premises!$A$34:$F$34))/100)</f>
        <v>0</v>
      </c>
      <c r="DU68" s="650">
        <f>IF($CB68=0,0,SUM($DP68:$DT68)*_xlfn.XLOOKUP($CB68,Premises!$A$10:$F$10,Premises!$A$37:$F$37)/100)</f>
        <v>0</v>
      </c>
      <c r="DV68" s="954">
        <f t="shared" ref="DV68:DV79" si="238">SUM($DP68:$DU68)</f>
        <v>0</v>
      </c>
      <c r="DW68" s="951">
        <f>IF($CC68=0,0,$DV68*_xlfn.XLOOKUP($CC68,Premises!$A$10:$F$10,Premises!$A$30:$F$30)/100)</f>
        <v>0</v>
      </c>
      <c r="DX68" s="650">
        <f>IFERROR(SUM($DV68:$DW68)*IF(INDEX(Premises!$A$42:$F$42,1,MATCH($CC68,Premises!$A$10:$F$10,0))&gt;0,INDEX(Premises!$A$42:$F$42,1,MATCH($CC68,Premises!$A$10:$F$10,0))%,$CP68),0)</f>
        <v>0</v>
      </c>
      <c r="DY68" s="650" cm="1">
        <f t="array" ref="DY68">IF($CC68=0,0,SUM($DV68:$DX68)*_xlfn.XLOOKUP($CC68,Premises!$A$10:$F$10,IF(INDEX(Settings[],MATCH(3001,Settings[ID],0),2)="B",Premises!$A$33:$F$33,Premises!$A$31:$F$31))/100)</f>
        <v>0</v>
      </c>
      <c r="DZ68" s="650" cm="1">
        <f t="array" ref="DZ68">IF($CC68=0,0,$DV68*_xlfn.XLOOKUP($CC68,Premises!$A$10:$F$10,IF(INDEX(Settings[],MATCH(3002,Settings[ID],0),2)="B",Premises!$A$36:$F$36,Premises!$A$34:$F$34))/100)</f>
        <v>0</v>
      </c>
      <c r="EA68" s="650">
        <f>IF($CC68=0,0,SUM($DV68:$DZ68)*_xlfn.XLOOKUP($CC68,Premises!$A$10:$F$10,Premises!$A$37:$F$37)/100)</f>
        <v>0</v>
      </c>
      <c r="EB68" s="651">
        <f t="shared" ref="EB68:EB79" si="239">SUM($DV68:$EA68)</f>
        <v>0</v>
      </c>
      <c r="EC68" s="805"/>
      <c r="ED68" s="1104"/>
      <c r="EE68" s="650"/>
      <c r="EF68" s="1110"/>
      <c r="EG68" s="1108"/>
      <c r="EH68" s="1108"/>
      <c r="EI68" s="1108"/>
      <c r="EJ68" s="1108"/>
      <c r="EK68" s="1108"/>
      <c r="EL68" s="1108"/>
      <c r="EM68" s="1110"/>
      <c r="EN68" s="1108"/>
      <c r="EO68" s="1108"/>
      <c r="EP68" s="1108"/>
      <c r="EQ68" s="1108"/>
      <c r="ER68" s="1110"/>
      <c r="ES68" s="1108"/>
      <c r="ET68" s="1108"/>
      <c r="EU68" s="1108"/>
      <c r="EV68" s="1108"/>
      <c r="EW68" s="1108"/>
      <c r="EX68" s="1111"/>
      <c r="EY68" s="2"/>
      <c r="EZ68" s="2"/>
      <c r="FA68" s="2"/>
      <c r="FB68" s="2"/>
      <c r="FC68" s="2"/>
      <c r="FD68" s="2"/>
      <c r="FE68" s="2"/>
      <c r="FF68" s="2"/>
      <c r="FG68" s="2"/>
      <c r="FH68" s="2"/>
      <c r="FI68" s="2"/>
      <c r="FJ68" s="420"/>
      <c r="FK68" s="421"/>
      <c r="FL68" s="422"/>
      <c r="FM68" s="1153"/>
    </row>
    <row r="69" spans="1:169" s="13" customFormat="1" ht="12.75" customHeight="1">
      <c r="A69" s="221"/>
      <c r="B69" s="402" t="s">
        <v>4367</v>
      </c>
      <c r="C69" s="403">
        <v>3</v>
      </c>
      <c r="D69" s="646"/>
      <c r="E69" s="404"/>
      <c r="F69" s="405"/>
      <c r="G69" s="405"/>
      <c r="H69" s="405"/>
      <c r="I69" s="637" cm="1">
        <f t="array" ref="I69">IF($CI69=0,0,IFERROR(INDEX(MHR[],$CI69,MATCH($CA69,MHR!$B$4:$AY$4,0)),0))</f>
        <v>0</v>
      </c>
      <c r="J69" s="634">
        <f t="shared" si="192"/>
        <v>0</v>
      </c>
      <c r="K69" s="406"/>
      <c r="L69" s="407"/>
      <c r="M69" s="871"/>
      <c r="N69" s="407"/>
      <c r="O69" s="405"/>
      <c r="P69" s="645" cm="1">
        <f t="array" ref="P69">IF($K69=0,0,IFERROR(ROUNDUP(IF(ISNUMBER($K69),$K69,INDEX($D$1:$D69,$CD69)*INDEX(Premises!$A$13:$F$13,1,$CH69)/IF(OR($K69="T",$K69="D"),250,IF($K69="W",50,IF($K69="M",12,IF(OR($K69="HJ",$K69="HY"),2,IF(OR($K69="J",$K69="Y"),1,0)))))),0),0))</f>
        <v>0</v>
      </c>
      <c r="Q69" s="637" cm="1">
        <f t="array" ref="Q69">IF($K69=0,0,IFERROR(INDEX(Premises!$A$22:$F$22,1,$CH69)*100/INDEX(Premises!$A$16:$F$16,1,$CH69),0))</f>
        <v>0</v>
      </c>
      <c r="R69" s="634">
        <f t="shared" si="193"/>
        <v>0</v>
      </c>
      <c r="S69" s="408"/>
      <c r="T69" s="409"/>
      <c r="U69" s="637" cm="1">
        <f t="array" ref="U69">IF(COUNTBLANK($S69:$T69),0,
IF(AND(INDEX(MHR[Schichtmodell],$CI69)&lt;&gt;0,INDEX(MHR[Schichtmodell],$CI69)&lt;&gt;INDEX(Premises!$A$20:$F$20,1,$CH69)),ExchangeRate*
IF(OR($T69="M",$T69="U"),IF(INDEX(MHR[Schichtmodell],$CI69)=1,INDEX(LOC[M1S],INDEX(Premises!$A$18:$F$18,1,$CH69+1)),IF(INDEX(MHR[Schichtmodell],$CI69)=2,INDEX(LOC[M2S],INDEX(Premises!$A$18:$F$18,1,$CH69+1),IF(INDEX(MHR[Schichtmodell],$CI69)=3,INDEX(LOC[M3S],INDEX(Premises!$A$18:$F$18,1,$CH69+1)),0)))),
IF(INDEX(MHR[Schichtmodell],$CI69)=1,INDEX(LOC[F1S],INDEX(Premises!$A$18:$F$18,1,$CH69+1)),IF(INDEX(MHR[Schichtmodell],$CI69)=2,INDEX(LOC[F2S],INDEX(Premises!$A$18:$F$18,1,$CH69+1)),IF(INDEX(MHR[Schichtmodell],$CI69)=3,INDEX(LOC[F3S],INDEX(Premises!$A$18:$F$18,1,$CH69+1)),0)))),
IF(OR($T69="M",$T69="U"),INDEX(Premises!$A$21:$F$21,1,$CH69),
IF(OR($T69="F",$T69="S"),INDEX(Premises!$A$22:$F$22,1,$CH69),0)))*100/INDEX(Premises!$A$16:$F$16,1,$CH69))</f>
        <v>0</v>
      </c>
      <c r="V69" s="631">
        <f t="shared" si="194"/>
        <v>0</v>
      </c>
      <c r="W69" s="410"/>
      <c r="X69" s="403"/>
      <c r="Y69" s="411"/>
      <c r="Z69" s="412"/>
      <c r="AA69" s="628">
        <f t="shared" si="195"/>
        <v>0</v>
      </c>
      <c r="AB69" s="410"/>
      <c r="AC69" s="403"/>
      <c r="AD69" s="411"/>
      <c r="AE69" s="413"/>
      <c r="AF69" s="628">
        <f t="shared" si="196"/>
        <v>0</v>
      </c>
      <c r="AG69" s="629" cm="1">
        <f t="array" ref="AG69">IF(($J69+$V69+$AF69)=0,0,INDEX(Premises!$A$30:$F$30,1,$CH69)/100)</f>
        <v>0</v>
      </c>
      <c r="AH69" s="414"/>
      <c r="AI69" s="415"/>
      <c r="AJ69" s="416"/>
      <c r="AK69" s="630">
        <f t="shared" si="197"/>
        <v>0</v>
      </c>
      <c r="AL69" s="631">
        <f t="shared" si="198"/>
        <v>0</v>
      </c>
      <c r="AM69" s="632" cm="1">
        <f t="array" ref="AM69">IF($CI69=0,0,IFERROR(INDEX(MHR[],$CI69,MATCH($CA69,MHR!$B$4:$AY$4,0)+11),0))</f>
        <v>0</v>
      </c>
      <c r="AN69" s="633" cm="1">
        <f t="array" ref="AN69">IF(($J69+$V69)=0,0,IFERROR(IF(INDEX(Premises!$A$41:$F$41,1,$CH69)&lt;&gt;0,INDEX(Premises!$A$41:$F$41,1,$CH69)/100,(IFERROR(($J69/$I69)*$AM69,0)/($V69+$J69+$R69+$AL69))),0))</f>
        <v>0</v>
      </c>
      <c r="AO69" s="634">
        <f t="shared" si="199"/>
        <v>0</v>
      </c>
      <c r="AP69" s="635">
        <f t="shared" si="200"/>
        <v>0</v>
      </c>
      <c r="AQ69" s="410"/>
      <c r="AR69" s="409"/>
      <c r="AS69" s="636" cm="1">
        <f t="array" ref="AS69">IF($CJ69=0,0,IFERROR(INDEX(MAT[Einheit],$CJ69,1),0))</f>
        <v>0</v>
      </c>
      <c r="AT69" s="637" cm="1">
        <f t="array" ref="AT69">IF($CJ69=0,0,IFERROR(INDEX(MAT[Preis],$CJ69,1),0))</f>
        <v>0</v>
      </c>
      <c r="AU69" s="638">
        <f t="shared" si="201"/>
        <v>0</v>
      </c>
      <c r="AV69" s="639" cm="1">
        <f t="array" ref="AV69">IF($AU69&lt;=0,0,INDEX(Premises!$A$30:$F$30,1,$CH69)/100)</f>
        <v>0</v>
      </c>
      <c r="AW69" s="409"/>
      <c r="AX69" s="631">
        <f t="shared" si="202"/>
        <v>0</v>
      </c>
      <c r="AY69" s="640" cm="1">
        <f t="array" ref="AY69">IF($AT69&lt;=0,0,IFERROR(IF(INDEX(Premises!$A$42:$F$42,1,$CH69)&lt;&gt;0,INDEX(Premises!$A$42:$F$42,1,$CH69)/100,(INDEX(MAT[],$CJ69,MATCH($CA69,MAT!$B$4:$AE$4,0))/($AR69*$CK69*INDEX(Premises!$A$13:$F$13,1,$CH69))+INDEX(MAT[],$CJ69,MATCH($CA69,MAT!$B$4:$AE$4,0)+7))/$AT69),0))</f>
        <v>0</v>
      </c>
      <c r="AZ69" s="631">
        <f t="shared" si="203"/>
        <v>0</v>
      </c>
      <c r="BA69" s="635">
        <f t="shared" si="204"/>
        <v>0</v>
      </c>
      <c r="BB69" s="635">
        <f t="shared" si="205"/>
        <v>0</v>
      </c>
      <c r="BC69" s="639" cm="1">
        <f t="array" ref="BC69">IF($BB69&lt;=0,0,IF(BC$2=-1,0,INDEX(Premises!$A$32:$F$32,1,$CH69)/100))</f>
        <v>0</v>
      </c>
      <c r="BD69" s="631">
        <f t="shared" si="206"/>
        <v>0</v>
      </c>
      <c r="BE69" s="639" cm="1">
        <f t="array" ref="BE69">IF($BB69&lt;=0,0,IF(BE$2=-1,0,INDEX(Premises!$A$33:$F$33,1,$CH69)/100))</f>
        <v>0</v>
      </c>
      <c r="BF69" s="631">
        <f t="shared" si="207"/>
        <v>0</v>
      </c>
      <c r="BG69" s="639" cm="1">
        <f t="array" ref="BG69">IF($BB69&lt;=0,0,IF(BG$2=-1,0,INDEX(Premises!$A$31:$F$31,1,$CH69)/100))</f>
        <v>0</v>
      </c>
      <c r="BH69" s="631">
        <f t="shared" si="208"/>
        <v>0</v>
      </c>
      <c r="BI69" s="635">
        <f t="shared" si="209"/>
        <v>0</v>
      </c>
      <c r="BJ69" s="639" cm="1">
        <f t="array" ref="BJ69">IF($BB69&lt;=0,0,IF(BJ$2=-1,0,INDEX(Premises!$A$35:$F$35,1,$CH69)/100))</f>
        <v>0</v>
      </c>
      <c r="BK69" s="631">
        <f t="shared" si="210"/>
        <v>0</v>
      </c>
      <c r="BL69" s="639" cm="1">
        <f t="array" ref="BL69">IF($BB69&lt;=0,0,IF(BL$2=-1,0,INDEX(Premises!$A$36:$F$36,1,$CH69)/100))</f>
        <v>0</v>
      </c>
      <c r="BM69" s="631">
        <f t="shared" si="211"/>
        <v>0</v>
      </c>
      <c r="BN69" s="639" cm="1">
        <f t="array" ref="BN69">IF($BB69&lt;=0,0,IF(BN$2=-1,0,INDEX(Premises!$A$34:$F$34,1,$CH69)/100))</f>
        <v>0</v>
      </c>
      <c r="BO69" s="631">
        <f t="shared" si="212"/>
        <v>0</v>
      </c>
      <c r="BP69" s="639" cm="1">
        <f t="array" ref="BP69">IF($BI69=0,0,INDEX(Premises!$A$37:$F$37,1,$CH69)/100)</f>
        <v>0</v>
      </c>
      <c r="BQ69" s="409"/>
      <c r="BR69" s="631">
        <f t="shared" si="213"/>
        <v>0</v>
      </c>
      <c r="BS69" s="641">
        <f t="shared" si="214"/>
        <v>0</v>
      </c>
      <c r="BT69" s="641">
        <f t="shared" si="215"/>
        <v>0</v>
      </c>
      <c r="BU69" s="642">
        <f t="shared" si="216"/>
        <v>0</v>
      </c>
      <c r="BV69" s="1147"/>
      <c r="BW69" s="418"/>
      <c r="BX69" s="418"/>
      <c r="BY69" s="419"/>
      <c r="BZ69" s="968"/>
      <c r="CA69" s="280" cm="1">
        <f t="array" ref="CA69">IF($BZ69&gt;0,VALUE(LEFT($BZ69,IF(ISERROR(FIND("-",$BZ69)),LEN($BZ69),FIND("-",$BZ69)-1))),INDEX($CA$1:$CA69,MAX(1,$CD69)))</f>
        <v>1</v>
      </c>
      <c r="CB69" s="280" cm="1">
        <f t="array" ref="CB69">IF($BT69=0,0,IF(LEN($BZ69)-LEN(SUBSTITUTE($BZ69,"-",""))&gt;1,
VALUE(MID($BZ69,FIND("-",$BZ69)+1,FIND("-",$BZ69,FIND("-",$BZ69)+1)-FIND("-",$BZ69)-1)),IF($BZ69&gt;0,0,INDEX($CB$1:$CB69,MAX(1,$CD69)))))</f>
        <v>0</v>
      </c>
      <c r="CC69" s="280" cm="1">
        <f t="array" ref="CC69">IF($BT69=0,0,IF(NOT(ISERROR(FIND("-",BZ69))),
VALUE(RIGHT($BZ69,LEN($BZ69)-IF(LEN($BZ69)-LEN(SUBSTITUTE($BZ69,"-",""))=1,FIND("-",$BZ69),FIND("-",$BZ69,FIND("-",$BZ69)+1)))),
IF($BZ69&gt;0,0,INDEX($CC$1:$CC69,MAX(1,$CD69)))))</f>
        <v>0</v>
      </c>
      <c r="CD69" s="393">
        <f>MATCH(0,$CE$1:$CE69,-1)</f>
        <v>49</v>
      </c>
      <c r="CE69" s="280"/>
      <c r="CF69" s="394"/>
      <c r="CG69" s="393" cm="1">
        <f t="array" ref="CG69">INDEX($CG$1:$CG69,$CD69)</f>
        <v>7</v>
      </c>
      <c r="CH69" s="280">
        <f>MATCH($CA69,Premises!$A$10:$F$10,0)</f>
        <v>4</v>
      </c>
      <c r="CI69" s="280">
        <f>IF(ISBLANK($E69),0,IFERROR(MATCH($E69,MHR[Bezeichnung],0),0))</f>
        <v>0</v>
      </c>
      <c r="CJ69" s="394">
        <f>IF(ISBLANK($AQ69),0,IFERROR(MATCH($AQ69,MAT[Bezeichnung],0),0))</f>
        <v>0</v>
      </c>
      <c r="CK69" s="280" cm="1">
        <f t="array" ref="CK69">INDEX($D$1:$D69,$CD69)</f>
        <v>1</v>
      </c>
      <c r="CL69" s="280"/>
      <c r="CM69" s="395"/>
      <c r="CN69" s="396" cm="1">
        <f t="array" ref="CN69">IF($CB69=0,0,IF($CB69=INDEX($CB$1:$CB69,$CD69),INDEX($CN$1:$CN69,$CD69),$CP69))</f>
        <v>0</v>
      </c>
      <c r="CO69" s="395"/>
      <c r="CP69" s="396" cm="1">
        <f t="array" ref="CP69">IF($CC69=0,0,INDEX($CP$1:$CP69,$CD69))</f>
        <v>0</v>
      </c>
      <c r="CQ69" s="397"/>
      <c r="CR69" s="398"/>
      <c r="CS69" s="398"/>
      <c r="CT69" s="1152"/>
      <c r="CU69" s="1149"/>
      <c r="CV69" s="647">
        <f t="shared" si="217"/>
        <v>0</v>
      </c>
      <c r="CW69" s="648">
        <f t="shared" si="218"/>
        <v>0</v>
      </c>
      <c r="CX69" s="648">
        <f t="shared" si="219"/>
        <v>0</v>
      </c>
      <c r="CY69" s="648">
        <f t="shared" si="220"/>
        <v>0</v>
      </c>
      <c r="CZ69" s="648">
        <f t="shared" si="221"/>
        <v>0</v>
      </c>
      <c r="DA69" s="648">
        <f t="shared" si="222"/>
        <v>0</v>
      </c>
      <c r="DB69" s="648">
        <f t="shared" si="223"/>
        <v>0</v>
      </c>
      <c r="DC69" s="649">
        <f t="shared" si="224"/>
        <v>0</v>
      </c>
      <c r="DD69" s="648">
        <f t="shared" si="225"/>
        <v>0</v>
      </c>
      <c r="DE69" s="648">
        <f t="shared" si="226"/>
        <v>0</v>
      </c>
      <c r="DF69" s="648">
        <f t="shared" si="227"/>
        <v>0</v>
      </c>
      <c r="DG69" s="649">
        <f t="shared" si="228"/>
        <v>0</v>
      </c>
      <c r="DH69" s="649">
        <f t="shared" si="229"/>
        <v>0</v>
      </c>
      <c r="DI69" s="648">
        <f t="shared" si="230"/>
        <v>0</v>
      </c>
      <c r="DJ69" s="648">
        <f t="shared" si="231"/>
        <v>0</v>
      </c>
      <c r="DK69" s="648">
        <f t="shared" si="232"/>
        <v>0</v>
      </c>
      <c r="DL69" s="648">
        <f t="shared" si="233"/>
        <v>0</v>
      </c>
      <c r="DM69" s="648">
        <f t="shared" si="234"/>
        <v>0</v>
      </c>
      <c r="DN69" s="648">
        <f t="shared" si="235"/>
        <v>0</v>
      </c>
      <c r="DO69" s="648">
        <f t="shared" si="236"/>
        <v>0</v>
      </c>
      <c r="DP69" s="651">
        <f t="shared" si="237"/>
        <v>0</v>
      </c>
      <c r="DQ69" s="951">
        <f>IF($CB69=0,0,$DP69*_xlfn.XLOOKUP($CB69,Premises!$A$10:$F$10,Premises!$A$30:$F$30)/100)</f>
        <v>0</v>
      </c>
      <c r="DR69" s="650">
        <f>IFERROR(SUM($DP69:$DQ69)*IF(INDEX(Premises!$A$42:$F$42,1,MATCH($CB69,Premises!$A$10:$F$10,0))&gt;0,INDEX(Premises!$A$42:$F$42,1,MATCH($CB69,Premises!$A$10:$F$10,0))%,$CN69),0)</f>
        <v>0</v>
      </c>
      <c r="DS69" s="650" cm="1">
        <f t="array" ref="DS69">IF($CB69=0,0,SUM($DP69:$DR69)*_xlfn.XLOOKUP($CB69,Premises!$A$10:$F$10,IF(INDEX(Settings[],MATCH(3001,Settings[ID],0),2)="B",Premises!$A$33:$F$33,Premises!$A$31:$F$31))/100)</f>
        <v>0</v>
      </c>
      <c r="DT69" s="650" cm="1">
        <f t="array" ref="DT69">IF($CB69=0,0,$DP69*_xlfn.XLOOKUP($CB69,Premises!$A$10:$F$10,IF(INDEX(Settings[],MATCH(3002,Settings[ID],0),2)="B",Premises!$A$36:$F$36,Premises!$A$34:$F$34))/100)</f>
        <v>0</v>
      </c>
      <c r="DU69" s="650">
        <f>IF($CB69=0,0,SUM($DP69:$DT69)*_xlfn.XLOOKUP($CB69,Premises!$A$10:$F$10,Premises!$A$37:$F$37)/100)</f>
        <v>0</v>
      </c>
      <c r="DV69" s="954">
        <f t="shared" si="238"/>
        <v>0</v>
      </c>
      <c r="DW69" s="951">
        <f>IF($CC69=0,0,$DV69*_xlfn.XLOOKUP($CC69,Premises!$A$10:$F$10,Premises!$A$30:$F$30)/100)</f>
        <v>0</v>
      </c>
      <c r="DX69" s="650">
        <f>IFERROR(SUM($DV69:$DW69)*IF(INDEX(Premises!$A$42:$F$42,1,MATCH($CC69,Premises!$A$10:$F$10,0))&gt;0,INDEX(Premises!$A$42:$F$42,1,MATCH($CC69,Premises!$A$10:$F$10,0))%,$CP69),0)</f>
        <v>0</v>
      </c>
      <c r="DY69" s="650" cm="1">
        <f t="array" ref="DY69">IF($CC69=0,0,SUM($DV69:$DX69)*_xlfn.XLOOKUP($CC69,Premises!$A$10:$F$10,IF(INDEX(Settings[],MATCH(3001,Settings[ID],0),2)="B",Premises!$A$33:$F$33,Premises!$A$31:$F$31))/100)</f>
        <v>0</v>
      </c>
      <c r="DZ69" s="650" cm="1">
        <f t="array" ref="DZ69">IF($CC69=0,0,$DV69*_xlfn.XLOOKUP($CC69,Premises!$A$10:$F$10,IF(INDEX(Settings[],MATCH(3002,Settings[ID],0),2)="B",Premises!$A$36:$F$36,Premises!$A$34:$F$34))/100)</f>
        <v>0</v>
      </c>
      <c r="EA69" s="650">
        <f>IF($CC69=0,0,SUM($DV69:$DZ69)*_xlfn.XLOOKUP($CC69,Premises!$A$10:$F$10,Premises!$A$37:$F$37)/100)</f>
        <v>0</v>
      </c>
      <c r="EB69" s="651">
        <f t="shared" si="239"/>
        <v>0</v>
      </c>
      <c r="EC69" s="805"/>
      <c r="ED69" s="1104"/>
      <c r="EE69" s="650"/>
      <c r="EF69" s="1110"/>
      <c r="EG69" s="1108"/>
      <c r="EH69" s="1108"/>
      <c r="EI69" s="1108"/>
      <c r="EJ69" s="1108"/>
      <c r="EK69" s="1108"/>
      <c r="EL69" s="1108"/>
      <c r="EM69" s="1110"/>
      <c r="EN69" s="1108"/>
      <c r="EO69" s="1108"/>
      <c r="EP69" s="1108"/>
      <c r="EQ69" s="1108"/>
      <c r="ER69" s="1110"/>
      <c r="ES69" s="1108"/>
      <c r="ET69" s="1108"/>
      <c r="EU69" s="1108"/>
      <c r="EV69" s="1108"/>
      <c r="EW69" s="1108"/>
      <c r="EX69" s="1111"/>
      <c r="EY69" s="2"/>
      <c r="EZ69" s="2"/>
      <c r="FA69" s="2"/>
      <c r="FB69" s="2"/>
      <c r="FC69" s="2"/>
      <c r="FD69" s="2"/>
      <c r="FE69" s="2"/>
      <c r="FF69" s="2"/>
      <c r="FG69" s="2"/>
      <c r="FH69" s="2"/>
      <c r="FI69" s="2"/>
      <c r="FJ69" s="420"/>
      <c r="FK69" s="421"/>
      <c r="FL69" s="422"/>
      <c r="FM69" s="1153"/>
    </row>
    <row r="70" spans="1:169" s="13" customFormat="1" ht="12.75" customHeight="1">
      <c r="A70" s="221"/>
      <c r="B70" s="402" t="s">
        <v>4360</v>
      </c>
      <c r="C70" s="403">
        <v>7</v>
      </c>
      <c r="D70" s="646"/>
      <c r="E70" s="404"/>
      <c r="F70" s="405"/>
      <c r="G70" s="405"/>
      <c r="H70" s="405"/>
      <c r="I70" s="637" cm="1">
        <f t="array" ref="I70">IF($CI70=0,0,IFERROR(INDEX(MHR[],$CI70,MATCH($CA70,MHR!$B$4:$AY$4,0)),0))</f>
        <v>0</v>
      </c>
      <c r="J70" s="634">
        <f t="shared" si="192"/>
        <v>0</v>
      </c>
      <c r="K70" s="406"/>
      <c r="L70" s="407"/>
      <c r="M70" s="871"/>
      <c r="N70" s="407"/>
      <c r="O70" s="405"/>
      <c r="P70" s="645" cm="1">
        <f t="array" ref="P70">IF($K70=0,0,IFERROR(ROUNDUP(IF(ISNUMBER($K70),$K70,INDEX($D$1:$D70,$CD70)*INDEX(Premises!$A$13:$F$13,1,$CH70)/IF(OR($K70="T",$K70="D"),250,IF($K70="W",50,IF($K70="M",12,IF(OR($K70="HJ",$K70="HY"),2,IF(OR($K70="J",$K70="Y"),1,0)))))),0),0))</f>
        <v>0</v>
      </c>
      <c r="Q70" s="637" cm="1">
        <f t="array" ref="Q70">IF($K70=0,0,IFERROR(INDEX(Premises!$A$22:$F$22,1,$CH70)*100/INDEX(Premises!$A$16:$F$16,1,$CH70),0))</f>
        <v>0</v>
      </c>
      <c r="R70" s="634">
        <f t="shared" si="193"/>
        <v>0</v>
      </c>
      <c r="S70" s="408"/>
      <c r="T70" s="409"/>
      <c r="U70" s="637" cm="1">
        <f t="array" ref="U70">IF(COUNTBLANK($S70:$T70),0,
IF(AND(INDEX(MHR[Schichtmodell],$CI70)&lt;&gt;0,INDEX(MHR[Schichtmodell],$CI70)&lt;&gt;INDEX(Premises!$A$20:$F$20,1,$CH70)),ExchangeRate*
IF(OR($T70="M",$T70="U"),IF(INDEX(MHR[Schichtmodell],$CI70)=1,INDEX(LOC[M1S],INDEX(Premises!$A$18:$F$18,1,$CH70+1)),IF(INDEX(MHR[Schichtmodell],$CI70)=2,INDEX(LOC[M2S],INDEX(Premises!$A$18:$F$18,1,$CH70+1),IF(INDEX(MHR[Schichtmodell],$CI70)=3,INDEX(LOC[M3S],INDEX(Premises!$A$18:$F$18,1,$CH70+1)),0)))),
IF(INDEX(MHR[Schichtmodell],$CI70)=1,INDEX(LOC[F1S],INDEX(Premises!$A$18:$F$18,1,$CH70+1)),IF(INDEX(MHR[Schichtmodell],$CI70)=2,INDEX(LOC[F2S],INDEX(Premises!$A$18:$F$18,1,$CH70+1)),IF(INDEX(MHR[Schichtmodell],$CI70)=3,INDEX(LOC[F3S],INDEX(Premises!$A$18:$F$18,1,$CH70+1)),0)))),
IF(OR($T70="M",$T70="U"),INDEX(Premises!$A$21:$F$21,1,$CH70),
IF(OR($T70="F",$T70="S"),INDEX(Premises!$A$22:$F$22,1,$CH70),0)))*100/INDEX(Premises!$A$16:$F$16,1,$CH70))</f>
        <v>0</v>
      </c>
      <c r="V70" s="631">
        <f t="shared" si="194"/>
        <v>0</v>
      </c>
      <c r="W70" s="410"/>
      <c r="X70" s="403"/>
      <c r="Y70" s="411"/>
      <c r="Z70" s="412"/>
      <c r="AA70" s="628">
        <f t="shared" si="195"/>
        <v>0</v>
      </c>
      <c r="AB70" s="410"/>
      <c r="AC70" s="403"/>
      <c r="AD70" s="411"/>
      <c r="AE70" s="413"/>
      <c r="AF70" s="628">
        <f t="shared" si="196"/>
        <v>0</v>
      </c>
      <c r="AG70" s="629" cm="1">
        <f t="array" ref="AG70">IF(($J70+$V70+$AF70)=0,0,INDEX(Premises!$A$30:$F$30,1,$CH70)/100)</f>
        <v>0</v>
      </c>
      <c r="AH70" s="414"/>
      <c r="AI70" s="415"/>
      <c r="AJ70" s="416"/>
      <c r="AK70" s="630">
        <f t="shared" si="197"/>
        <v>0</v>
      </c>
      <c r="AL70" s="631">
        <f t="shared" si="198"/>
        <v>0</v>
      </c>
      <c r="AM70" s="632" cm="1">
        <f t="array" ref="AM70">IF($CI70=0,0,IFERROR(INDEX(MHR[],$CI70,MATCH($CA70,MHR!$B$4:$AY$4,0)+11),0))</f>
        <v>0</v>
      </c>
      <c r="AN70" s="633" cm="1">
        <f t="array" ref="AN70">IF(($J70+$V70)=0,0,IFERROR(IF(INDEX(Premises!$A$41:$F$41,1,$CH70)&lt;&gt;0,INDEX(Premises!$A$41:$F$41,1,$CH70)/100,(IFERROR(($J70/$I70)*$AM70,0)/($V70+$J70+$R70+$AL70))),0))</f>
        <v>0</v>
      </c>
      <c r="AO70" s="634">
        <f t="shared" si="199"/>
        <v>0</v>
      </c>
      <c r="AP70" s="635">
        <f t="shared" si="200"/>
        <v>0</v>
      </c>
      <c r="AQ70" s="410"/>
      <c r="AR70" s="409"/>
      <c r="AS70" s="636" cm="1">
        <f t="array" ref="AS70">IF($CJ70=0,0,IFERROR(INDEX(MAT[Einheit],$CJ70,1),0))</f>
        <v>0</v>
      </c>
      <c r="AT70" s="637" cm="1">
        <f t="array" ref="AT70">IF($CJ70=0,0,IFERROR(INDEX(MAT[Preis],$CJ70,1),0))</f>
        <v>0</v>
      </c>
      <c r="AU70" s="638">
        <f t="shared" si="201"/>
        <v>0</v>
      </c>
      <c r="AV70" s="639" cm="1">
        <f t="array" ref="AV70">IF($AU70&lt;=0,0,INDEX(Premises!$A$30:$F$30,1,$CH70)/100)</f>
        <v>0</v>
      </c>
      <c r="AW70" s="409"/>
      <c r="AX70" s="631">
        <f t="shared" si="202"/>
        <v>0</v>
      </c>
      <c r="AY70" s="640" cm="1">
        <f t="array" ref="AY70">IF($AT70&lt;=0,0,IFERROR(IF(INDEX(Premises!$A$42:$F$42,1,$CH70)&lt;&gt;0,INDEX(Premises!$A$42:$F$42,1,$CH70)/100,(INDEX(MAT[],$CJ70,MATCH($CA70,MAT!$B$4:$AE$4,0))/($AR70*$CK70*INDEX(Premises!$A$13:$F$13,1,$CH70))+INDEX(MAT[],$CJ70,MATCH($CA70,MAT!$B$4:$AE$4,0)+7))/$AT70),0))</f>
        <v>0</v>
      </c>
      <c r="AZ70" s="631">
        <f t="shared" si="203"/>
        <v>0</v>
      </c>
      <c r="BA70" s="635">
        <f t="shared" si="204"/>
        <v>0</v>
      </c>
      <c r="BB70" s="635">
        <f t="shared" si="205"/>
        <v>0</v>
      </c>
      <c r="BC70" s="639" cm="1">
        <f t="array" ref="BC70">IF($BB70&lt;=0,0,IF(BC$2=-1,0,INDEX(Premises!$A$32:$F$32,1,$CH70)/100))</f>
        <v>0</v>
      </c>
      <c r="BD70" s="631">
        <f t="shared" si="206"/>
        <v>0</v>
      </c>
      <c r="BE70" s="639" cm="1">
        <f t="array" ref="BE70">IF($BB70&lt;=0,0,IF(BE$2=-1,0,INDEX(Premises!$A$33:$F$33,1,$CH70)/100))</f>
        <v>0</v>
      </c>
      <c r="BF70" s="631">
        <f t="shared" si="207"/>
        <v>0</v>
      </c>
      <c r="BG70" s="639" cm="1">
        <f t="array" ref="BG70">IF($BB70&lt;=0,0,IF(BG$2=-1,0,INDEX(Premises!$A$31:$F$31,1,$CH70)/100))</f>
        <v>0</v>
      </c>
      <c r="BH70" s="631">
        <f t="shared" si="208"/>
        <v>0</v>
      </c>
      <c r="BI70" s="635">
        <f t="shared" si="209"/>
        <v>0</v>
      </c>
      <c r="BJ70" s="639" cm="1">
        <f t="array" ref="BJ70">IF($BB70&lt;=0,0,IF(BJ$2=-1,0,INDEX(Premises!$A$35:$F$35,1,$CH70)/100))</f>
        <v>0</v>
      </c>
      <c r="BK70" s="631">
        <f t="shared" si="210"/>
        <v>0</v>
      </c>
      <c r="BL70" s="639" cm="1">
        <f t="array" ref="BL70">IF($BB70&lt;=0,0,IF(BL$2=-1,0,INDEX(Premises!$A$36:$F$36,1,$CH70)/100))</f>
        <v>0</v>
      </c>
      <c r="BM70" s="631">
        <f t="shared" si="211"/>
        <v>0</v>
      </c>
      <c r="BN70" s="639" cm="1">
        <f t="array" ref="BN70">IF($BB70&lt;=0,0,IF(BN$2=-1,0,INDEX(Premises!$A$34:$F$34,1,$CH70)/100))</f>
        <v>0</v>
      </c>
      <c r="BO70" s="631">
        <f t="shared" si="212"/>
        <v>0</v>
      </c>
      <c r="BP70" s="639" cm="1">
        <f t="array" ref="BP70">IF($BI70=0,0,INDEX(Premises!$A$37:$F$37,1,$CH70)/100)</f>
        <v>0</v>
      </c>
      <c r="BQ70" s="409"/>
      <c r="BR70" s="631">
        <f t="shared" si="213"/>
        <v>0</v>
      </c>
      <c r="BS70" s="641">
        <f t="shared" si="214"/>
        <v>0</v>
      </c>
      <c r="BT70" s="641">
        <f t="shared" si="215"/>
        <v>0</v>
      </c>
      <c r="BU70" s="642">
        <f t="shared" si="216"/>
        <v>0</v>
      </c>
      <c r="BV70" s="1147"/>
      <c r="BW70" s="418"/>
      <c r="BX70" s="418"/>
      <c r="BY70" s="419"/>
      <c r="BZ70" s="968"/>
      <c r="CA70" s="280" cm="1">
        <f t="array" ref="CA70">IF($BZ70&gt;0,VALUE(LEFT($BZ70,IF(ISERROR(FIND("-",$BZ70)),LEN($BZ70),FIND("-",$BZ70)-1))),INDEX($CA$1:$CA70,MAX(1,$CD70)))</f>
        <v>1</v>
      </c>
      <c r="CB70" s="280" cm="1">
        <f t="array" ref="CB70">IF($BT70=0,0,IF(LEN($BZ70)-LEN(SUBSTITUTE($BZ70,"-",""))&gt;1,
VALUE(MID($BZ70,FIND("-",$BZ70)+1,FIND("-",$BZ70,FIND("-",$BZ70)+1)-FIND("-",$BZ70)-1)),IF($BZ70&gt;0,0,INDEX($CB$1:$CB70,MAX(1,$CD70)))))</f>
        <v>0</v>
      </c>
      <c r="CC70" s="280" cm="1">
        <f t="array" ref="CC70">IF($BT70=0,0,IF(NOT(ISERROR(FIND("-",BZ70))),
VALUE(RIGHT($BZ70,LEN($BZ70)-IF(LEN($BZ70)-LEN(SUBSTITUTE($BZ70,"-",""))=1,FIND("-",$BZ70),FIND("-",$BZ70,FIND("-",$BZ70)+1)))),
IF($BZ70&gt;0,0,INDEX($CC$1:$CC70,MAX(1,$CD70)))))</f>
        <v>0</v>
      </c>
      <c r="CD70" s="393">
        <f>MATCH(0,$CE$1:$CE70,-1)</f>
        <v>49</v>
      </c>
      <c r="CE70" s="280"/>
      <c r="CF70" s="394"/>
      <c r="CG70" s="393" cm="1">
        <f t="array" ref="CG70">INDEX($CG$1:$CG70,$CD70)</f>
        <v>7</v>
      </c>
      <c r="CH70" s="280">
        <f>MATCH($CA70,Premises!$A$10:$F$10,0)</f>
        <v>4</v>
      </c>
      <c r="CI70" s="280">
        <f>IF(ISBLANK($E70),0,IFERROR(MATCH($E70,MHR[Bezeichnung],0),0))</f>
        <v>0</v>
      </c>
      <c r="CJ70" s="394">
        <f>IF(ISBLANK($AQ70),0,IFERROR(MATCH($AQ70,MAT[Bezeichnung],0),0))</f>
        <v>0</v>
      </c>
      <c r="CK70" s="280" cm="1">
        <f t="array" ref="CK70">INDEX($D$1:$D70,$CD70)</f>
        <v>1</v>
      </c>
      <c r="CL70" s="280"/>
      <c r="CM70" s="395"/>
      <c r="CN70" s="396" cm="1">
        <f t="array" ref="CN70">IF($CB70=0,0,IF($CB70=INDEX($CB$1:$CB70,$CD70),INDEX($CN$1:$CN70,$CD70),$CP70))</f>
        <v>0</v>
      </c>
      <c r="CO70" s="395"/>
      <c r="CP70" s="396" cm="1">
        <f t="array" ref="CP70">IF($CC70=0,0,INDEX($CP$1:$CP70,$CD70))</f>
        <v>0</v>
      </c>
      <c r="CQ70" s="397"/>
      <c r="CR70" s="398"/>
      <c r="CS70" s="398"/>
      <c r="CT70" s="1152"/>
      <c r="CU70" s="1149"/>
      <c r="CV70" s="647">
        <f t="shared" si="217"/>
        <v>0</v>
      </c>
      <c r="CW70" s="648">
        <f t="shared" si="218"/>
        <v>0</v>
      </c>
      <c r="CX70" s="648">
        <f t="shared" si="219"/>
        <v>0</v>
      </c>
      <c r="CY70" s="648">
        <f t="shared" si="220"/>
        <v>0</v>
      </c>
      <c r="CZ70" s="648">
        <f t="shared" si="221"/>
        <v>0</v>
      </c>
      <c r="DA70" s="648">
        <f t="shared" si="222"/>
        <v>0</v>
      </c>
      <c r="DB70" s="648">
        <f t="shared" si="223"/>
        <v>0</v>
      </c>
      <c r="DC70" s="649">
        <f t="shared" si="224"/>
        <v>0</v>
      </c>
      <c r="DD70" s="648">
        <f t="shared" si="225"/>
        <v>0</v>
      </c>
      <c r="DE70" s="648">
        <f t="shared" si="226"/>
        <v>0</v>
      </c>
      <c r="DF70" s="648">
        <f t="shared" si="227"/>
        <v>0</v>
      </c>
      <c r="DG70" s="649">
        <f t="shared" si="228"/>
        <v>0</v>
      </c>
      <c r="DH70" s="649">
        <f t="shared" si="229"/>
        <v>0</v>
      </c>
      <c r="DI70" s="648">
        <f t="shared" si="230"/>
        <v>0</v>
      </c>
      <c r="DJ70" s="648">
        <f t="shared" si="231"/>
        <v>0</v>
      </c>
      <c r="DK70" s="648">
        <f t="shared" si="232"/>
        <v>0</v>
      </c>
      <c r="DL70" s="648">
        <f t="shared" si="233"/>
        <v>0</v>
      </c>
      <c r="DM70" s="648">
        <f t="shared" si="234"/>
        <v>0</v>
      </c>
      <c r="DN70" s="648">
        <f t="shared" si="235"/>
        <v>0</v>
      </c>
      <c r="DO70" s="648">
        <f t="shared" si="236"/>
        <v>0</v>
      </c>
      <c r="DP70" s="651">
        <f t="shared" si="237"/>
        <v>0</v>
      </c>
      <c r="DQ70" s="951">
        <f>IF($CB70=0,0,$DP70*_xlfn.XLOOKUP($CB70,Premises!$A$10:$F$10,Premises!$A$30:$F$30)/100)</f>
        <v>0</v>
      </c>
      <c r="DR70" s="650">
        <f>IFERROR(SUM($DP70:$DQ70)*IF(INDEX(Premises!$A$42:$F$42,1,MATCH($CB70,Premises!$A$10:$F$10,0))&gt;0,INDEX(Premises!$A$42:$F$42,1,MATCH($CB70,Premises!$A$10:$F$10,0))%,$CN70),0)</f>
        <v>0</v>
      </c>
      <c r="DS70" s="650" cm="1">
        <f t="array" ref="DS70">IF($CB70=0,0,SUM($DP70:$DR70)*_xlfn.XLOOKUP($CB70,Premises!$A$10:$F$10,IF(INDEX(Settings[],MATCH(3001,Settings[ID],0),2)="B",Premises!$A$33:$F$33,Premises!$A$31:$F$31))/100)</f>
        <v>0</v>
      </c>
      <c r="DT70" s="650" cm="1">
        <f t="array" ref="DT70">IF($CB70=0,0,$DP70*_xlfn.XLOOKUP($CB70,Premises!$A$10:$F$10,IF(INDEX(Settings[],MATCH(3002,Settings[ID],0),2)="B",Premises!$A$36:$F$36,Premises!$A$34:$F$34))/100)</f>
        <v>0</v>
      </c>
      <c r="DU70" s="650">
        <f>IF($CB70=0,0,SUM($DP70:$DT70)*_xlfn.XLOOKUP($CB70,Premises!$A$10:$F$10,Premises!$A$37:$F$37)/100)</f>
        <v>0</v>
      </c>
      <c r="DV70" s="954">
        <f t="shared" si="238"/>
        <v>0</v>
      </c>
      <c r="DW70" s="951">
        <f>IF($CC70=0,0,$DV70*_xlfn.XLOOKUP($CC70,Premises!$A$10:$F$10,Premises!$A$30:$F$30)/100)</f>
        <v>0</v>
      </c>
      <c r="DX70" s="650">
        <f>IFERROR(SUM($DV70:$DW70)*IF(INDEX(Premises!$A$42:$F$42,1,MATCH($CC70,Premises!$A$10:$F$10,0))&gt;0,INDEX(Premises!$A$42:$F$42,1,MATCH($CC70,Premises!$A$10:$F$10,0))%,$CP70),0)</f>
        <v>0</v>
      </c>
      <c r="DY70" s="650" cm="1">
        <f t="array" ref="DY70">IF($CC70=0,0,SUM($DV70:$DX70)*_xlfn.XLOOKUP($CC70,Premises!$A$10:$F$10,IF(INDEX(Settings[],MATCH(3001,Settings[ID],0),2)="B",Premises!$A$33:$F$33,Premises!$A$31:$F$31))/100)</f>
        <v>0</v>
      </c>
      <c r="DZ70" s="650" cm="1">
        <f t="array" ref="DZ70">IF($CC70=0,0,$DV70*_xlfn.XLOOKUP($CC70,Premises!$A$10:$F$10,IF(INDEX(Settings[],MATCH(3002,Settings[ID],0),2)="B",Premises!$A$36:$F$36,Premises!$A$34:$F$34))/100)</f>
        <v>0</v>
      </c>
      <c r="EA70" s="650">
        <f>IF($CC70=0,0,SUM($DV70:$DZ70)*_xlfn.XLOOKUP($CC70,Premises!$A$10:$F$10,Premises!$A$37:$F$37)/100)</f>
        <v>0</v>
      </c>
      <c r="EB70" s="651">
        <f t="shared" si="239"/>
        <v>0</v>
      </c>
      <c r="EC70" s="805"/>
      <c r="ED70" s="1104"/>
      <c r="EE70" s="650"/>
      <c r="EF70" s="1110"/>
      <c r="EG70" s="1108"/>
      <c r="EH70" s="1108"/>
      <c r="EI70" s="1108"/>
      <c r="EJ70" s="1108"/>
      <c r="EK70" s="1108"/>
      <c r="EL70" s="1108"/>
      <c r="EM70" s="1110"/>
      <c r="EN70" s="1108"/>
      <c r="EO70" s="1108"/>
      <c r="EP70" s="1108"/>
      <c r="EQ70" s="1108"/>
      <c r="ER70" s="1110"/>
      <c r="ES70" s="1108"/>
      <c r="ET70" s="1108"/>
      <c r="EU70" s="1108"/>
      <c r="EV70" s="1108"/>
      <c r="EW70" s="1108"/>
      <c r="EX70" s="1111"/>
      <c r="EY70" s="2"/>
      <c r="EZ70" s="2"/>
      <c r="FA70" s="2"/>
      <c r="FB70" s="2"/>
      <c r="FC70" s="2"/>
      <c r="FD70" s="2"/>
      <c r="FE70" s="2"/>
      <c r="FF70" s="2"/>
      <c r="FG70" s="2"/>
      <c r="FH70" s="2"/>
      <c r="FI70" s="2"/>
      <c r="FJ70" s="420"/>
      <c r="FK70" s="421"/>
      <c r="FL70" s="422"/>
      <c r="FM70" s="1153"/>
    </row>
    <row r="71" spans="1:169" s="13" customFormat="1" ht="12.75" customHeight="1">
      <c r="A71" s="221"/>
      <c r="B71" s="402" t="s">
        <v>4361</v>
      </c>
      <c r="C71" s="403">
        <v>3</v>
      </c>
      <c r="D71" s="646"/>
      <c r="E71" s="404"/>
      <c r="F71" s="405"/>
      <c r="G71" s="405"/>
      <c r="H71" s="405"/>
      <c r="I71" s="637" cm="1">
        <f t="array" ref="I71">IF($CI71=0,0,IFERROR(INDEX(MHR[],$CI71,MATCH($CA71,MHR!$B$4:$AY$4,0)),0))</f>
        <v>0</v>
      </c>
      <c r="J71" s="634">
        <f t="shared" si="192"/>
        <v>0</v>
      </c>
      <c r="K71" s="406"/>
      <c r="L71" s="407"/>
      <c r="M71" s="871"/>
      <c r="N71" s="407"/>
      <c r="O71" s="405"/>
      <c r="P71" s="645" cm="1">
        <f t="array" ref="P71">IF($K71=0,0,IFERROR(ROUNDUP(IF(ISNUMBER($K71),$K71,INDEX($D$1:$D71,$CD71)*INDEX(Premises!$A$13:$F$13,1,$CH71)/IF(OR($K71="T",$K71="D"),250,IF($K71="W",50,IF($K71="M",12,IF(OR($K71="HJ",$K71="HY"),2,IF(OR($K71="J",$K71="Y"),1,0)))))),0),0))</f>
        <v>0</v>
      </c>
      <c r="Q71" s="637" cm="1">
        <f t="array" ref="Q71">IF($K71=0,0,IFERROR(INDEX(Premises!$A$22:$F$22,1,$CH71)*100/INDEX(Premises!$A$16:$F$16,1,$CH71),0))</f>
        <v>0</v>
      </c>
      <c r="R71" s="634">
        <f t="shared" si="193"/>
        <v>0</v>
      </c>
      <c r="S71" s="408"/>
      <c r="T71" s="409"/>
      <c r="U71" s="637" cm="1">
        <f t="array" ref="U71">IF(COUNTBLANK($S71:$T71),0,
IF(AND(INDEX(MHR[Schichtmodell],$CI71)&lt;&gt;0,INDEX(MHR[Schichtmodell],$CI71)&lt;&gt;INDEX(Premises!$A$20:$F$20,1,$CH71)),ExchangeRate*
IF(OR($T71="M",$T71="U"),IF(INDEX(MHR[Schichtmodell],$CI71)=1,INDEX(LOC[M1S],INDEX(Premises!$A$18:$F$18,1,$CH71+1)),IF(INDEX(MHR[Schichtmodell],$CI71)=2,INDEX(LOC[M2S],INDEX(Premises!$A$18:$F$18,1,$CH71+1),IF(INDEX(MHR[Schichtmodell],$CI71)=3,INDEX(LOC[M3S],INDEX(Premises!$A$18:$F$18,1,$CH71+1)),0)))),
IF(INDEX(MHR[Schichtmodell],$CI71)=1,INDEX(LOC[F1S],INDEX(Premises!$A$18:$F$18,1,$CH71+1)),IF(INDEX(MHR[Schichtmodell],$CI71)=2,INDEX(LOC[F2S],INDEX(Premises!$A$18:$F$18,1,$CH71+1)),IF(INDEX(MHR[Schichtmodell],$CI71)=3,INDEX(LOC[F3S],INDEX(Premises!$A$18:$F$18,1,$CH71+1)),0)))),
IF(OR($T71="M",$T71="U"),INDEX(Premises!$A$21:$F$21,1,$CH71),
IF(OR($T71="F",$T71="S"),INDEX(Premises!$A$22:$F$22,1,$CH71),0)))*100/INDEX(Premises!$A$16:$F$16,1,$CH71))</f>
        <v>0</v>
      </c>
      <c r="V71" s="631">
        <f t="shared" si="194"/>
        <v>0</v>
      </c>
      <c r="W71" s="410"/>
      <c r="X71" s="403"/>
      <c r="Y71" s="411"/>
      <c r="Z71" s="412"/>
      <c r="AA71" s="628">
        <f t="shared" si="195"/>
        <v>0</v>
      </c>
      <c r="AB71" s="410"/>
      <c r="AC71" s="403"/>
      <c r="AD71" s="411"/>
      <c r="AE71" s="413"/>
      <c r="AF71" s="628">
        <f t="shared" si="196"/>
        <v>0</v>
      </c>
      <c r="AG71" s="629" cm="1">
        <f t="array" ref="AG71">IF(($J71+$V71+$AF71)=0,0,INDEX(Premises!$A$30:$F$30,1,$CH71)/100)</f>
        <v>0</v>
      </c>
      <c r="AH71" s="414"/>
      <c r="AI71" s="415"/>
      <c r="AJ71" s="416"/>
      <c r="AK71" s="630">
        <f t="shared" si="197"/>
        <v>0</v>
      </c>
      <c r="AL71" s="631">
        <f t="shared" si="198"/>
        <v>0</v>
      </c>
      <c r="AM71" s="632" cm="1">
        <f t="array" ref="AM71">IF($CI71=0,0,IFERROR(INDEX(MHR[],$CI71,MATCH($CA71,MHR!$B$4:$AY$4,0)+11),0))</f>
        <v>0</v>
      </c>
      <c r="AN71" s="633" cm="1">
        <f t="array" ref="AN71">IF(($J71+$V71)=0,0,IFERROR(IF(INDEX(Premises!$A$41:$F$41,1,$CH71)&lt;&gt;0,INDEX(Premises!$A$41:$F$41,1,$CH71)/100,(IFERROR(($J71/$I71)*$AM71,0)/($V71+$J71+$R71+$AL71))),0))</f>
        <v>0</v>
      </c>
      <c r="AO71" s="634">
        <f t="shared" si="199"/>
        <v>0</v>
      </c>
      <c r="AP71" s="635">
        <f t="shared" si="200"/>
        <v>0</v>
      </c>
      <c r="AQ71" s="410"/>
      <c r="AR71" s="409"/>
      <c r="AS71" s="636" cm="1">
        <f t="array" ref="AS71">IF($CJ71=0,0,IFERROR(INDEX(MAT[Einheit],$CJ71,1),0))</f>
        <v>0</v>
      </c>
      <c r="AT71" s="637" cm="1">
        <f t="array" ref="AT71">IF($CJ71=0,0,IFERROR(INDEX(MAT[Preis],$CJ71,1),0))</f>
        <v>0</v>
      </c>
      <c r="AU71" s="638">
        <f t="shared" si="201"/>
        <v>0</v>
      </c>
      <c r="AV71" s="639" cm="1">
        <f t="array" ref="AV71">IF($AU71&lt;=0,0,INDEX(Premises!$A$30:$F$30,1,$CH71)/100)</f>
        <v>0</v>
      </c>
      <c r="AW71" s="409"/>
      <c r="AX71" s="631">
        <f t="shared" si="202"/>
        <v>0</v>
      </c>
      <c r="AY71" s="640" cm="1">
        <f t="array" ref="AY71">IF($AT71&lt;=0,0,IFERROR(IF(INDEX(Premises!$A$42:$F$42,1,$CH71)&lt;&gt;0,INDEX(Premises!$A$42:$F$42,1,$CH71)/100,(INDEX(MAT[],$CJ71,MATCH($CA71,MAT!$B$4:$AE$4,0))/($AR71*$CK71*INDEX(Premises!$A$13:$F$13,1,$CH71))+INDEX(MAT[],$CJ71,MATCH($CA71,MAT!$B$4:$AE$4,0)+7))/$AT71),0))</f>
        <v>0</v>
      </c>
      <c r="AZ71" s="631">
        <f t="shared" si="203"/>
        <v>0</v>
      </c>
      <c r="BA71" s="635">
        <f t="shared" si="204"/>
        <v>0</v>
      </c>
      <c r="BB71" s="635">
        <f t="shared" si="205"/>
        <v>0</v>
      </c>
      <c r="BC71" s="639" cm="1">
        <f t="array" ref="BC71">IF($BB71&lt;=0,0,IF(BC$2=-1,0,INDEX(Premises!$A$32:$F$32,1,$CH71)/100))</f>
        <v>0</v>
      </c>
      <c r="BD71" s="631">
        <f t="shared" si="206"/>
        <v>0</v>
      </c>
      <c r="BE71" s="639" cm="1">
        <f t="array" ref="BE71">IF($BB71&lt;=0,0,IF(BE$2=-1,0,INDEX(Premises!$A$33:$F$33,1,$CH71)/100))</f>
        <v>0</v>
      </c>
      <c r="BF71" s="631">
        <f t="shared" si="207"/>
        <v>0</v>
      </c>
      <c r="BG71" s="639" cm="1">
        <f t="array" ref="BG71">IF($BB71&lt;=0,0,IF(BG$2=-1,0,INDEX(Premises!$A$31:$F$31,1,$CH71)/100))</f>
        <v>0</v>
      </c>
      <c r="BH71" s="631">
        <f t="shared" si="208"/>
        <v>0</v>
      </c>
      <c r="BI71" s="635">
        <f t="shared" si="209"/>
        <v>0</v>
      </c>
      <c r="BJ71" s="639" cm="1">
        <f t="array" ref="BJ71">IF($BB71&lt;=0,0,IF(BJ$2=-1,0,INDEX(Premises!$A$35:$F$35,1,$CH71)/100))</f>
        <v>0</v>
      </c>
      <c r="BK71" s="631">
        <f t="shared" si="210"/>
        <v>0</v>
      </c>
      <c r="BL71" s="639" cm="1">
        <f t="array" ref="BL71">IF($BB71&lt;=0,0,IF(BL$2=-1,0,INDEX(Premises!$A$36:$F$36,1,$CH71)/100))</f>
        <v>0</v>
      </c>
      <c r="BM71" s="631">
        <f t="shared" si="211"/>
        <v>0</v>
      </c>
      <c r="BN71" s="639" cm="1">
        <f t="array" ref="BN71">IF($BB71&lt;=0,0,IF(BN$2=-1,0,INDEX(Premises!$A$34:$F$34,1,$CH71)/100))</f>
        <v>0</v>
      </c>
      <c r="BO71" s="631">
        <f t="shared" si="212"/>
        <v>0</v>
      </c>
      <c r="BP71" s="639" cm="1">
        <f t="array" ref="BP71">IF($BI71=0,0,INDEX(Premises!$A$37:$F$37,1,$CH71)/100)</f>
        <v>0</v>
      </c>
      <c r="BQ71" s="409"/>
      <c r="BR71" s="631">
        <f t="shared" si="213"/>
        <v>0</v>
      </c>
      <c r="BS71" s="641">
        <f t="shared" si="214"/>
        <v>0</v>
      </c>
      <c r="BT71" s="641">
        <f t="shared" si="215"/>
        <v>0</v>
      </c>
      <c r="BU71" s="642">
        <f t="shared" si="216"/>
        <v>0</v>
      </c>
      <c r="BV71" s="1147"/>
      <c r="BW71" s="418"/>
      <c r="BX71" s="418"/>
      <c r="BY71" s="419"/>
      <c r="BZ71" s="968"/>
      <c r="CA71" s="280" cm="1">
        <f t="array" ref="CA71">IF($BZ71&gt;0,VALUE(LEFT($BZ71,IF(ISERROR(FIND("-",$BZ71)),LEN($BZ71),FIND("-",$BZ71)-1))),INDEX($CA$1:$CA71,MAX(1,$CD71)))</f>
        <v>1</v>
      </c>
      <c r="CB71" s="280" cm="1">
        <f t="array" ref="CB71">IF($BT71=0,0,IF(LEN($BZ71)-LEN(SUBSTITUTE($BZ71,"-",""))&gt;1,
VALUE(MID($BZ71,FIND("-",$BZ71)+1,FIND("-",$BZ71,FIND("-",$BZ71)+1)-FIND("-",$BZ71)-1)),IF($BZ71&gt;0,0,INDEX($CB$1:$CB71,MAX(1,$CD71)))))</f>
        <v>0</v>
      </c>
      <c r="CC71" s="280" cm="1">
        <f t="array" ref="CC71">IF($BT71=0,0,IF(NOT(ISERROR(FIND("-",BZ71))),
VALUE(RIGHT($BZ71,LEN($BZ71)-IF(LEN($BZ71)-LEN(SUBSTITUTE($BZ71,"-",""))=1,FIND("-",$BZ71),FIND("-",$BZ71,FIND("-",$BZ71)+1)))),
IF($BZ71&gt;0,0,INDEX($CC$1:$CC71,MAX(1,$CD71)))))</f>
        <v>0</v>
      </c>
      <c r="CD71" s="393">
        <f>MATCH(0,$CE$1:$CE71,-1)</f>
        <v>49</v>
      </c>
      <c r="CE71" s="280"/>
      <c r="CF71" s="394"/>
      <c r="CG71" s="393" cm="1">
        <f t="array" ref="CG71">INDEX($CG$1:$CG71,$CD71)</f>
        <v>7</v>
      </c>
      <c r="CH71" s="280">
        <f>MATCH($CA71,Premises!$A$10:$F$10,0)</f>
        <v>4</v>
      </c>
      <c r="CI71" s="280">
        <f>IF(ISBLANK($E71),0,IFERROR(MATCH($E71,MHR[Bezeichnung],0),0))</f>
        <v>0</v>
      </c>
      <c r="CJ71" s="394">
        <f>IF(ISBLANK($AQ71),0,IFERROR(MATCH($AQ71,MAT[Bezeichnung],0),0))</f>
        <v>0</v>
      </c>
      <c r="CK71" s="280" cm="1">
        <f t="array" ref="CK71">INDEX($D$1:$D71,$CD71)</f>
        <v>1</v>
      </c>
      <c r="CL71" s="280"/>
      <c r="CM71" s="395"/>
      <c r="CN71" s="396" cm="1">
        <f t="array" ref="CN71">IF($CB71=0,0,IF($CB71=INDEX($CB$1:$CB71,$CD71),INDEX($CN$1:$CN71,$CD71),$CP71))</f>
        <v>0</v>
      </c>
      <c r="CO71" s="395"/>
      <c r="CP71" s="396" cm="1">
        <f t="array" ref="CP71">IF($CC71=0,0,INDEX($CP$1:$CP71,$CD71))</f>
        <v>0</v>
      </c>
      <c r="CQ71" s="397"/>
      <c r="CR71" s="398"/>
      <c r="CS71" s="398"/>
      <c r="CT71" s="1152"/>
      <c r="CU71" s="1149"/>
      <c r="CV71" s="647">
        <f t="shared" si="217"/>
        <v>0</v>
      </c>
      <c r="CW71" s="648">
        <f t="shared" si="218"/>
        <v>0</v>
      </c>
      <c r="CX71" s="648">
        <f t="shared" si="219"/>
        <v>0</v>
      </c>
      <c r="CY71" s="648">
        <f t="shared" si="220"/>
        <v>0</v>
      </c>
      <c r="CZ71" s="648">
        <f t="shared" si="221"/>
        <v>0</v>
      </c>
      <c r="DA71" s="648">
        <f t="shared" si="222"/>
        <v>0</v>
      </c>
      <c r="DB71" s="648">
        <f t="shared" si="223"/>
        <v>0</v>
      </c>
      <c r="DC71" s="649">
        <f t="shared" si="224"/>
        <v>0</v>
      </c>
      <c r="DD71" s="648">
        <f t="shared" si="225"/>
        <v>0</v>
      </c>
      <c r="DE71" s="648">
        <f t="shared" si="226"/>
        <v>0</v>
      </c>
      <c r="DF71" s="648">
        <f t="shared" si="227"/>
        <v>0</v>
      </c>
      <c r="DG71" s="649">
        <f t="shared" si="228"/>
        <v>0</v>
      </c>
      <c r="DH71" s="649">
        <f t="shared" si="229"/>
        <v>0</v>
      </c>
      <c r="DI71" s="648">
        <f t="shared" si="230"/>
        <v>0</v>
      </c>
      <c r="DJ71" s="648">
        <f t="shared" si="231"/>
        <v>0</v>
      </c>
      <c r="DK71" s="648">
        <f t="shared" si="232"/>
        <v>0</v>
      </c>
      <c r="DL71" s="648">
        <f t="shared" si="233"/>
        <v>0</v>
      </c>
      <c r="DM71" s="648">
        <f t="shared" si="234"/>
        <v>0</v>
      </c>
      <c r="DN71" s="648">
        <f t="shared" si="235"/>
        <v>0</v>
      </c>
      <c r="DO71" s="648">
        <f t="shared" si="236"/>
        <v>0</v>
      </c>
      <c r="DP71" s="651">
        <f t="shared" si="237"/>
        <v>0</v>
      </c>
      <c r="DQ71" s="951">
        <f>IF($CB71=0,0,$DP71*_xlfn.XLOOKUP($CB71,Premises!$A$10:$F$10,Premises!$A$30:$F$30)/100)</f>
        <v>0</v>
      </c>
      <c r="DR71" s="650">
        <f>IFERROR(SUM($DP71:$DQ71)*IF(INDEX(Premises!$A$42:$F$42,1,MATCH($CB71,Premises!$A$10:$F$10,0))&gt;0,INDEX(Premises!$A$42:$F$42,1,MATCH($CB71,Premises!$A$10:$F$10,0))%,$CN71),0)</f>
        <v>0</v>
      </c>
      <c r="DS71" s="650" cm="1">
        <f t="array" ref="DS71">IF($CB71=0,0,SUM($DP71:$DR71)*_xlfn.XLOOKUP($CB71,Premises!$A$10:$F$10,IF(INDEX(Settings[],MATCH(3001,Settings[ID],0),2)="B",Premises!$A$33:$F$33,Premises!$A$31:$F$31))/100)</f>
        <v>0</v>
      </c>
      <c r="DT71" s="650" cm="1">
        <f t="array" ref="DT71">IF($CB71=0,0,$DP71*_xlfn.XLOOKUP($CB71,Premises!$A$10:$F$10,IF(INDEX(Settings[],MATCH(3002,Settings[ID],0),2)="B",Premises!$A$36:$F$36,Premises!$A$34:$F$34))/100)</f>
        <v>0</v>
      </c>
      <c r="DU71" s="650">
        <f>IF($CB71=0,0,SUM($DP71:$DT71)*_xlfn.XLOOKUP($CB71,Premises!$A$10:$F$10,Premises!$A$37:$F$37)/100)</f>
        <v>0</v>
      </c>
      <c r="DV71" s="954">
        <f t="shared" si="238"/>
        <v>0</v>
      </c>
      <c r="DW71" s="951">
        <f>IF($CC71=0,0,$DV71*_xlfn.XLOOKUP($CC71,Premises!$A$10:$F$10,Premises!$A$30:$F$30)/100)</f>
        <v>0</v>
      </c>
      <c r="DX71" s="650">
        <f>IFERROR(SUM($DV71:$DW71)*IF(INDEX(Premises!$A$42:$F$42,1,MATCH($CC71,Premises!$A$10:$F$10,0))&gt;0,INDEX(Premises!$A$42:$F$42,1,MATCH($CC71,Premises!$A$10:$F$10,0))%,$CP71),0)</f>
        <v>0</v>
      </c>
      <c r="DY71" s="650" cm="1">
        <f t="array" ref="DY71">IF($CC71=0,0,SUM($DV71:$DX71)*_xlfn.XLOOKUP($CC71,Premises!$A$10:$F$10,IF(INDEX(Settings[],MATCH(3001,Settings[ID],0),2)="B",Premises!$A$33:$F$33,Premises!$A$31:$F$31))/100)</f>
        <v>0</v>
      </c>
      <c r="DZ71" s="650" cm="1">
        <f t="array" ref="DZ71">IF($CC71=0,0,$DV71*_xlfn.XLOOKUP($CC71,Premises!$A$10:$F$10,IF(INDEX(Settings[],MATCH(3002,Settings[ID],0),2)="B",Premises!$A$36:$F$36,Premises!$A$34:$F$34))/100)</f>
        <v>0</v>
      </c>
      <c r="EA71" s="650">
        <f>IF($CC71=0,0,SUM($DV71:$DZ71)*_xlfn.XLOOKUP($CC71,Premises!$A$10:$F$10,Premises!$A$37:$F$37)/100)</f>
        <v>0</v>
      </c>
      <c r="EB71" s="651">
        <f t="shared" si="239"/>
        <v>0</v>
      </c>
      <c r="EC71" s="805"/>
      <c r="ED71" s="1104"/>
      <c r="EE71" s="650"/>
      <c r="EF71" s="1110"/>
      <c r="EG71" s="1108"/>
      <c r="EH71" s="1108"/>
      <c r="EI71" s="1108"/>
      <c r="EJ71" s="1108"/>
      <c r="EK71" s="1108"/>
      <c r="EL71" s="1108"/>
      <c r="EM71" s="1110"/>
      <c r="EN71" s="1108"/>
      <c r="EO71" s="1108"/>
      <c r="EP71" s="1108"/>
      <c r="EQ71" s="1108"/>
      <c r="ER71" s="1110"/>
      <c r="ES71" s="1108"/>
      <c r="ET71" s="1108"/>
      <c r="EU71" s="1108"/>
      <c r="EV71" s="1108"/>
      <c r="EW71" s="1108"/>
      <c r="EX71" s="1111"/>
      <c r="EY71" s="2"/>
      <c r="EZ71" s="2"/>
      <c r="FA71" s="2"/>
      <c r="FB71" s="2"/>
      <c r="FC71" s="2"/>
      <c r="FD71" s="2"/>
      <c r="FE71" s="2"/>
      <c r="FF71" s="2"/>
      <c r="FG71" s="2"/>
      <c r="FH71" s="2"/>
      <c r="FI71" s="2"/>
      <c r="FJ71" s="420"/>
      <c r="FK71" s="421"/>
      <c r="FL71" s="422"/>
      <c r="FM71" s="1153"/>
    </row>
    <row r="72" spans="1:169" s="13" customFormat="1" ht="12.75" customHeight="1">
      <c r="A72" s="221"/>
      <c r="B72" s="402" t="s">
        <v>4362</v>
      </c>
      <c r="C72" s="403">
        <v>5</v>
      </c>
      <c r="D72" s="646"/>
      <c r="E72" s="404"/>
      <c r="F72" s="405"/>
      <c r="G72" s="405"/>
      <c r="H72" s="405"/>
      <c r="I72" s="637" cm="1">
        <f t="array" ref="I72">IF($CI72=0,0,IFERROR(INDEX(MHR[],$CI72,MATCH($CA72,MHR!$B$4:$AY$4,0)),0))</f>
        <v>0</v>
      </c>
      <c r="J72" s="634">
        <f t="shared" si="192"/>
        <v>0</v>
      </c>
      <c r="K72" s="406"/>
      <c r="L72" s="407"/>
      <c r="M72" s="871"/>
      <c r="N72" s="407"/>
      <c r="O72" s="405"/>
      <c r="P72" s="645" cm="1">
        <f t="array" ref="P72">IF($K72=0,0,IFERROR(ROUNDUP(IF(ISNUMBER($K72),$K72,INDEX($D$1:$D72,$CD72)*INDEX(Premises!$A$13:$F$13,1,$CH72)/IF(OR($K72="T",$K72="D"),250,IF($K72="W",50,IF($K72="M",12,IF(OR($K72="HJ",$K72="HY"),2,IF(OR($K72="J",$K72="Y"),1,0)))))),0),0))</f>
        <v>0</v>
      </c>
      <c r="Q72" s="637" cm="1">
        <f t="array" ref="Q72">IF($K72=0,0,IFERROR(INDEX(Premises!$A$22:$F$22,1,$CH72)*100/INDEX(Premises!$A$16:$F$16,1,$CH72),0))</f>
        <v>0</v>
      </c>
      <c r="R72" s="634">
        <f t="shared" si="193"/>
        <v>0</v>
      </c>
      <c r="S72" s="408"/>
      <c r="T72" s="409"/>
      <c r="U72" s="637" cm="1">
        <f t="array" ref="U72">IF(COUNTBLANK($S72:$T72),0,
IF(AND(INDEX(MHR[Schichtmodell],$CI72)&lt;&gt;0,INDEX(MHR[Schichtmodell],$CI72)&lt;&gt;INDEX(Premises!$A$20:$F$20,1,$CH72)),ExchangeRate*
IF(OR($T72="M",$T72="U"),IF(INDEX(MHR[Schichtmodell],$CI72)=1,INDEX(LOC[M1S],INDEX(Premises!$A$18:$F$18,1,$CH72+1)),IF(INDEX(MHR[Schichtmodell],$CI72)=2,INDEX(LOC[M2S],INDEX(Premises!$A$18:$F$18,1,$CH72+1),IF(INDEX(MHR[Schichtmodell],$CI72)=3,INDEX(LOC[M3S],INDEX(Premises!$A$18:$F$18,1,$CH72+1)),0)))),
IF(INDEX(MHR[Schichtmodell],$CI72)=1,INDEX(LOC[F1S],INDEX(Premises!$A$18:$F$18,1,$CH72+1)),IF(INDEX(MHR[Schichtmodell],$CI72)=2,INDEX(LOC[F2S],INDEX(Premises!$A$18:$F$18,1,$CH72+1)),IF(INDEX(MHR[Schichtmodell],$CI72)=3,INDEX(LOC[F3S],INDEX(Premises!$A$18:$F$18,1,$CH72+1)),0)))),
IF(OR($T72="M",$T72="U"),INDEX(Premises!$A$21:$F$21,1,$CH72),
IF(OR($T72="F",$T72="S"),INDEX(Premises!$A$22:$F$22,1,$CH72),0)))*100/INDEX(Premises!$A$16:$F$16,1,$CH72))</f>
        <v>0</v>
      </c>
      <c r="V72" s="631">
        <f t="shared" si="194"/>
        <v>0</v>
      </c>
      <c r="W72" s="410"/>
      <c r="X72" s="403"/>
      <c r="Y72" s="411"/>
      <c r="Z72" s="412"/>
      <c r="AA72" s="628">
        <f t="shared" si="195"/>
        <v>0</v>
      </c>
      <c r="AB72" s="410"/>
      <c r="AC72" s="403"/>
      <c r="AD72" s="411"/>
      <c r="AE72" s="413"/>
      <c r="AF72" s="628">
        <f t="shared" si="196"/>
        <v>0</v>
      </c>
      <c r="AG72" s="629" cm="1">
        <f t="array" ref="AG72">IF(($J72+$V72+$AF72)=0,0,INDEX(Premises!$A$30:$F$30,1,$CH72)/100)</f>
        <v>0</v>
      </c>
      <c r="AH72" s="414"/>
      <c r="AI72" s="415"/>
      <c r="AJ72" s="416"/>
      <c r="AK72" s="630">
        <f t="shared" si="197"/>
        <v>0</v>
      </c>
      <c r="AL72" s="631">
        <f t="shared" si="198"/>
        <v>0</v>
      </c>
      <c r="AM72" s="632" cm="1">
        <f t="array" ref="AM72">IF($CI72=0,0,IFERROR(INDEX(MHR[],$CI72,MATCH($CA72,MHR!$B$4:$AY$4,0)+11),0))</f>
        <v>0</v>
      </c>
      <c r="AN72" s="633" cm="1">
        <f t="array" ref="AN72">IF(($J72+$V72)=0,0,IFERROR(IF(INDEX(Premises!$A$41:$F$41,1,$CH72)&lt;&gt;0,INDEX(Premises!$A$41:$F$41,1,$CH72)/100,(IFERROR(($J72/$I72)*$AM72,0)/($V72+$J72+$R72+$AL72))),0))</f>
        <v>0</v>
      </c>
      <c r="AO72" s="634">
        <f t="shared" si="199"/>
        <v>0</v>
      </c>
      <c r="AP72" s="635">
        <f t="shared" si="200"/>
        <v>0</v>
      </c>
      <c r="AQ72" s="410"/>
      <c r="AR72" s="409"/>
      <c r="AS72" s="636" cm="1">
        <f t="array" ref="AS72">IF($CJ72=0,0,IFERROR(INDEX(MAT[Einheit],$CJ72,1),0))</f>
        <v>0</v>
      </c>
      <c r="AT72" s="637" cm="1">
        <f t="array" ref="AT72">IF($CJ72=0,0,IFERROR(INDEX(MAT[Preis],$CJ72,1),0))</f>
        <v>0</v>
      </c>
      <c r="AU72" s="638">
        <f t="shared" si="201"/>
        <v>0</v>
      </c>
      <c r="AV72" s="639" cm="1">
        <f t="array" ref="AV72">IF($AU72&lt;=0,0,INDEX(Premises!$A$30:$F$30,1,$CH72)/100)</f>
        <v>0</v>
      </c>
      <c r="AW72" s="409"/>
      <c r="AX72" s="631">
        <f t="shared" si="202"/>
        <v>0</v>
      </c>
      <c r="AY72" s="640" cm="1">
        <f t="array" ref="AY72">IF($AT72&lt;=0,0,IFERROR(IF(INDEX(Premises!$A$42:$F$42,1,$CH72)&lt;&gt;0,INDEX(Premises!$A$42:$F$42,1,$CH72)/100,(INDEX(MAT[],$CJ72,MATCH($CA72,MAT!$B$4:$AE$4,0))/($AR72*$CK72*INDEX(Premises!$A$13:$F$13,1,$CH72))+INDEX(MAT[],$CJ72,MATCH($CA72,MAT!$B$4:$AE$4,0)+7))/$AT72),0))</f>
        <v>0</v>
      </c>
      <c r="AZ72" s="631">
        <f t="shared" si="203"/>
        <v>0</v>
      </c>
      <c r="BA72" s="635">
        <f t="shared" si="204"/>
        <v>0</v>
      </c>
      <c r="BB72" s="635">
        <f t="shared" si="205"/>
        <v>0</v>
      </c>
      <c r="BC72" s="639" cm="1">
        <f t="array" ref="BC72">IF($BB72&lt;=0,0,IF(BC$2=-1,0,INDEX(Premises!$A$32:$F$32,1,$CH72)/100))</f>
        <v>0</v>
      </c>
      <c r="BD72" s="631">
        <f t="shared" si="206"/>
        <v>0</v>
      </c>
      <c r="BE72" s="639" cm="1">
        <f t="array" ref="BE72">IF($BB72&lt;=0,0,IF(BE$2=-1,0,INDEX(Premises!$A$33:$F$33,1,$CH72)/100))</f>
        <v>0</v>
      </c>
      <c r="BF72" s="631">
        <f t="shared" si="207"/>
        <v>0</v>
      </c>
      <c r="BG72" s="639" cm="1">
        <f t="array" ref="BG72">IF($BB72&lt;=0,0,IF(BG$2=-1,0,INDEX(Premises!$A$31:$F$31,1,$CH72)/100))</f>
        <v>0</v>
      </c>
      <c r="BH72" s="631">
        <f t="shared" si="208"/>
        <v>0</v>
      </c>
      <c r="BI72" s="635">
        <f t="shared" si="209"/>
        <v>0</v>
      </c>
      <c r="BJ72" s="639" cm="1">
        <f t="array" ref="BJ72">IF($BB72&lt;=0,0,IF(BJ$2=-1,0,INDEX(Premises!$A$35:$F$35,1,$CH72)/100))</f>
        <v>0</v>
      </c>
      <c r="BK72" s="631">
        <f t="shared" si="210"/>
        <v>0</v>
      </c>
      <c r="BL72" s="639" cm="1">
        <f t="array" ref="BL72">IF($BB72&lt;=0,0,IF(BL$2=-1,0,INDEX(Premises!$A$36:$F$36,1,$CH72)/100))</f>
        <v>0</v>
      </c>
      <c r="BM72" s="631">
        <f t="shared" si="211"/>
        <v>0</v>
      </c>
      <c r="BN72" s="639" cm="1">
        <f t="array" ref="BN72">IF($BB72&lt;=0,0,IF(BN$2=-1,0,INDEX(Premises!$A$34:$F$34,1,$CH72)/100))</f>
        <v>0</v>
      </c>
      <c r="BO72" s="631">
        <f t="shared" si="212"/>
        <v>0</v>
      </c>
      <c r="BP72" s="639" cm="1">
        <f t="array" ref="BP72">IF($BI72=0,0,INDEX(Premises!$A$37:$F$37,1,$CH72)/100)</f>
        <v>0</v>
      </c>
      <c r="BQ72" s="409"/>
      <c r="BR72" s="631">
        <f t="shared" si="213"/>
        <v>0</v>
      </c>
      <c r="BS72" s="641">
        <f t="shared" si="214"/>
        <v>0</v>
      </c>
      <c r="BT72" s="641">
        <f t="shared" si="215"/>
        <v>0</v>
      </c>
      <c r="BU72" s="642">
        <f t="shared" si="216"/>
        <v>0</v>
      </c>
      <c r="BV72" s="1147"/>
      <c r="BW72" s="418"/>
      <c r="BX72" s="418"/>
      <c r="BY72" s="419"/>
      <c r="BZ72" s="968"/>
      <c r="CA72" s="280" cm="1">
        <f t="array" ref="CA72">IF($BZ72&gt;0,VALUE(LEFT($BZ72,IF(ISERROR(FIND("-",$BZ72)),LEN($BZ72),FIND("-",$BZ72)-1))),INDEX($CA$1:$CA72,MAX(1,$CD72)))</f>
        <v>1</v>
      </c>
      <c r="CB72" s="280" cm="1">
        <f t="array" ref="CB72">IF($BT72=0,0,IF(LEN($BZ72)-LEN(SUBSTITUTE($BZ72,"-",""))&gt;1,
VALUE(MID($BZ72,FIND("-",$BZ72)+1,FIND("-",$BZ72,FIND("-",$BZ72)+1)-FIND("-",$BZ72)-1)),IF($BZ72&gt;0,0,INDEX($CB$1:$CB72,MAX(1,$CD72)))))</f>
        <v>0</v>
      </c>
      <c r="CC72" s="280" cm="1">
        <f t="array" ref="CC72">IF($BT72=0,0,IF(NOT(ISERROR(FIND("-",BZ72))),
VALUE(RIGHT($BZ72,LEN($BZ72)-IF(LEN($BZ72)-LEN(SUBSTITUTE($BZ72,"-",""))=1,FIND("-",$BZ72),FIND("-",$BZ72,FIND("-",$BZ72)+1)))),
IF($BZ72&gt;0,0,INDEX($CC$1:$CC72,MAX(1,$CD72)))))</f>
        <v>0</v>
      </c>
      <c r="CD72" s="393">
        <f>MATCH(0,$CE$1:$CE72,-1)</f>
        <v>49</v>
      </c>
      <c r="CE72" s="280"/>
      <c r="CF72" s="394"/>
      <c r="CG72" s="393" cm="1">
        <f t="array" ref="CG72">INDEX($CG$1:$CG72,$CD72)</f>
        <v>7</v>
      </c>
      <c r="CH72" s="280">
        <f>MATCH($CA72,Premises!$A$10:$F$10,0)</f>
        <v>4</v>
      </c>
      <c r="CI72" s="280">
        <f>IF(ISBLANK($E72),0,IFERROR(MATCH($E72,MHR[Bezeichnung],0),0))</f>
        <v>0</v>
      </c>
      <c r="CJ72" s="394">
        <f>IF(ISBLANK($AQ72),0,IFERROR(MATCH($AQ72,MAT[Bezeichnung],0),0))</f>
        <v>0</v>
      </c>
      <c r="CK72" s="280" cm="1">
        <f t="array" ref="CK72">INDEX($D$1:$D72,$CD72)</f>
        <v>1</v>
      </c>
      <c r="CL72" s="280"/>
      <c r="CM72" s="395"/>
      <c r="CN72" s="396" cm="1">
        <f t="array" ref="CN72">IF($CB72=0,0,IF($CB72=INDEX($CB$1:$CB72,$CD72),INDEX($CN$1:$CN72,$CD72),$CP72))</f>
        <v>0</v>
      </c>
      <c r="CO72" s="395"/>
      <c r="CP72" s="396" cm="1">
        <f t="array" ref="CP72">IF($CC72=0,0,INDEX($CP$1:$CP72,$CD72))</f>
        <v>0</v>
      </c>
      <c r="CQ72" s="397"/>
      <c r="CR72" s="398"/>
      <c r="CS72" s="398"/>
      <c r="CT72" s="1152"/>
      <c r="CU72" s="1149"/>
      <c r="CV72" s="647">
        <f t="shared" si="217"/>
        <v>0</v>
      </c>
      <c r="CW72" s="648">
        <f t="shared" si="218"/>
        <v>0</v>
      </c>
      <c r="CX72" s="648">
        <f t="shared" si="219"/>
        <v>0</v>
      </c>
      <c r="CY72" s="648">
        <f t="shared" si="220"/>
        <v>0</v>
      </c>
      <c r="CZ72" s="648">
        <f t="shared" si="221"/>
        <v>0</v>
      </c>
      <c r="DA72" s="648">
        <f t="shared" si="222"/>
        <v>0</v>
      </c>
      <c r="DB72" s="648">
        <f t="shared" si="223"/>
        <v>0</v>
      </c>
      <c r="DC72" s="649">
        <f t="shared" si="224"/>
        <v>0</v>
      </c>
      <c r="DD72" s="648">
        <f t="shared" si="225"/>
        <v>0</v>
      </c>
      <c r="DE72" s="648">
        <f t="shared" si="226"/>
        <v>0</v>
      </c>
      <c r="DF72" s="648">
        <f t="shared" si="227"/>
        <v>0</v>
      </c>
      <c r="DG72" s="649">
        <f t="shared" si="228"/>
        <v>0</v>
      </c>
      <c r="DH72" s="649">
        <f t="shared" si="229"/>
        <v>0</v>
      </c>
      <c r="DI72" s="648">
        <f t="shared" si="230"/>
        <v>0</v>
      </c>
      <c r="DJ72" s="648">
        <f t="shared" si="231"/>
        <v>0</v>
      </c>
      <c r="DK72" s="648">
        <f t="shared" si="232"/>
        <v>0</v>
      </c>
      <c r="DL72" s="648">
        <f t="shared" si="233"/>
        <v>0</v>
      </c>
      <c r="DM72" s="648">
        <f t="shared" si="234"/>
        <v>0</v>
      </c>
      <c r="DN72" s="648">
        <f t="shared" si="235"/>
        <v>0</v>
      </c>
      <c r="DO72" s="648">
        <f t="shared" si="236"/>
        <v>0</v>
      </c>
      <c r="DP72" s="651">
        <f t="shared" si="237"/>
        <v>0</v>
      </c>
      <c r="DQ72" s="951">
        <f>IF($CB72=0,0,$DP72*_xlfn.XLOOKUP($CB72,Premises!$A$10:$F$10,Premises!$A$30:$F$30)/100)</f>
        <v>0</v>
      </c>
      <c r="DR72" s="650">
        <f>IFERROR(SUM($DP72:$DQ72)*IF(INDEX(Premises!$A$42:$F$42,1,MATCH($CB72,Premises!$A$10:$F$10,0))&gt;0,INDEX(Premises!$A$42:$F$42,1,MATCH($CB72,Premises!$A$10:$F$10,0))%,$CN72),0)</f>
        <v>0</v>
      </c>
      <c r="DS72" s="650" cm="1">
        <f t="array" ref="DS72">IF($CB72=0,0,SUM($DP72:$DR72)*_xlfn.XLOOKUP($CB72,Premises!$A$10:$F$10,IF(INDEX(Settings[],MATCH(3001,Settings[ID],0),2)="B",Premises!$A$33:$F$33,Premises!$A$31:$F$31))/100)</f>
        <v>0</v>
      </c>
      <c r="DT72" s="650" cm="1">
        <f t="array" ref="DT72">IF($CB72=0,0,$DP72*_xlfn.XLOOKUP($CB72,Premises!$A$10:$F$10,IF(INDEX(Settings[],MATCH(3002,Settings[ID],0),2)="B",Premises!$A$36:$F$36,Premises!$A$34:$F$34))/100)</f>
        <v>0</v>
      </c>
      <c r="DU72" s="650">
        <f>IF($CB72=0,0,SUM($DP72:$DT72)*_xlfn.XLOOKUP($CB72,Premises!$A$10:$F$10,Premises!$A$37:$F$37)/100)</f>
        <v>0</v>
      </c>
      <c r="DV72" s="954">
        <f t="shared" si="238"/>
        <v>0</v>
      </c>
      <c r="DW72" s="951">
        <f>IF($CC72=0,0,$DV72*_xlfn.XLOOKUP($CC72,Premises!$A$10:$F$10,Premises!$A$30:$F$30)/100)</f>
        <v>0</v>
      </c>
      <c r="DX72" s="650">
        <f>IFERROR(SUM($DV72:$DW72)*IF(INDEX(Premises!$A$42:$F$42,1,MATCH($CC72,Premises!$A$10:$F$10,0))&gt;0,INDEX(Premises!$A$42:$F$42,1,MATCH($CC72,Premises!$A$10:$F$10,0))%,$CP72),0)</f>
        <v>0</v>
      </c>
      <c r="DY72" s="650" cm="1">
        <f t="array" ref="DY72">IF($CC72=0,0,SUM($DV72:$DX72)*_xlfn.XLOOKUP($CC72,Premises!$A$10:$F$10,IF(INDEX(Settings[],MATCH(3001,Settings[ID],0),2)="B",Premises!$A$33:$F$33,Premises!$A$31:$F$31))/100)</f>
        <v>0</v>
      </c>
      <c r="DZ72" s="650" cm="1">
        <f t="array" ref="DZ72">IF($CC72=0,0,$DV72*_xlfn.XLOOKUP($CC72,Premises!$A$10:$F$10,IF(INDEX(Settings[],MATCH(3002,Settings[ID],0),2)="B",Premises!$A$36:$F$36,Premises!$A$34:$F$34))/100)</f>
        <v>0</v>
      </c>
      <c r="EA72" s="650">
        <f>IF($CC72=0,0,SUM($DV72:$DZ72)*_xlfn.XLOOKUP($CC72,Premises!$A$10:$F$10,Premises!$A$37:$F$37)/100)</f>
        <v>0</v>
      </c>
      <c r="EB72" s="651">
        <f t="shared" si="239"/>
        <v>0</v>
      </c>
      <c r="EC72" s="805"/>
      <c r="ED72" s="1104"/>
      <c r="EE72" s="650"/>
      <c r="EF72" s="1110"/>
      <c r="EG72" s="1108"/>
      <c r="EH72" s="1108"/>
      <c r="EI72" s="1108"/>
      <c r="EJ72" s="1108"/>
      <c r="EK72" s="1108"/>
      <c r="EL72" s="1108"/>
      <c r="EM72" s="1110"/>
      <c r="EN72" s="1108"/>
      <c r="EO72" s="1108"/>
      <c r="EP72" s="1108"/>
      <c r="EQ72" s="1108"/>
      <c r="ER72" s="1110"/>
      <c r="ES72" s="1108"/>
      <c r="ET72" s="1108"/>
      <c r="EU72" s="1108"/>
      <c r="EV72" s="1108"/>
      <c r="EW72" s="1108"/>
      <c r="EX72" s="1111"/>
      <c r="EY72" s="2"/>
      <c r="EZ72" s="2"/>
      <c r="FA72" s="2"/>
      <c r="FB72" s="2"/>
      <c r="FC72" s="2"/>
      <c r="FD72" s="2"/>
      <c r="FE72" s="2"/>
      <c r="FF72" s="2"/>
      <c r="FG72" s="2"/>
      <c r="FH72" s="2"/>
      <c r="FI72" s="2"/>
      <c r="FJ72" s="420"/>
      <c r="FK72" s="421"/>
      <c r="FL72" s="422"/>
      <c r="FM72" s="1153"/>
    </row>
    <row r="73" spans="1:169" s="13" customFormat="1" ht="12.75" customHeight="1">
      <c r="A73" s="221"/>
      <c r="B73" s="402" t="s">
        <v>4363</v>
      </c>
      <c r="C73" s="403">
        <v>3</v>
      </c>
      <c r="D73" s="646"/>
      <c r="E73" s="404"/>
      <c r="F73" s="405"/>
      <c r="G73" s="405"/>
      <c r="H73" s="405"/>
      <c r="I73" s="637" cm="1">
        <f t="array" ref="I73">IF($CI73=0,0,IFERROR(INDEX(MHR[],$CI73,MATCH($CA73,MHR!$B$4:$AY$4,0)),0))</f>
        <v>0</v>
      </c>
      <c r="J73" s="634">
        <f t="shared" si="192"/>
        <v>0</v>
      </c>
      <c r="K73" s="406"/>
      <c r="L73" s="407"/>
      <c r="M73" s="871"/>
      <c r="N73" s="407"/>
      <c r="O73" s="405"/>
      <c r="P73" s="645" cm="1">
        <f t="array" ref="P73">IF($K73=0,0,IFERROR(ROUNDUP(IF(ISNUMBER($K73),$K73,INDEX($D$1:$D73,$CD73)*INDEX(Premises!$A$13:$F$13,1,$CH73)/IF(OR($K73="T",$K73="D"),250,IF($K73="W",50,IF($K73="M",12,IF(OR($K73="HJ",$K73="HY"),2,IF(OR($K73="J",$K73="Y"),1,0)))))),0),0))</f>
        <v>0</v>
      </c>
      <c r="Q73" s="637" cm="1">
        <f t="array" ref="Q73">IF($K73=0,0,IFERROR(INDEX(Premises!$A$22:$F$22,1,$CH73)*100/INDEX(Premises!$A$16:$F$16,1,$CH73),0))</f>
        <v>0</v>
      </c>
      <c r="R73" s="634">
        <f t="shared" si="193"/>
        <v>0</v>
      </c>
      <c r="S73" s="408"/>
      <c r="T73" s="409"/>
      <c r="U73" s="637" cm="1">
        <f t="array" ref="U73">IF(COUNTBLANK($S73:$T73),0,
IF(AND(INDEX(MHR[Schichtmodell],$CI73)&lt;&gt;0,INDEX(MHR[Schichtmodell],$CI73)&lt;&gt;INDEX(Premises!$A$20:$F$20,1,$CH73)),ExchangeRate*
IF(OR($T73="M",$T73="U"),IF(INDEX(MHR[Schichtmodell],$CI73)=1,INDEX(LOC[M1S],INDEX(Premises!$A$18:$F$18,1,$CH73+1)),IF(INDEX(MHR[Schichtmodell],$CI73)=2,INDEX(LOC[M2S],INDEX(Premises!$A$18:$F$18,1,$CH73+1),IF(INDEX(MHR[Schichtmodell],$CI73)=3,INDEX(LOC[M3S],INDEX(Premises!$A$18:$F$18,1,$CH73+1)),0)))),
IF(INDEX(MHR[Schichtmodell],$CI73)=1,INDEX(LOC[F1S],INDEX(Premises!$A$18:$F$18,1,$CH73+1)),IF(INDEX(MHR[Schichtmodell],$CI73)=2,INDEX(LOC[F2S],INDEX(Premises!$A$18:$F$18,1,$CH73+1)),IF(INDEX(MHR[Schichtmodell],$CI73)=3,INDEX(LOC[F3S],INDEX(Premises!$A$18:$F$18,1,$CH73+1)),0)))),
IF(OR($T73="M",$T73="U"),INDEX(Premises!$A$21:$F$21,1,$CH73),
IF(OR($T73="F",$T73="S"),INDEX(Premises!$A$22:$F$22,1,$CH73),0)))*100/INDEX(Premises!$A$16:$F$16,1,$CH73))</f>
        <v>0</v>
      </c>
      <c r="V73" s="631">
        <f t="shared" si="194"/>
        <v>0</v>
      </c>
      <c r="W73" s="410"/>
      <c r="X73" s="403"/>
      <c r="Y73" s="411"/>
      <c r="Z73" s="412"/>
      <c r="AA73" s="628">
        <f t="shared" si="195"/>
        <v>0</v>
      </c>
      <c r="AB73" s="410"/>
      <c r="AC73" s="403"/>
      <c r="AD73" s="411"/>
      <c r="AE73" s="413"/>
      <c r="AF73" s="628">
        <f t="shared" si="196"/>
        <v>0</v>
      </c>
      <c r="AG73" s="629" cm="1">
        <f t="array" ref="AG73">IF(($J73+$V73+$AF73)=0,0,INDEX(Premises!$A$30:$F$30,1,$CH73)/100)</f>
        <v>0</v>
      </c>
      <c r="AH73" s="414"/>
      <c r="AI73" s="415"/>
      <c r="AJ73" s="416"/>
      <c r="AK73" s="630">
        <f t="shared" si="197"/>
        <v>0</v>
      </c>
      <c r="AL73" s="631">
        <f t="shared" si="198"/>
        <v>0</v>
      </c>
      <c r="AM73" s="632" cm="1">
        <f t="array" ref="AM73">IF($CI73=0,0,IFERROR(INDEX(MHR[],$CI73,MATCH($CA73,MHR!$B$4:$AY$4,0)+11),0))</f>
        <v>0</v>
      </c>
      <c r="AN73" s="633" cm="1">
        <f t="array" ref="AN73">IF(($J73+$V73)=0,0,IFERROR(IF(INDEX(Premises!$A$41:$F$41,1,$CH73)&lt;&gt;0,INDEX(Premises!$A$41:$F$41,1,$CH73)/100,(IFERROR(($J73/$I73)*$AM73,0)/($V73+$J73+$R73+$AL73))),0))</f>
        <v>0</v>
      </c>
      <c r="AO73" s="634">
        <f t="shared" si="199"/>
        <v>0</v>
      </c>
      <c r="AP73" s="635">
        <f t="shared" si="200"/>
        <v>0</v>
      </c>
      <c r="AQ73" s="410"/>
      <c r="AR73" s="409"/>
      <c r="AS73" s="636" cm="1">
        <f t="array" ref="AS73">IF($CJ73=0,0,IFERROR(INDEX(MAT[Einheit],$CJ73,1),0))</f>
        <v>0</v>
      </c>
      <c r="AT73" s="637" cm="1">
        <f t="array" ref="AT73">IF($CJ73=0,0,IFERROR(INDEX(MAT[Preis],$CJ73,1),0))</f>
        <v>0</v>
      </c>
      <c r="AU73" s="638">
        <f t="shared" si="201"/>
        <v>0</v>
      </c>
      <c r="AV73" s="639" cm="1">
        <f t="array" ref="AV73">IF($AU73&lt;=0,0,INDEX(Premises!$A$30:$F$30,1,$CH73)/100)</f>
        <v>0</v>
      </c>
      <c r="AW73" s="409"/>
      <c r="AX73" s="631">
        <f t="shared" si="202"/>
        <v>0</v>
      </c>
      <c r="AY73" s="640" cm="1">
        <f t="array" ref="AY73">IF($AT73&lt;=0,0,IFERROR(IF(INDEX(Premises!$A$42:$F$42,1,$CH73)&lt;&gt;0,INDEX(Premises!$A$42:$F$42,1,$CH73)/100,(INDEX(MAT[],$CJ73,MATCH($CA73,MAT!$B$4:$AE$4,0))/($AR73*$CK73*INDEX(Premises!$A$13:$F$13,1,$CH73))+INDEX(MAT[],$CJ73,MATCH($CA73,MAT!$B$4:$AE$4,0)+7))/$AT73),0))</f>
        <v>0</v>
      </c>
      <c r="AZ73" s="631">
        <f t="shared" si="203"/>
        <v>0</v>
      </c>
      <c r="BA73" s="635">
        <f t="shared" si="204"/>
        <v>0</v>
      </c>
      <c r="BB73" s="635">
        <f t="shared" si="205"/>
        <v>0</v>
      </c>
      <c r="BC73" s="639" cm="1">
        <f t="array" ref="BC73">IF($BB73&lt;=0,0,IF(BC$2=-1,0,INDEX(Premises!$A$32:$F$32,1,$CH73)/100))</f>
        <v>0</v>
      </c>
      <c r="BD73" s="631">
        <f t="shared" si="206"/>
        <v>0</v>
      </c>
      <c r="BE73" s="639" cm="1">
        <f t="array" ref="BE73">IF($BB73&lt;=0,0,IF(BE$2=-1,0,INDEX(Premises!$A$33:$F$33,1,$CH73)/100))</f>
        <v>0</v>
      </c>
      <c r="BF73" s="631">
        <f t="shared" si="207"/>
        <v>0</v>
      </c>
      <c r="BG73" s="639" cm="1">
        <f t="array" ref="BG73">IF($BB73&lt;=0,0,IF(BG$2=-1,0,INDEX(Premises!$A$31:$F$31,1,$CH73)/100))</f>
        <v>0</v>
      </c>
      <c r="BH73" s="631">
        <f t="shared" si="208"/>
        <v>0</v>
      </c>
      <c r="BI73" s="635">
        <f t="shared" si="209"/>
        <v>0</v>
      </c>
      <c r="BJ73" s="639" cm="1">
        <f t="array" ref="BJ73">IF($BB73&lt;=0,0,IF(BJ$2=-1,0,INDEX(Premises!$A$35:$F$35,1,$CH73)/100))</f>
        <v>0</v>
      </c>
      <c r="BK73" s="631">
        <f t="shared" si="210"/>
        <v>0</v>
      </c>
      <c r="BL73" s="639" cm="1">
        <f t="array" ref="BL73">IF($BB73&lt;=0,0,IF(BL$2=-1,0,INDEX(Premises!$A$36:$F$36,1,$CH73)/100))</f>
        <v>0</v>
      </c>
      <c r="BM73" s="631">
        <f t="shared" si="211"/>
        <v>0</v>
      </c>
      <c r="BN73" s="639" cm="1">
        <f t="array" ref="BN73">IF($BB73&lt;=0,0,IF(BN$2=-1,0,INDEX(Premises!$A$34:$F$34,1,$CH73)/100))</f>
        <v>0</v>
      </c>
      <c r="BO73" s="631">
        <f t="shared" si="212"/>
        <v>0</v>
      </c>
      <c r="BP73" s="639" cm="1">
        <f t="array" ref="BP73">IF($BI73=0,0,INDEX(Premises!$A$37:$F$37,1,$CH73)/100)</f>
        <v>0</v>
      </c>
      <c r="BQ73" s="409"/>
      <c r="BR73" s="631">
        <f t="shared" si="213"/>
        <v>0</v>
      </c>
      <c r="BS73" s="641">
        <f t="shared" si="214"/>
        <v>0</v>
      </c>
      <c r="BT73" s="641">
        <f t="shared" si="215"/>
        <v>0</v>
      </c>
      <c r="BU73" s="642">
        <f t="shared" si="216"/>
        <v>0</v>
      </c>
      <c r="BV73" s="1147"/>
      <c r="BW73" s="418"/>
      <c r="BX73" s="418"/>
      <c r="BY73" s="419"/>
      <c r="BZ73" s="968"/>
      <c r="CA73" s="280" cm="1">
        <f t="array" ref="CA73">IF($BZ73&gt;0,VALUE(LEFT($BZ73,IF(ISERROR(FIND("-",$BZ73)),LEN($BZ73),FIND("-",$BZ73)-1))),INDEX($CA$1:$CA73,MAX(1,$CD73)))</f>
        <v>1</v>
      </c>
      <c r="CB73" s="280" cm="1">
        <f t="array" ref="CB73">IF($BT73=0,0,IF(LEN($BZ73)-LEN(SUBSTITUTE($BZ73,"-",""))&gt;1,
VALUE(MID($BZ73,FIND("-",$BZ73)+1,FIND("-",$BZ73,FIND("-",$BZ73)+1)-FIND("-",$BZ73)-1)),IF($BZ73&gt;0,0,INDEX($CB$1:$CB73,MAX(1,$CD73)))))</f>
        <v>0</v>
      </c>
      <c r="CC73" s="280" cm="1">
        <f t="array" ref="CC73">IF($BT73=0,0,IF(NOT(ISERROR(FIND("-",BZ73))),
VALUE(RIGHT($BZ73,LEN($BZ73)-IF(LEN($BZ73)-LEN(SUBSTITUTE($BZ73,"-",""))=1,FIND("-",$BZ73),FIND("-",$BZ73,FIND("-",$BZ73)+1)))),
IF($BZ73&gt;0,0,INDEX($CC$1:$CC73,MAX(1,$CD73)))))</f>
        <v>0</v>
      </c>
      <c r="CD73" s="393">
        <f>MATCH(0,$CE$1:$CE73,-1)</f>
        <v>49</v>
      </c>
      <c r="CE73" s="280"/>
      <c r="CF73" s="394"/>
      <c r="CG73" s="393" cm="1">
        <f t="array" ref="CG73">INDEX($CG$1:$CG73,$CD73)</f>
        <v>7</v>
      </c>
      <c r="CH73" s="280">
        <f>MATCH($CA73,Premises!$A$10:$F$10,0)</f>
        <v>4</v>
      </c>
      <c r="CI73" s="280">
        <f>IF(ISBLANK($E73),0,IFERROR(MATCH($E73,MHR[Bezeichnung],0),0))</f>
        <v>0</v>
      </c>
      <c r="CJ73" s="394">
        <f>IF(ISBLANK($AQ73),0,IFERROR(MATCH($AQ73,MAT[Bezeichnung],0),0))</f>
        <v>0</v>
      </c>
      <c r="CK73" s="280" cm="1">
        <f t="array" ref="CK73">INDEX($D$1:$D73,$CD73)</f>
        <v>1</v>
      </c>
      <c r="CL73" s="280"/>
      <c r="CM73" s="395"/>
      <c r="CN73" s="396" cm="1">
        <f t="array" ref="CN73">IF($CB73=0,0,IF($CB73=INDEX($CB$1:$CB73,$CD73),INDEX($CN$1:$CN73,$CD73),$CP73))</f>
        <v>0</v>
      </c>
      <c r="CO73" s="395"/>
      <c r="CP73" s="396" cm="1">
        <f t="array" ref="CP73">IF($CC73=0,0,INDEX($CP$1:$CP73,$CD73))</f>
        <v>0</v>
      </c>
      <c r="CQ73" s="397"/>
      <c r="CR73" s="398"/>
      <c r="CS73" s="398"/>
      <c r="CT73" s="1152"/>
      <c r="CU73" s="1149"/>
      <c r="CV73" s="647">
        <f t="shared" si="217"/>
        <v>0</v>
      </c>
      <c r="CW73" s="648">
        <f t="shared" si="218"/>
        <v>0</v>
      </c>
      <c r="CX73" s="648">
        <f t="shared" si="219"/>
        <v>0</v>
      </c>
      <c r="CY73" s="648">
        <f t="shared" si="220"/>
        <v>0</v>
      </c>
      <c r="CZ73" s="648">
        <f t="shared" si="221"/>
        <v>0</v>
      </c>
      <c r="DA73" s="648">
        <f t="shared" si="222"/>
        <v>0</v>
      </c>
      <c r="DB73" s="648">
        <f t="shared" si="223"/>
        <v>0</v>
      </c>
      <c r="DC73" s="649">
        <f t="shared" si="224"/>
        <v>0</v>
      </c>
      <c r="DD73" s="648">
        <f t="shared" si="225"/>
        <v>0</v>
      </c>
      <c r="DE73" s="648">
        <f t="shared" si="226"/>
        <v>0</v>
      </c>
      <c r="DF73" s="648">
        <f t="shared" si="227"/>
        <v>0</v>
      </c>
      <c r="DG73" s="649">
        <f t="shared" si="228"/>
        <v>0</v>
      </c>
      <c r="DH73" s="649">
        <f t="shared" si="229"/>
        <v>0</v>
      </c>
      <c r="DI73" s="648">
        <f t="shared" si="230"/>
        <v>0</v>
      </c>
      <c r="DJ73" s="648">
        <f t="shared" si="231"/>
        <v>0</v>
      </c>
      <c r="DK73" s="648">
        <f t="shared" si="232"/>
        <v>0</v>
      </c>
      <c r="DL73" s="648">
        <f t="shared" si="233"/>
        <v>0</v>
      </c>
      <c r="DM73" s="648">
        <f t="shared" si="234"/>
        <v>0</v>
      </c>
      <c r="DN73" s="648">
        <f t="shared" si="235"/>
        <v>0</v>
      </c>
      <c r="DO73" s="648">
        <f t="shared" si="236"/>
        <v>0</v>
      </c>
      <c r="DP73" s="651">
        <f t="shared" si="237"/>
        <v>0</v>
      </c>
      <c r="DQ73" s="951">
        <f>IF($CB73=0,0,$DP73*_xlfn.XLOOKUP($CB73,Premises!$A$10:$F$10,Premises!$A$30:$F$30)/100)</f>
        <v>0</v>
      </c>
      <c r="DR73" s="650">
        <f>IFERROR(SUM($DP73:$DQ73)*IF(INDEX(Premises!$A$42:$F$42,1,MATCH($CB73,Premises!$A$10:$F$10,0))&gt;0,INDEX(Premises!$A$42:$F$42,1,MATCH($CB73,Premises!$A$10:$F$10,0))%,$CN73),0)</f>
        <v>0</v>
      </c>
      <c r="DS73" s="650" cm="1">
        <f t="array" ref="DS73">IF($CB73=0,0,SUM($DP73:$DR73)*_xlfn.XLOOKUP($CB73,Premises!$A$10:$F$10,IF(INDEX(Settings[],MATCH(3001,Settings[ID],0),2)="B",Premises!$A$33:$F$33,Premises!$A$31:$F$31))/100)</f>
        <v>0</v>
      </c>
      <c r="DT73" s="650" cm="1">
        <f t="array" ref="DT73">IF($CB73=0,0,$DP73*_xlfn.XLOOKUP($CB73,Premises!$A$10:$F$10,IF(INDEX(Settings[],MATCH(3002,Settings[ID],0),2)="B",Premises!$A$36:$F$36,Premises!$A$34:$F$34))/100)</f>
        <v>0</v>
      </c>
      <c r="DU73" s="650">
        <f>IF($CB73=0,0,SUM($DP73:$DT73)*_xlfn.XLOOKUP($CB73,Premises!$A$10:$F$10,Premises!$A$37:$F$37)/100)</f>
        <v>0</v>
      </c>
      <c r="DV73" s="954">
        <f t="shared" si="238"/>
        <v>0</v>
      </c>
      <c r="DW73" s="951">
        <f>IF($CC73=0,0,$DV73*_xlfn.XLOOKUP($CC73,Premises!$A$10:$F$10,Premises!$A$30:$F$30)/100)</f>
        <v>0</v>
      </c>
      <c r="DX73" s="650">
        <f>IFERROR(SUM($DV73:$DW73)*IF(INDEX(Premises!$A$42:$F$42,1,MATCH($CC73,Premises!$A$10:$F$10,0))&gt;0,INDEX(Premises!$A$42:$F$42,1,MATCH($CC73,Premises!$A$10:$F$10,0))%,$CP73),0)</f>
        <v>0</v>
      </c>
      <c r="DY73" s="650" cm="1">
        <f t="array" ref="DY73">IF($CC73=0,0,SUM($DV73:$DX73)*_xlfn.XLOOKUP($CC73,Premises!$A$10:$F$10,IF(INDEX(Settings[],MATCH(3001,Settings[ID],0),2)="B",Premises!$A$33:$F$33,Premises!$A$31:$F$31))/100)</f>
        <v>0</v>
      </c>
      <c r="DZ73" s="650" cm="1">
        <f t="array" ref="DZ73">IF($CC73=0,0,$DV73*_xlfn.XLOOKUP($CC73,Premises!$A$10:$F$10,IF(INDEX(Settings[],MATCH(3002,Settings[ID],0),2)="B",Premises!$A$36:$F$36,Premises!$A$34:$F$34))/100)</f>
        <v>0</v>
      </c>
      <c r="EA73" s="650">
        <f>IF($CC73=0,0,SUM($DV73:$DZ73)*_xlfn.XLOOKUP($CC73,Premises!$A$10:$F$10,Premises!$A$37:$F$37)/100)</f>
        <v>0</v>
      </c>
      <c r="EB73" s="651">
        <f t="shared" si="239"/>
        <v>0</v>
      </c>
      <c r="EC73" s="805"/>
      <c r="ED73" s="1104"/>
      <c r="EE73" s="650"/>
      <c r="EF73" s="1110"/>
      <c r="EG73" s="1108"/>
      <c r="EH73" s="1108"/>
      <c r="EI73" s="1108"/>
      <c r="EJ73" s="1108"/>
      <c r="EK73" s="1108"/>
      <c r="EL73" s="1108"/>
      <c r="EM73" s="1110"/>
      <c r="EN73" s="1108"/>
      <c r="EO73" s="1108"/>
      <c r="EP73" s="1108"/>
      <c r="EQ73" s="1108"/>
      <c r="ER73" s="1110"/>
      <c r="ES73" s="1108"/>
      <c r="ET73" s="1108"/>
      <c r="EU73" s="1108"/>
      <c r="EV73" s="1108"/>
      <c r="EW73" s="1108"/>
      <c r="EX73" s="1111"/>
      <c r="EY73" s="2"/>
      <c r="EZ73" s="2"/>
      <c r="FA73" s="2"/>
      <c r="FB73" s="2"/>
      <c r="FC73" s="2"/>
      <c r="FD73" s="2"/>
      <c r="FE73" s="2"/>
      <c r="FF73" s="2"/>
      <c r="FG73" s="2"/>
      <c r="FH73" s="2"/>
      <c r="FI73" s="2"/>
      <c r="FJ73" s="420"/>
      <c r="FK73" s="421"/>
      <c r="FL73" s="422"/>
      <c r="FM73" s="1153"/>
    </row>
    <row r="74" spans="1:169" s="13" customFormat="1" ht="12.75" customHeight="1">
      <c r="A74" s="221"/>
      <c r="B74" s="402" t="s">
        <v>4364</v>
      </c>
      <c r="C74" s="403">
        <v>2</v>
      </c>
      <c r="D74" s="646"/>
      <c r="E74" s="404"/>
      <c r="F74" s="405"/>
      <c r="G74" s="405"/>
      <c r="H74" s="405"/>
      <c r="I74" s="637" cm="1">
        <f t="array" ref="I74">IF($CI74=0,0,IFERROR(INDEX(MHR[],$CI74,MATCH($CA74,MHR!$B$4:$AY$4,0)),0))</f>
        <v>0</v>
      </c>
      <c r="J74" s="634">
        <f t="shared" si="192"/>
        <v>0</v>
      </c>
      <c r="K74" s="406"/>
      <c r="L74" s="407"/>
      <c r="M74" s="871"/>
      <c r="N74" s="407"/>
      <c r="O74" s="405"/>
      <c r="P74" s="645" cm="1">
        <f t="array" ref="P74">IF($K74=0,0,IFERROR(ROUNDUP(IF(ISNUMBER($K74),$K74,INDEX($D$1:$D74,$CD74)*INDEX(Premises!$A$13:$F$13,1,$CH74)/IF(OR($K74="T",$K74="D"),250,IF($K74="W",50,IF($K74="M",12,IF(OR($K74="HJ",$K74="HY"),2,IF(OR($K74="J",$K74="Y"),1,0)))))),0),0))</f>
        <v>0</v>
      </c>
      <c r="Q74" s="637" cm="1">
        <f t="array" ref="Q74">IF($K74=0,0,IFERROR(INDEX(Premises!$A$22:$F$22,1,$CH74)*100/INDEX(Premises!$A$16:$F$16,1,$CH74),0))</f>
        <v>0</v>
      </c>
      <c r="R74" s="634">
        <f t="shared" si="193"/>
        <v>0</v>
      </c>
      <c r="S74" s="408"/>
      <c r="T74" s="409"/>
      <c r="U74" s="637" cm="1">
        <f t="array" ref="U74">IF(COUNTBLANK($S74:$T74),0,
IF(AND(INDEX(MHR[Schichtmodell],$CI74)&lt;&gt;0,INDEX(MHR[Schichtmodell],$CI74)&lt;&gt;INDEX(Premises!$A$20:$F$20,1,$CH74)),ExchangeRate*
IF(OR($T74="M",$T74="U"),IF(INDEX(MHR[Schichtmodell],$CI74)=1,INDEX(LOC[M1S],INDEX(Premises!$A$18:$F$18,1,$CH74+1)),IF(INDEX(MHR[Schichtmodell],$CI74)=2,INDEX(LOC[M2S],INDEX(Premises!$A$18:$F$18,1,$CH74+1),IF(INDEX(MHR[Schichtmodell],$CI74)=3,INDEX(LOC[M3S],INDEX(Premises!$A$18:$F$18,1,$CH74+1)),0)))),
IF(INDEX(MHR[Schichtmodell],$CI74)=1,INDEX(LOC[F1S],INDEX(Premises!$A$18:$F$18,1,$CH74+1)),IF(INDEX(MHR[Schichtmodell],$CI74)=2,INDEX(LOC[F2S],INDEX(Premises!$A$18:$F$18,1,$CH74+1)),IF(INDEX(MHR[Schichtmodell],$CI74)=3,INDEX(LOC[F3S],INDEX(Premises!$A$18:$F$18,1,$CH74+1)),0)))),
IF(OR($T74="M",$T74="U"),INDEX(Premises!$A$21:$F$21,1,$CH74),
IF(OR($T74="F",$T74="S"),INDEX(Premises!$A$22:$F$22,1,$CH74),0)))*100/INDEX(Premises!$A$16:$F$16,1,$CH74))</f>
        <v>0</v>
      </c>
      <c r="V74" s="631">
        <f t="shared" si="194"/>
        <v>0</v>
      </c>
      <c r="W74" s="410"/>
      <c r="X74" s="403"/>
      <c r="Y74" s="411"/>
      <c r="Z74" s="412"/>
      <c r="AA74" s="628">
        <f t="shared" si="195"/>
        <v>0</v>
      </c>
      <c r="AB74" s="410"/>
      <c r="AC74" s="403"/>
      <c r="AD74" s="411"/>
      <c r="AE74" s="413"/>
      <c r="AF74" s="628">
        <f t="shared" si="196"/>
        <v>0</v>
      </c>
      <c r="AG74" s="629" cm="1">
        <f t="array" ref="AG74">IF(($J74+$V74+$AF74)=0,0,INDEX(Premises!$A$30:$F$30,1,$CH74)/100)</f>
        <v>0</v>
      </c>
      <c r="AH74" s="414"/>
      <c r="AI74" s="415"/>
      <c r="AJ74" s="416"/>
      <c r="AK74" s="630">
        <f t="shared" si="197"/>
        <v>0</v>
      </c>
      <c r="AL74" s="631">
        <f t="shared" si="198"/>
        <v>0</v>
      </c>
      <c r="AM74" s="632" cm="1">
        <f t="array" ref="AM74">IF($CI74=0,0,IFERROR(INDEX(MHR[],$CI74,MATCH($CA74,MHR!$B$4:$AY$4,0)+11),0))</f>
        <v>0</v>
      </c>
      <c r="AN74" s="633" cm="1">
        <f t="array" ref="AN74">IF(($J74+$V74)=0,0,IFERROR(IF(INDEX(Premises!$A$41:$F$41,1,$CH74)&lt;&gt;0,INDEX(Premises!$A$41:$F$41,1,$CH74)/100,(IFERROR(($J74/$I74)*$AM74,0)/($V74+$J74+$R74+$AL74))),0))</f>
        <v>0</v>
      </c>
      <c r="AO74" s="634">
        <f t="shared" si="199"/>
        <v>0</v>
      </c>
      <c r="AP74" s="635">
        <f t="shared" si="200"/>
        <v>0</v>
      </c>
      <c r="AQ74" s="410"/>
      <c r="AR74" s="409"/>
      <c r="AS74" s="636" cm="1">
        <f t="array" ref="AS74">IF($CJ74=0,0,IFERROR(INDEX(MAT[Einheit],$CJ74,1),0))</f>
        <v>0</v>
      </c>
      <c r="AT74" s="637" cm="1">
        <f t="array" ref="AT74">IF($CJ74=0,0,IFERROR(INDEX(MAT[Preis],$CJ74,1),0))</f>
        <v>0</v>
      </c>
      <c r="AU74" s="638">
        <f t="shared" si="201"/>
        <v>0</v>
      </c>
      <c r="AV74" s="639" cm="1">
        <f t="array" ref="AV74">IF($AU74&lt;=0,0,INDEX(Premises!$A$30:$F$30,1,$CH74)/100)</f>
        <v>0</v>
      </c>
      <c r="AW74" s="409"/>
      <c r="AX74" s="631">
        <f t="shared" si="202"/>
        <v>0</v>
      </c>
      <c r="AY74" s="640" cm="1">
        <f t="array" ref="AY74">IF($AT74&lt;=0,0,IFERROR(IF(INDEX(Premises!$A$42:$F$42,1,$CH74)&lt;&gt;0,INDEX(Premises!$A$42:$F$42,1,$CH74)/100,(INDEX(MAT[],$CJ74,MATCH($CA74,MAT!$B$4:$AE$4,0))/($AR74*$CK74*INDEX(Premises!$A$13:$F$13,1,$CH74))+INDEX(MAT[],$CJ74,MATCH($CA74,MAT!$B$4:$AE$4,0)+7))/$AT74),0))</f>
        <v>0</v>
      </c>
      <c r="AZ74" s="631">
        <f t="shared" si="203"/>
        <v>0</v>
      </c>
      <c r="BA74" s="635">
        <f t="shared" si="204"/>
        <v>0</v>
      </c>
      <c r="BB74" s="635">
        <f t="shared" si="205"/>
        <v>0</v>
      </c>
      <c r="BC74" s="639" cm="1">
        <f t="array" ref="BC74">IF($BB74&lt;=0,0,IF(BC$2=-1,0,INDEX(Premises!$A$32:$F$32,1,$CH74)/100))</f>
        <v>0</v>
      </c>
      <c r="BD74" s="631">
        <f t="shared" si="206"/>
        <v>0</v>
      </c>
      <c r="BE74" s="639" cm="1">
        <f t="array" ref="BE74">IF($BB74&lt;=0,0,IF(BE$2=-1,0,INDEX(Premises!$A$33:$F$33,1,$CH74)/100))</f>
        <v>0</v>
      </c>
      <c r="BF74" s="631">
        <f t="shared" si="207"/>
        <v>0</v>
      </c>
      <c r="BG74" s="639" cm="1">
        <f t="array" ref="BG74">IF($BB74&lt;=0,0,IF(BG$2=-1,0,INDEX(Premises!$A$31:$F$31,1,$CH74)/100))</f>
        <v>0</v>
      </c>
      <c r="BH74" s="631">
        <f t="shared" si="208"/>
        <v>0</v>
      </c>
      <c r="BI74" s="635">
        <f t="shared" si="209"/>
        <v>0</v>
      </c>
      <c r="BJ74" s="639" cm="1">
        <f t="array" ref="BJ74">IF($BB74&lt;=0,0,IF(BJ$2=-1,0,INDEX(Premises!$A$35:$F$35,1,$CH74)/100))</f>
        <v>0</v>
      </c>
      <c r="BK74" s="631">
        <f t="shared" si="210"/>
        <v>0</v>
      </c>
      <c r="BL74" s="639" cm="1">
        <f t="array" ref="BL74">IF($BB74&lt;=0,0,IF(BL$2=-1,0,INDEX(Premises!$A$36:$F$36,1,$CH74)/100))</f>
        <v>0</v>
      </c>
      <c r="BM74" s="631">
        <f t="shared" si="211"/>
        <v>0</v>
      </c>
      <c r="BN74" s="639" cm="1">
        <f t="array" ref="BN74">IF($BB74&lt;=0,0,IF(BN$2=-1,0,INDEX(Premises!$A$34:$F$34,1,$CH74)/100))</f>
        <v>0</v>
      </c>
      <c r="BO74" s="631">
        <f t="shared" si="212"/>
        <v>0</v>
      </c>
      <c r="BP74" s="639" cm="1">
        <f t="array" ref="BP74">IF($BI74=0,0,INDEX(Premises!$A$37:$F$37,1,$CH74)/100)</f>
        <v>0</v>
      </c>
      <c r="BQ74" s="409"/>
      <c r="BR74" s="631">
        <f t="shared" si="213"/>
        <v>0</v>
      </c>
      <c r="BS74" s="641">
        <f t="shared" si="214"/>
        <v>0</v>
      </c>
      <c r="BT74" s="641">
        <f t="shared" si="215"/>
        <v>0</v>
      </c>
      <c r="BU74" s="642">
        <f t="shared" si="216"/>
        <v>0</v>
      </c>
      <c r="BV74" s="1147"/>
      <c r="BW74" s="418"/>
      <c r="BX74" s="418"/>
      <c r="BY74" s="419"/>
      <c r="BZ74" s="968"/>
      <c r="CA74" s="280" cm="1">
        <f t="array" ref="CA74">IF($BZ74&gt;0,VALUE(LEFT($BZ74,IF(ISERROR(FIND("-",$BZ74)),LEN($BZ74),FIND("-",$BZ74)-1))),INDEX($CA$1:$CA74,MAX(1,$CD74)))</f>
        <v>1</v>
      </c>
      <c r="CB74" s="280" cm="1">
        <f t="array" ref="CB74">IF($BT74=0,0,IF(LEN($BZ74)-LEN(SUBSTITUTE($BZ74,"-",""))&gt;1,
VALUE(MID($BZ74,FIND("-",$BZ74)+1,FIND("-",$BZ74,FIND("-",$BZ74)+1)-FIND("-",$BZ74)-1)),IF($BZ74&gt;0,0,INDEX($CB$1:$CB74,MAX(1,$CD74)))))</f>
        <v>0</v>
      </c>
      <c r="CC74" s="280" cm="1">
        <f t="array" ref="CC74">IF($BT74=0,0,IF(NOT(ISERROR(FIND("-",BZ74))),
VALUE(RIGHT($BZ74,LEN($BZ74)-IF(LEN($BZ74)-LEN(SUBSTITUTE($BZ74,"-",""))=1,FIND("-",$BZ74),FIND("-",$BZ74,FIND("-",$BZ74)+1)))),
IF($BZ74&gt;0,0,INDEX($CC$1:$CC74,MAX(1,$CD74)))))</f>
        <v>0</v>
      </c>
      <c r="CD74" s="393">
        <f>MATCH(0,$CE$1:$CE74,-1)</f>
        <v>49</v>
      </c>
      <c r="CE74" s="280"/>
      <c r="CF74" s="394"/>
      <c r="CG74" s="393" cm="1">
        <f t="array" ref="CG74">INDEX($CG$1:$CG74,$CD74)</f>
        <v>7</v>
      </c>
      <c r="CH74" s="280">
        <f>MATCH($CA74,Premises!$A$10:$F$10,0)</f>
        <v>4</v>
      </c>
      <c r="CI74" s="280">
        <f>IF(ISBLANK($E74),0,IFERROR(MATCH($E74,MHR[Bezeichnung],0),0))</f>
        <v>0</v>
      </c>
      <c r="CJ74" s="394">
        <f>IF(ISBLANK($AQ74),0,IFERROR(MATCH($AQ74,MAT[Bezeichnung],0),0))</f>
        <v>0</v>
      </c>
      <c r="CK74" s="280" cm="1">
        <f t="array" ref="CK74">INDEX($D$1:$D74,$CD74)</f>
        <v>1</v>
      </c>
      <c r="CL74" s="280"/>
      <c r="CM74" s="395"/>
      <c r="CN74" s="396" cm="1">
        <f t="array" ref="CN74">IF($CB74=0,0,IF($CB74=INDEX($CB$1:$CB74,$CD74),INDEX($CN$1:$CN74,$CD74),$CP74))</f>
        <v>0</v>
      </c>
      <c r="CO74" s="395"/>
      <c r="CP74" s="396" cm="1">
        <f t="array" ref="CP74">IF($CC74=0,0,INDEX($CP$1:$CP74,$CD74))</f>
        <v>0</v>
      </c>
      <c r="CQ74" s="397"/>
      <c r="CR74" s="398"/>
      <c r="CS74" s="398"/>
      <c r="CT74" s="1152"/>
      <c r="CU74" s="1149"/>
      <c r="CV74" s="647">
        <f t="shared" si="217"/>
        <v>0</v>
      </c>
      <c r="CW74" s="648">
        <f t="shared" si="218"/>
        <v>0</v>
      </c>
      <c r="CX74" s="648">
        <f t="shared" si="219"/>
        <v>0</v>
      </c>
      <c r="CY74" s="648">
        <f t="shared" si="220"/>
        <v>0</v>
      </c>
      <c r="CZ74" s="648">
        <f t="shared" si="221"/>
        <v>0</v>
      </c>
      <c r="DA74" s="648">
        <f t="shared" si="222"/>
        <v>0</v>
      </c>
      <c r="DB74" s="648">
        <f t="shared" si="223"/>
        <v>0</v>
      </c>
      <c r="DC74" s="649">
        <f t="shared" si="224"/>
        <v>0</v>
      </c>
      <c r="DD74" s="648">
        <f t="shared" si="225"/>
        <v>0</v>
      </c>
      <c r="DE74" s="648">
        <f t="shared" si="226"/>
        <v>0</v>
      </c>
      <c r="DF74" s="648">
        <f t="shared" si="227"/>
        <v>0</v>
      </c>
      <c r="DG74" s="649">
        <f t="shared" si="228"/>
        <v>0</v>
      </c>
      <c r="DH74" s="649">
        <f t="shared" si="229"/>
        <v>0</v>
      </c>
      <c r="DI74" s="648">
        <f t="shared" si="230"/>
        <v>0</v>
      </c>
      <c r="DJ74" s="648">
        <f t="shared" si="231"/>
        <v>0</v>
      </c>
      <c r="DK74" s="648">
        <f t="shared" si="232"/>
        <v>0</v>
      </c>
      <c r="DL74" s="648">
        <f t="shared" si="233"/>
        <v>0</v>
      </c>
      <c r="DM74" s="648">
        <f t="shared" si="234"/>
        <v>0</v>
      </c>
      <c r="DN74" s="648">
        <f t="shared" si="235"/>
        <v>0</v>
      </c>
      <c r="DO74" s="648">
        <f t="shared" si="236"/>
        <v>0</v>
      </c>
      <c r="DP74" s="651">
        <f t="shared" si="237"/>
        <v>0</v>
      </c>
      <c r="DQ74" s="951">
        <f>IF($CB74=0,0,$DP74*_xlfn.XLOOKUP($CB74,Premises!$A$10:$F$10,Premises!$A$30:$F$30)/100)</f>
        <v>0</v>
      </c>
      <c r="DR74" s="650">
        <f>IFERROR(SUM($DP74:$DQ74)*IF(INDEX(Premises!$A$42:$F$42,1,MATCH($CB74,Premises!$A$10:$F$10,0))&gt;0,INDEX(Premises!$A$42:$F$42,1,MATCH($CB74,Premises!$A$10:$F$10,0))%,$CN74),0)</f>
        <v>0</v>
      </c>
      <c r="DS74" s="650" cm="1">
        <f t="array" ref="DS74">IF($CB74=0,0,SUM($DP74:$DR74)*_xlfn.XLOOKUP($CB74,Premises!$A$10:$F$10,IF(INDEX(Settings[],MATCH(3001,Settings[ID],0),2)="B",Premises!$A$33:$F$33,Premises!$A$31:$F$31))/100)</f>
        <v>0</v>
      </c>
      <c r="DT74" s="650" cm="1">
        <f t="array" ref="DT74">IF($CB74=0,0,$DP74*_xlfn.XLOOKUP($CB74,Premises!$A$10:$F$10,IF(INDEX(Settings[],MATCH(3002,Settings[ID],0),2)="B",Premises!$A$36:$F$36,Premises!$A$34:$F$34))/100)</f>
        <v>0</v>
      </c>
      <c r="DU74" s="650">
        <f>IF($CB74=0,0,SUM($DP74:$DT74)*_xlfn.XLOOKUP($CB74,Premises!$A$10:$F$10,Premises!$A$37:$F$37)/100)</f>
        <v>0</v>
      </c>
      <c r="DV74" s="954">
        <f t="shared" si="238"/>
        <v>0</v>
      </c>
      <c r="DW74" s="951">
        <f>IF($CC74=0,0,$DV74*_xlfn.XLOOKUP($CC74,Premises!$A$10:$F$10,Premises!$A$30:$F$30)/100)</f>
        <v>0</v>
      </c>
      <c r="DX74" s="650">
        <f>IFERROR(SUM($DV74:$DW74)*IF(INDEX(Premises!$A$42:$F$42,1,MATCH($CC74,Premises!$A$10:$F$10,0))&gt;0,INDEX(Premises!$A$42:$F$42,1,MATCH($CC74,Premises!$A$10:$F$10,0))%,$CP74),0)</f>
        <v>0</v>
      </c>
      <c r="DY74" s="650" cm="1">
        <f t="array" ref="DY74">IF($CC74=0,0,SUM($DV74:$DX74)*_xlfn.XLOOKUP($CC74,Premises!$A$10:$F$10,IF(INDEX(Settings[],MATCH(3001,Settings[ID],0),2)="B",Premises!$A$33:$F$33,Premises!$A$31:$F$31))/100)</f>
        <v>0</v>
      </c>
      <c r="DZ74" s="650" cm="1">
        <f t="array" ref="DZ74">IF($CC74=0,0,$DV74*_xlfn.XLOOKUP($CC74,Premises!$A$10:$F$10,IF(INDEX(Settings[],MATCH(3002,Settings[ID],0),2)="B",Premises!$A$36:$F$36,Premises!$A$34:$F$34))/100)</f>
        <v>0</v>
      </c>
      <c r="EA74" s="650">
        <f>IF($CC74=0,0,SUM($DV74:$DZ74)*_xlfn.XLOOKUP($CC74,Premises!$A$10:$F$10,Premises!$A$37:$F$37)/100)</f>
        <v>0</v>
      </c>
      <c r="EB74" s="651">
        <f t="shared" si="239"/>
        <v>0</v>
      </c>
      <c r="EC74" s="805"/>
      <c r="ED74" s="1104"/>
      <c r="EE74" s="650"/>
      <c r="EF74" s="1110"/>
      <c r="EG74" s="1108"/>
      <c r="EH74" s="1108"/>
      <c r="EI74" s="1108"/>
      <c r="EJ74" s="1108"/>
      <c r="EK74" s="1108"/>
      <c r="EL74" s="1108"/>
      <c r="EM74" s="1110"/>
      <c r="EN74" s="1108"/>
      <c r="EO74" s="1108"/>
      <c r="EP74" s="1108"/>
      <c r="EQ74" s="1108"/>
      <c r="ER74" s="1110"/>
      <c r="ES74" s="1108"/>
      <c r="ET74" s="1108"/>
      <c r="EU74" s="1108"/>
      <c r="EV74" s="1108"/>
      <c r="EW74" s="1108"/>
      <c r="EX74" s="1111"/>
      <c r="EY74" s="2"/>
      <c r="EZ74" s="2"/>
      <c r="FA74" s="2"/>
      <c r="FB74" s="2"/>
      <c r="FC74" s="2"/>
      <c r="FD74" s="2"/>
      <c r="FE74" s="2"/>
      <c r="FF74" s="2"/>
      <c r="FG74" s="2"/>
      <c r="FH74" s="2"/>
      <c r="FI74" s="2"/>
      <c r="FJ74" s="420"/>
      <c r="FK74" s="421"/>
      <c r="FL74" s="422"/>
      <c r="FM74" s="1153"/>
    </row>
    <row r="75" spans="1:169" s="13" customFormat="1" ht="12.75" customHeight="1">
      <c r="A75" s="221"/>
      <c r="B75" s="402" t="s">
        <v>4365</v>
      </c>
      <c r="C75" s="403">
        <v>4</v>
      </c>
      <c r="D75" s="646"/>
      <c r="E75" s="404"/>
      <c r="F75" s="405"/>
      <c r="G75" s="405"/>
      <c r="H75" s="405"/>
      <c r="I75" s="637" cm="1">
        <f t="array" ref="I75">IF($CI75=0,0,IFERROR(INDEX(MHR[],$CI75,MATCH($CA75,MHR!$B$4:$AY$4,0)),0))</f>
        <v>0</v>
      </c>
      <c r="J75" s="634">
        <f t="shared" si="192"/>
        <v>0</v>
      </c>
      <c r="K75" s="406"/>
      <c r="L75" s="407"/>
      <c r="M75" s="871"/>
      <c r="N75" s="407"/>
      <c r="O75" s="405"/>
      <c r="P75" s="645" cm="1">
        <f t="array" ref="P75">IF($K75=0,0,IFERROR(ROUNDUP(IF(ISNUMBER($K75),$K75,INDEX($D$1:$D75,$CD75)*INDEX(Premises!$A$13:$F$13,1,$CH75)/IF(OR($K75="T",$K75="D"),250,IF($K75="W",50,IF($K75="M",12,IF(OR($K75="HJ",$K75="HY"),2,IF(OR($K75="J",$K75="Y"),1,0)))))),0),0))</f>
        <v>0</v>
      </c>
      <c r="Q75" s="637" cm="1">
        <f t="array" ref="Q75">IF($K75=0,0,IFERROR(INDEX(Premises!$A$22:$F$22,1,$CH75)*100/INDEX(Premises!$A$16:$F$16,1,$CH75),0))</f>
        <v>0</v>
      </c>
      <c r="R75" s="634">
        <f t="shared" si="193"/>
        <v>0</v>
      </c>
      <c r="S75" s="408"/>
      <c r="T75" s="409"/>
      <c r="U75" s="637" cm="1">
        <f t="array" ref="U75">IF(COUNTBLANK($S75:$T75),0,
IF(AND(INDEX(MHR[Schichtmodell],$CI75)&lt;&gt;0,INDEX(MHR[Schichtmodell],$CI75)&lt;&gt;INDEX(Premises!$A$20:$F$20,1,$CH75)),ExchangeRate*
IF(OR($T75="M",$T75="U"),IF(INDEX(MHR[Schichtmodell],$CI75)=1,INDEX(LOC[M1S],INDEX(Premises!$A$18:$F$18,1,$CH75+1)),IF(INDEX(MHR[Schichtmodell],$CI75)=2,INDEX(LOC[M2S],INDEX(Premises!$A$18:$F$18,1,$CH75+1),IF(INDEX(MHR[Schichtmodell],$CI75)=3,INDEX(LOC[M3S],INDEX(Premises!$A$18:$F$18,1,$CH75+1)),0)))),
IF(INDEX(MHR[Schichtmodell],$CI75)=1,INDEX(LOC[F1S],INDEX(Premises!$A$18:$F$18,1,$CH75+1)),IF(INDEX(MHR[Schichtmodell],$CI75)=2,INDEX(LOC[F2S],INDEX(Premises!$A$18:$F$18,1,$CH75+1)),IF(INDEX(MHR[Schichtmodell],$CI75)=3,INDEX(LOC[F3S],INDEX(Premises!$A$18:$F$18,1,$CH75+1)),0)))),
IF(OR($T75="M",$T75="U"),INDEX(Premises!$A$21:$F$21,1,$CH75),
IF(OR($T75="F",$T75="S"),INDEX(Premises!$A$22:$F$22,1,$CH75),0)))*100/INDEX(Premises!$A$16:$F$16,1,$CH75))</f>
        <v>0</v>
      </c>
      <c r="V75" s="631">
        <f t="shared" si="194"/>
        <v>0</v>
      </c>
      <c r="W75" s="410"/>
      <c r="X75" s="403"/>
      <c r="Y75" s="411"/>
      <c r="Z75" s="412"/>
      <c r="AA75" s="628">
        <f t="shared" si="195"/>
        <v>0</v>
      </c>
      <c r="AB75" s="410"/>
      <c r="AC75" s="403"/>
      <c r="AD75" s="411"/>
      <c r="AE75" s="413"/>
      <c r="AF75" s="628">
        <f t="shared" si="196"/>
        <v>0</v>
      </c>
      <c r="AG75" s="629" cm="1">
        <f t="array" ref="AG75">IF(($J75+$V75+$AF75)=0,0,INDEX(Premises!$A$30:$F$30,1,$CH75)/100)</f>
        <v>0</v>
      </c>
      <c r="AH75" s="414"/>
      <c r="AI75" s="415"/>
      <c r="AJ75" s="416"/>
      <c r="AK75" s="630">
        <f t="shared" si="197"/>
        <v>0</v>
      </c>
      <c r="AL75" s="631">
        <f t="shared" si="198"/>
        <v>0</v>
      </c>
      <c r="AM75" s="632" cm="1">
        <f t="array" ref="AM75">IF($CI75=0,0,IFERROR(INDEX(MHR[],$CI75,MATCH($CA75,MHR!$B$4:$AY$4,0)+11),0))</f>
        <v>0</v>
      </c>
      <c r="AN75" s="633" cm="1">
        <f t="array" ref="AN75">IF(($J75+$V75)=0,0,IFERROR(IF(INDEX(Premises!$A$41:$F$41,1,$CH75)&lt;&gt;0,INDEX(Premises!$A$41:$F$41,1,$CH75)/100,(IFERROR(($J75/$I75)*$AM75,0)/($V75+$J75+$R75+$AL75))),0))</f>
        <v>0</v>
      </c>
      <c r="AO75" s="634">
        <f t="shared" si="199"/>
        <v>0</v>
      </c>
      <c r="AP75" s="635">
        <f t="shared" si="200"/>
        <v>0</v>
      </c>
      <c r="AQ75" s="410"/>
      <c r="AR75" s="409"/>
      <c r="AS75" s="636" cm="1">
        <f t="array" ref="AS75">IF($CJ75=0,0,IFERROR(INDEX(MAT[Einheit],$CJ75,1),0))</f>
        <v>0</v>
      </c>
      <c r="AT75" s="637" cm="1">
        <f t="array" ref="AT75">IF($CJ75=0,0,IFERROR(INDEX(MAT[Preis],$CJ75,1),0))</f>
        <v>0</v>
      </c>
      <c r="AU75" s="638">
        <f t="shared" si="201"/>
        <v>0</v>
      </c>
      <c r="AV75" s="639" cm="1">
        <f t="array" ref="AV75">IF($AU75&lt;=0,0,INDEX(Premises!$A$30:$F$30,1,$CH75)/100)</f>
        <v>0</v>
      </c>
      <c r="AW75" s="409"/>
      <c r="AX75" s="631">
        <f t="shared" si="202"/>
        <v>0</v>
      </c>
      <c r="AY75" s="640" cm="1">
        <f t="array" ref="AY75">IF($AT75&lt;=0,0,IFERROR(IF(INDEX(Premises!$A$42:$F$42,1,$CH75)&lt;&gt;0,INDEX(Premises!$A$42:$F$42,1,$CH75)/100,(INDEX(MAT[],$CJ75,MATCH($CA75,MAT!$B$4:$AE$4,0))/($AR75*$CK75*INDEX(Premises!$A$13:$F$13,1,$CH75))+INDEX(MAT[],$CJ75,MATCH($CA75,MAT!$B$4:$AE$4,0)+7))/$AT75),0))</f>
        <v>0</v>
      </c>
      <c r="AZ75" s="631">
        <f t="shared" si="203"/>
        <v>0</v>
      </c>
      <c r="BA75" s="635">
        <f t="shared" si="204"/>
        <v>0</v>
      </c>
      <c r="BB75" s="635">
        <f t="shared" si="205"/>
        <v>0</v>
      </c>
      <c r="BC75" s="639" cm="1">
        <f t="array" ref="BC75">IF($BB75&lt;=0,0,IF(BC$2=-1,0,INDEX(Premises!$A$32:$F$32,1,$CH75)/100))</f>
        <v>0</v>
      </c>
      <c r="BD75" s="631">
        <f t="shared" si="206"/>
        <v>0</v>
      </c>
      <c r="BE75" s="639" cm="1">
        <f t="array" ref="BE75">IF($BB75&lt;=0,0,IF(BE$2=-1,0,INDEX(Premises!$A$33:$F$33,1,$CH75)/100))</f>
        <v>0</v>
      </c>
      <c r="BF75" s="631">
        <f t="shared" si="207"/>
        <v>0</v>
      </c>
      <c r="BG75" s="639" cm="1">
        <f t="array" ref="BG75">IF($BB75&lt;=0,0,IF(BG$2=-1,0,INDEX(Premises!$A$31:$F$31,1,$CH75)/100))</f>
        <v>0</v>
      </c>
      <c r="BH75" s="631">
        <f t="shared" si="208"/>
        <v>0</v>
      </c>
      <c r="BI75" s="635">
        <f t="shared" si="209"/>
        <v>0</v>
      </c>
      <c r="BJ75" s="639" cm="1">
        <f t="array" ref="BJ75">IF($BB75&lt;=0,0,IF(BJ$2=-1,0,INDEX(Premises!$A$35:$F$35,1,$CH75)/100))</f>
        <v>0</v>
      </c>
      <c r="BK75" s="631">
        <f t="shared" si="210"/>
        <v>0</v>
      </c>
      <c r="BL75" s="639" cm="1">
        <f t="array" ref="BL75">IF($BB75&lt;=0,0,IF(BL$2=-1,0,INDEX(Premises!$A$36:$F$36,1,$CH75)/100))</f>
        <v>0</v>
      </c>
      <c r="BM75" s="631">
        <f t="shared" si="211"/>
        <v>0</v>
      </c>
      <c r="BN75" s="639" cm="1">
        <f t="array" ref="BN75">IF($BB75&lt;=0,0,IF(BN$2=-1,0,INDEX(Premises!$A$34:$F$34,1,$CH75)/100))</f>
        <v>0</v>
      </c>
      <c r="BO75" s="631">
        <f t="shared" si="212"/>
        <v>0</v>
      </c>
      <c r="BP75" s="639" cm="1">
        <f t="array" ref="BP75">IF($BI75=0,0,INDEX(Premises!$A$37:$F$37,1,$CH75)/100)</f>
        <v>0</v>
      </c>
      <c r="BQ75" s="409"/>
      <c r="BR75" s="631">
        <f t="shared" si="213"/>
        <v>0</v>
      </c>
      <c r="BS75" s="641">
        <f t="shared" si="214"/>
        <v>0</v>
      </c>
      <c r="BT75" s="641">
        <f t="shared" si="215"/>
        <v>0</v>
      </c>
      <c r="BU75" s="642">
        <f t="shared" si="216"/>
        <v>0</v>
      </c>
      <c r="BV75" s="1147"/>
      <c r="BW75" s="418"/>
      <c r="BX75" s="418"/>
      <c r="BY75" s="419"/>
      <c r="BZ75" s="968"/>
      <c r="CA75" s="280" cm="1">
        <f t="array" ref="CA75">IF($BZ75&gt;0,VALUE(LEFT($BZ75,IF(ISERROR(FIND("-",$BZ75)),LEN($BZ75),FIND("-",$BZ75)-1))),INDEX($CA$1:$CA75,MAX(1,$CD75)))</f>
        <v>1</v>
      </c>
      <c r="CB75" s="280" cm="1">
        <f t="array" ref="CB75">IF($BT75=0,0,IF(LEN($BZ75)-LEN(SUBSTITUTE($BZ75,"-",""))&gt;1,
VALUE(MID($BZ75,FIND("-",$BZ75)+1,FIND("-",$BZ75,FIND("-",$BZ75)+1)-FIND("-",$BZ75)-1)),IF($BZ75&gt;0,0,INDEX($CB$1:$CB75,MAX(1,$CD75)))))</f>
        <v>0</v>
      </c>
      <c r="CC75" s="280" cm="1">
        <f t="array" ref="CC75">IF($BT75=0,0,IF(NOT(ISERROR(FIND("-",BZ75))),
VALUE(RIGHT($BZ75,LEN($BZ75)-IF(LEN($BZ75)-LEN(SUBSTITUTE($BZ75,"-",""))=1,FIND("-",$BZ75),FIND("-",$BZ75,FIND("-",$BZ75)+1)))),
IF($BZ75&gt;0,0,INDEX($CC$1:$CC75,MAX(1,$CD75)))))</f>
        <v>0</v>
      </c>
      <c r="CD75" s="393">
        <f>MATCH(0,$CE$1:$CE75,-1)</f>
        <v>49</v>
      </c>
      <c r="CE75" s="280"/>
      <c r="CF75" s="394"/>
      <c r="CG75" s="393" cm="1">
        <f t="array" ref="CG75">INDEX($CG$1:$CG75,$CD75)</f>
        <v>7</v>
      </c>
      <c r="CH75" s="280">
        <f>MATCH($CA75,Premises!$A$10:$F$10,0)</f>
        <v>4</v>
      </c>
      <c r="CI75" s="280">
        <f>IF(ISBLANK($E75),0,IFERROR(MATCH($E75,MHR[Bezeichnung],0),0))</f>
        <v>0</v>
      </c>
      <c r="CJ75" s="394">
        <f>IF(ISBLANK($AQ75),0,IFERROR(MATCH($AQ75,MAT[Bezeichnung],0),0))</f>
        <v>0</v>
      </c>
      <c r="CK75" s="280" cm="1">
        <f t="array" ref="CK75">INDEX($D$1:$D75,$CD75)</f>
        <v>1</v>
      </c>
      <c r="CL75" s="280"/>
      <c r="CM75" s="395"/>
      <c r="CN75" s="396" cm="1">
        <f t="array" ref="CN75">IF($CB75=0,0,IF($CB75=INDEX($CB$1:$CB75,$CD75),INDEX($CN$1:$CN75,$CD75),$CP75))</f>
        <v>0</v>
      </c>
      <c r="CO75" s="395"/>
      <c r="CP75" s="396" cm="1">
        <f t="array" ref="CP75">IF($CC75=0,0,INDEX($CP$1:$CP75,$CD75))</f>
        <v>0</v>
      </c>
      <c r="CQ75" s="397"/>
      <c r="CR75" s="398"/>
      <c r="CS75" s="398"/>
      <c r="CT75" s="1152"/>
      <c r="CU75" s="1149"/>
      <c r="CV75" s="647">
        <f t="shared" si="217"/>
        <v>0</v>
      </c>
      <c r="CW75" s="648">
        <f t="shared" si="218"/>
        <v>0</v>
      </c>
      <c r="CX75" s="648">
        <f t="shared" si="219"/>
        <v>0</v>
      </c>
      <c r="CY75" s="648">
        <f t="shared" si="220"/>
        <v>0</v>
      </c>
      <c r="CZ75" s="648">
        <f t="shared" si="221"/>
        <v>0</v>
      </c>
      <c r="DA75" s="648">
        <f t="shared" si="222"/>
        <v>0</v>
      </c>
      <c r="DB75" s="648">
        <f t="shared" si="223"/>
        <v>0</v>
      </c>
      <c r="DC75" s="649">
        <f t="shared" si="224"/>
        <v>0</v>
      </c>
      <c r="DD75" s="648">
        <f t="shared" si="225"/>
        <v>0</v>
      </c>
      <c r="DE75" s="648">
        <f t="shared" si="226"/>
        <v>0</v>
      </c>
      <c r="DF75" s="648">
        <f t="shared" si="227"/>
        <v>0</v>
      </c>
      <c r="DG75" s="649">
        <f t="shared" si="228"/>
        <v>0</v>
      </c>
      <c r="DH75" s="649">
        <f t="shared" si="229"/>
        <v>0</v>
      </c>
      <c r="DI75" s="648">
        <f t="shared" si="230"/>
        <v>0</v>
      </c>
      <c r="DJ75" s="648">
        <f t="shared" si="231"/>
        <v>0</v>
      </c>
      <c r="DK75" s="648">
        <f t="shared" si="232"/>
        <v>0</v>
      </c>
      <c r="DL75" s="648">
        <f t="shared" si="233"/>
        <v>0</v>
      </c>
      <c r="DM75" s="648">
        <f t="shared" si="234"/>
        <v>0</v>
      </c>
      <c r="DN75" s="648">
        <f t="shared" si="235"/>
        <v>0</v>
      </c>
      <c r="DO75" s="648">
        <f t="shared" si="236"/>
        <v>0</v>
      </c>
      <c r="DP75" s="651">
        <f t="shared" si="237"/>
        <v>0</v>
      </c>
      <c r="DQ75" s="951">
        <f>IF($CB75=0,0,$DP75*_xlfn.XLOOKUP($CB75,Premises!$A$10:$F$10,Premises!$A$30:$F$30)/100)</f>
        <v>0</v>
      </c>
      <c r="DR75" s="650">
        <f>IFERROR(SUM($DP75:$DQ75)*IF(INDEX(Premises!$A$42:$F$42,1,MATCH($CB75,Premises!$A$10:$F$10,0))&gt;0,INDEX(Premises!$A$42:$F$42,1,MATCH($CB75,Premises!$A$10:$F$10,0))%,$CN75),0)</f>
        <v>0</v>
      </c>
      <c r="DS75" s="650" cm="1">
        <f t="array" ref="DS75">IF($CB75=0,0,SUM($DP75:$DR75)*_xlfn.XLOOKUP($CB75,Premises!$A$10:$F$10,IF(INDEX(Settings[],MATCH(3001,Settings[ID],0),2)="B",Premises!$A$33:$F$33,Premises!$A$31:$F$31))/100)</f>
        <v>0</v>
      </c>
      <c r="DT75" s="650" cm="1">
        <f t="array" ref="DT75">IF($CB75=0,0,$DP75*_xlfn.XLOOKUP($CB75,Premises!$A$10:$F$10,IF(INDEX(Settings[],MATCH(3002,Settings[ID],0),2)="B",Premises!$A$36:$F$36,Premises!$A$34:$F$34))/100)</f>
        <v>0</v>
      </c>
      <c r="DU75" s="650">
        <f>IF($CB75=0,0,SUM($DP75:$DT75)*_xlfn.XLOOKUP($CB75,Premises!$A$10:$F$10,Premises!$A$37:$F$37)/100)</f>
        <v>0</v>
      </c>
      <c r="DV75" s="954">
        <f t="shared" si="238"/>
        <v>0</v>
      </c>
      <c r="DW75" s="951">
        <f>IF($CC75=0,0,$DV75*_xlfn.XLOOKUP($CC75,Premises!$A$10:$F$10,Premises!$A$30:$F$30)/100)</f>
        <v>0</v>
      </c>
      <c r="DX75" s="650">
        <f>IFERROR(SUM($DV75:$DW75)*IF(INDEX(Premises!$A$42:$F$42,1,MATCH($CC75,Premises!$A$10:$F$10,0))&gt;0,INDEX(Premises!$A$42:$F$42,1,MATCH($CC75,Premises!$A$10:$F$10,0))%,$CP75),0)</f>
        <v>0</v>
      </c>
      <c r="DY75" s="650" cm="1">
        <f t="array" ref="DY75">IF($CC75=0,0,SUM($DV75:$DX75)*_xlfn.XLOOKUP($CC75,Premises!$A$10:$F$10,IF(INDEX(Settings[],MATCH(3001,Settings[ID],0),2)="B",Premises!$A$33:$F$33,Premises!$A$31:$F$31))/100)</f>
        <v>0</v>
      </c>
      <c r="DZ75" s="650" cm="1">
        <f t="array" ref="DZ75">IF($CC75=0,0,$DV75*_xlfn.XLOOKUP($CC75,Premises!$A$10:$F$10,IF(INDEX(Settings[],MATCH(3002,Settings[ID],0),2)="B",Premises!$A$36:$F$36,Premises!$A$34:$F$34))/100)</f>
        <v>0</v>
      </c>
      <c r="EA75" s="650">
        <f>IF($CC75=0,0,SUM($DV75:$DZ75)*_xlfn.XLOOKUP($CC75,Premises!$A$10:$F$10,Premises!$A$37:$F$37)/100)</f>
        <v>0</v>
      </c>
      <c r="EB75" s="651">
        <f t="shared" si="239"/>
        <v>0</v>
      </c>
      <c r="EC75" s="805"/>
      <c r="ED75" s="1104"/>
      <c r="EE75" s="650"/>
      <c r="EF75" s="1110"/>
      <c r="EG75" s="1108"/>
      <c r="EH75" s="1108"/>
      <c r="EI75" s="1108"/>
      <c r="EJ75" s="1108"/>
      <c r="EK75" s="1108"/>
      <c r="EL75" s="1108"/>
      <c r="EM75" s="1110"/>
      <c r="EN75" s="1108"/>
      <c r="EO75" s="1108"/>
      <c r="EP75" s="1108"/>
      <c r="EQ75" s="1108"/>
      <c r="ER75" s="1110"/>
      <c r="ES75" s="1108"/>
      <c r="ET75" s="1108"/>
      <c r="EU75" s="1108"/>
      <c r="EV75" s="1108"/>
      <c r="EW75" s="1108"/>
      <c r="EX75" s="1111"/>
      <c r="EY75" s="2"/>
      <c r="EZ75" s="2"/>
      <c r="FA75" s="2"/>
      <c r="FB75" s="2"/>
      <c r="FC75" s="2"/>
      <c r="FD75" s="2"/>
      <c r="FE75" s="2"/>
      <c r="FF75" s="2"/>
      <c r="FG75" s="2"/>
      <c r="FH75" s="2"/>
      <c r="FI75" s="2"/>
      <c r="FJ75" s="420"/>
      <c r="FK75" s="421"/>
      <c r="FL75" s="422"/>
      <c r="FM75" s="1153"/>
    </row>
    <row r="76" spans="1:169" s="13" customFormat="1" ht="12.75" customHeight="1">
      <c r="A76" s="221"/>
      <c r="B76" s="402" t="s">
        <v>4366</v>
      </c>
      <c r="C76" s="403">
        <v>3</v>
      </c>
      <c r="D76" s="646"/>
      <c r="E76" s="404"/>
      <c r="F76" s="405"/>
      <c r="G76" s="405"/>
      <c r="H76" s="405"/>
      <c r="I76" s="637" cm="1">
        <f t="array" ref="I76">IF($CI76=0,0,IFERROR(INDEX(MHR[],$CI76,MATCH($CA76,MHR!$B$4:$AY$4,0)),0))</f>
        <v>0</v>
      </c>
      <c r="J76" s="634">
        <f t="shared" si="192"/>
        <v>0</v>
      </c>
      <c r="K76" s="406"/>
      <c r="L76" s="407"/>
      <c r="M76" s="871"/>
      <c r="N76" s="407"/>
      <c r="O76" s="405"/>
      <c r="P76" s="645" cm="1">
        <f t="array" ref="P76">IF($K76=0,0,IFERROR(ROUNDUP(IF(ISNUMBER($K76),$K76,INDEX($D$1:$D76,$CD76)*INDEX(Premises!$A$13:$F$13,1,$CH76)/IF(OR($K76="T",$K76="D"),250,IF($K76="W",50,IF($K76="M",12,IF(OR($K76="HJ",$K76="HY"),2,IF(OR($K76="J",$K76="Y"),1,0)))))),0),0))</f>
        <v>0</v>
      </c>
      <c r="Q76" s="637" cm="1">
        <f t="array" ref="Q76">IF($K76=0,0,IFERROR(INDEX(Premises!$A$22:$F$22,1,$CH76)*100/INDEX(Premises!$A$16:$F$16,1,$CH76),0))</f>
        <v>0</v>
      </c>
      <c r="R76" s="634">
        <f t="shared" si="193"/>
        <v>0</v>
      </c>
      <c r="S76" s="408"/>
      <c r="T76" s="409"/>
      <c r="U76" s="637" cm="1">
        <f t="array" ref="U76">IF(COUNTBLANK($S76:$T76),0,
IF(AND(INDEX(MHR[Schichtmodell],$CI76)&lt;&gt;0,INDEX(MHR[Schichtmodell],$CI76)&lt;&gt;INDEX(Premises!$A$20:$F$20,1,$CH76)),ExchangeRate*
IF(OR($T76="M",$T76="U"),IF(INDEX(MHR[Schichtmodell],$CI76)=1,INDEX(LOC[M1S],INDEX(Premises!$A$18:$F$18,1,$CH76+1)),IF(INDEX(MHR[Schichtmodell],$CI76)=2,INDEX(LOC[M2S],INDEX(Premises!$A$18:$F$18,1,$CH76+1),IF(INDEX(MHR[Schichtmodell],$CI76)=3,INDEX(LOC[M3S],INDEX(Premises!$A$18:$F$18,1,$CH76+1)),0)))),
IF(INDEX(MHR[Schichtmodell],$CI76)=1,INDEX(LOC[F1S],INDEX(Premises!$A$18:$F$18,1,$CH76+1)),IF(INDEX(MHR[Schichtmodell],$CI76)=2,INDEX(LOC[F2S],INDEX(Premises!$A$18:$F$18,1,$CH76+1)),IF(INDEX(MHR[Schichtmodell],$CI76)=3,INDEX(LOC[F3S],INDEX(Premises!$A$18:$F$18,1,$CH76+1)),0)))),
IF(OR($T76="M",$T76="U"),INDEX(Premises!$A$21:$F$21,1,$CH76),
IF(OR($T76="F",$T76="S"),INDEX(Premises!$A$22:$F$22,1,$CH76),0)))*100/INDEX(Premises!$A$16:$F$16,1,$CH76))</f>
        <v>0</v>
      </c>
      <c r="V76" s="631">
        <f t="shared" si="194"/>
        <v>0</v>
      </c>
      <c r="W76" s="410"/>
      <c r="X76" s="403"/>
      <c r="Y76" s="411"/>
      <c r="Z76" s="412"/>
      <c r="AA76" s="628">
        <f t="shared" si="195"/>
        <v>0</v>
      </c>
      <c r="AB76" s="410"/>
      <c r="AC76" s="403"/>
      <c r="AD76" s="411"/>
      <c r="AE76" s="413"/>
      <c r="AF76" s="628">
        <f t="shared" si="196"/>
        <v>0</v>
      </c>
      <c r="AG76" s="629" cm="1">
        <f t="array" ref="AG76">IF(($J76+$V76+$AF76)=0,0,INDEX(Premises!$A$30:$F$30,1,$CH76)/100)</f>
        <v>0</v>
      </c>
      <c r="AH76" s="414"/>
      <c r="AI76" s="415"/>
      <c r="AJ76" s="416"/>
      <c r="AK76" s="630">
        <f t="shared" si="197"/>
        <v>0</v>
      </c>
      <c r="AL76" s="631">
        <f t="shared" si="198"/>
        <v>0</v>
      </c>
      <c r="AM76" s="632" cm="1">
        <f t="array" ref="AM76">IF($CI76=0,0,IFERROR(INDEX(MHR[],$CI76,MATCH($CA76,MHR!$B$4:$AY$4,0)+11),0))</f>
        <v>0</v>
      </c>
      <c r="AN76" s="633" cm="1">
        <f t="array" ref="AN76">IF(($J76+$V76)=0,0,IFERROR(IF(INDEX(Premises!$A$41:$F$41,1,$CH76)&lt;&gt;0,INDEX(Premises!$A$41:$F$41,1,$CH76)/100,(IFERROR(($J76/$I76)*$AM76,0)/($V76+$J76+$R76+$AL76))),0))</f>
        <v>0</v>
      </c>
      <c r="AO76" s="634">
        <f t="shared" si="199"/>
        <v>0</v>
      </c>
      <c r="AP76" s="635">
        <f t="shared" si="200"/>
        <v>0</v>
      </c>
      <c r="AQ76" s="410"/>
      <c r="AR76" s="409"/>
      <c r="AS76" s="636" cm="1">
        <f t="array" ref="AS76">IF($CJ76=0,0,IFERROR(INDEX(MAT[Einheit],$CJ76,1),0))</f>
        <v>0</v>
      </c>
      <c r="AT76" s="637" cm="1">
        <f t="array" ref="AT76">IF($CJ76=0,0,IFERROR(INDEX(MAT[Preis],$CJ76,1),0))</f>
        <v>0</v>
      </c>
      <c r="AU76" s="638">
        <f t="shared" si="201"/>
        <v>0</v>
      </c>
      <c r="AV76" s="639" cm="1">
        <f t="array" ref="AV76">IF($AU76&lt;=0,0,INDEX(Premises!$A$30:$F$30,1,$CH76)/100)</f>
        <v>0</v>
      </c>
      <c r="AW76" s="409"/>
      <c r="AX76" s="631">
        <f t="shared" si="202"/>
        <v>0</v>
      </c>
      <c r="AY76" s="640" cm="1">
        <f t="array" ref="AY76">IF($AT76&lt;=0,0,IFERROR(IF(INDEX(Premises!$A$42:$F$42,1,$CH76)&lt;&gt;0,INDEX(Premises!$A$42:$F$42,1,$CH76)/100,(INDEX(MAT[],$CJ76,MATCH($CA76,MAT!$B$4:$AE$4,0))/($AR76*$CK76*INDEX(Premises!$A$13:$F$13,1,$CH76))+INDEX(MAT[],$CJ76,MATCH($CA76,MAT!$B$4:$AE$4,0)+7))/$AT76),0))</f>
        <v>0</v>
      </c>
      <c r="AZ76" s="631">
        <f t="shared" si="203"/>
        <v>0</v>
      </c>
      <c r="BA76" s="635">
        <f t="shared" si="204"/>
        <v>0</v>
      </c>
      <c r="BB76" s="635">
        <f t="shared" si="205"/>
        <v>0</v>
      </c>
      <c r="BC76" s="639" cm="1">
        <f t="array" ref="BC76">IF($BB76&lt;=0,0,IF(BC$2=-1,0,INDEX(Premises!$A$32:$F$32,1,$CH76)/100))</f>
        <v>0</v>
      </c>
      <c r="BD76" s="631">
        <f t="shared" si="206"/>
        <v>0</v>
      </c>
      <c r="BE76" s="639" cm="1">
        <f t="array" ref="BE76">IF($BB76&lt;=0,0,IF(BE$2=-1,0,INDEX(Premises!$A$33:$F$33,1,$CH76)/100))</f>
        <v>0</v>
      </c>
      <c r="BF76" s="631">
        <f t="shared" si="207"/>
        <v>0</v>
      </c>
      <c r="BG76" s="639" cm="1">
        <f t="array" ref="BG76">IF($BB76&lt;=0,0,IF(BG$2=-1,0,INDEX(Premises!$A$31:$F$31,1,$CH76)/100))</f>
        <v>0</v>
      </c>
      <c r="BH76" s="631">
        <f t="shared" si="208"/>
        <v>0</v>
      </c>
      <c r="BI76" s="635">
        <f t="shared" si="209"/>
        <v>0</v>
      </c>
      <c r="BJ76" s="639" cm="1">
        <f t="array" ref="BJ76">IF($BB76&lt;=0,0,IF(BJ$2=-1,0,INDEX(Premises!$A$35:$F$35,1,$CH76)/100))</f>
        <v>0</v>
      </c>
      <c r="BK76" s="631">
        <f t="shared" si="210"/>
        <v>0</v>
      </c>
      <c r="BL76" s="639" cm="1">
        <f t="array" ref="BL76">IF($BB76&lt;=0,0,IF(BL$2=-1,0,INDEX(Premises!$A$36:$F$36,1,$CH76)/100))</f>
        <v>0</v>
      </c>
      <c r="BM76" s="631">
        <f t="shared" si="211"/>
        <v>0</v>
      </c>
      <c r="BN76" s="639" cm="1">
        <f t="array" ref="BN76">IF($BB76&lt;=0,0,IF(BN$2=-1,0,INDEX(Premises!$A$34:$F$34,1,$CH76)/100))</f>
        <v>0</v>
      </c>
      <c r="BO76" s="631">
        <f t="shared" si="212"/>
        <v>0</v>
      </c>
      <c r="BP76" s="639" cm="1">
        <f t="array" ref="BP76">IF($BI76=0,0,INDEX(Premises!$A$37:$F$37,1,$CH76)/100)</f>
        <v>0</v>
      </c>
      <c r="BQ76" s="409"/>
      <c r="BR76" s="631">
        <f t="shared" si="213"/>
        <v>0</v>
      </c>
      <c r="BS76" s="641">
        <f t="shared" si="214"/>
        <v>0</v>
      </c>
      <c r="BT76" s="641">
        <f t="shared" si="215"/>
        <v>0</v>
      </c>
      <c r="BU76" s="642">
        <f t="shared" si="216"/>
        <v>0</v>
      </c>
      <c r="BV76" s="1147"/>
      <c r="BW76" s="418"/>
      <c r="BX76" s="418"/>
      <c r="BY76" s="419"/>
      <c r="BZ76" s="968"/>
      <c r="CA76" s="280" cm="1">
        <f t="array" ref="CA76">IF($BZ76&gt;0,VALUE(LEFT($BZ76,IF(ISERROR(FIND("-",$BZ76)),LEN($BZ76),FIND("-",$BZ76)-1))),INDEX($CA$1:$CA76,MAX(1,$CD76)))</f>
        <v>1</v>
      </c>
      <c r="CB76" s="280" cm="1">
        <f t="array" ref="CB76">IF($BT76=0,0,IF(LEN($BZ76)-LEN(SUBSTITUTE($BZ76,"-",""))&gt;1,
VALUE(MID($BZ76,FIND("-",$BZ76)+1,FIND("-",$BZ76,FIND("-",$BZ76)+1)-FIND("-",$BZ76)-1)),IF($BZ76&gt;0,0,INDEX($CB$1:$CB76,MAX(1,$CD76)))))</f>
        <v>0</v>
      </c>
      <c r="CC76" s="280" cm="1">
        <f t="array" ref="CC76">IF($BT76=0,0,IF(NOT(ISERROR(FIND("-",BZ76))),
VALUE(RIGHT($BZ76,LEN($BZ76)-IF(LEN($BZ76)-LEN(SUBSTITUTE($BZ76,"-",""))=1,FIND("-",$BZ76),FIND("-",$BZ76,FIND("-",$BZ76)+1)))),
IF($BZ76&gt;0,0,INDEX($CC$1:$CC76,MAX(1,$CD76)))))</f>
        <v>0</v>
      </c>
      <c r="CD76" s="393">
        <f>MATCH(0,$CE$1:$CE76,-1)</f>
        <v>49</v>
      </c>
      <c r="CE76" s="280"/>
      <c r="CF76" s="394"/>
      <c r="CG76" s="393" cm="1">
        <f t="array" ref="CG76">INDEX($CG$1:$CG76,$CD76)</f>
        <v>7</v>
      </c>
      <c r="CH76" s="280">
        <f>MATCH($CA76,Premises!$A$10:$F$10,0)</f>
        <v>4</v>
      </c>
      <c r="CI76" s="280">
        <f>IF(ISBLANK($E76),0,IFERROR(MATCH($E76,MHR[Bezeichnung],0),0))</f>
        <v>0</v>
      </c>
      <c r="CJ76" s="394">
        <f>IF(ISBLANK($AQ76),0,IFERROR(MATCH($AQ76,MAT[Bezeichnung],0),0))</f>
        <v>0</v>
      </c>
      <c r="CK76" s="280" cm="1">
        <f t="array" ref="CK76">INDEX($D$1:$D76,$CD76)</f>
        <v>1</v>
      </c>
      <c r="CL76" s="280"/>
      <c r="CM76" s="395"/>
      <c r="CN76" s="396" cm="1">
        <f t="array" ref="CN76">IF($CB76=0,0,IF($CB76=INDEX($CB$1:$CB76,$CD76),INDEX($CN$1:$CN76,$CD76),$CP76))</f>
        <v>0</v>
      </c>
      <c r="CO76" s="395"/>
      <c r="CP76" s="396" cm="1">
        <f t="array" ref="CP76">IF($CC76=0,0,INDEX($CP$1:$CP76,$CD76))</f>
        <v>0</v>
      </c>
      <c r="CQ76" s="397"/>
      <c r="CR76" s="398"/>
      <c r="CS76" s="398"/>
      <c r="CT76" s="1152"/>
      <c r="CU76" s="1149"/>
      <c r="CV76" s="647">
        <f t="shared" si="217"/>
        <v>0</v>
      </c>
      <c r="CW76" s="648">
        <f t="shared" si="218"/>
        <v>0</v>
      </c>
      <c r="CX76" s="648">
        <f t="shared" si="219"/>
        <v>0</v>
      </c>
      <c r="CY76" s="648">
        <f t="shared" si="220"/>
        <v>0</v>
      </c>
      <c r="CZ76" s="648">
        <f t="shared" si="221"/>
        <v>0</v>
      </c>
      <c r="DA76" s="648">
        <f t="shared" si="222"/>
        <v>0</v>
      </c>
      <c r="DB76" s="648">
        <f t="shared" si="223"/>
        <v>0</v>
      </c>
      <c r="DC76" s="649">
        <f t="shared" si="224"/>
        <v>0</v>
      </c>
      <c r="DD76" s="648">
        <f t="shared" si="225"/>
        <v>0</v>
      </c>
      <c r="DE76" s="648">
        <f t="shared" si="226"/>
        <v>0</v>
      </c>
      <c r="DF76" s="648">
        <f t="shared" si="227"/>
        <v>0</v>
      </c>
      <c r="DG76" s="649">
        <f t="shared" si="228"/>
        <v>0</v>
      </c>
      <c r="DH76" s="649">
        <f t="shared" si="229"/>
        <v>0</v>
      </c>
      <c r="DI76" s="648">
        <f t="shared" si="230"/>
        <v>0</v>
      </c>
      <c r="DJ76" s="648">
        <f t="shared" si="231"/>
        <v>0</v>
      </c>
      <c r="DK76" s="648">
        <f t="shared" si="232"/>
        <v>0</v>
      </c>
      <c r="DL76" s="648">
        <f t="shared" si="233"/>
        <v>0</v>
      </c>
      <c r="DM76" s="648">
        <f t="shared" si="234"/>
        <v>0</v>
      </c>
      <c r="DN76" s="648">
        <f t="shared" si="235"/>
        <v>0</v>
      </c>
      <c r="DO76" s="648">
        <f t="shared" si="236"/>
        <v>0</v>
      </c>
      <c r="DP76" s="651">
        <f t="shared" si="237"/>
        <v>0</v>
      </c>
      <c r="DQ76" s="951">
        <f>IF($CB76=0,0,$DP76*_xlfn.XLOOKUP($CB76,Premises!$A$10:$F$10,Premises!$A$30:$F$30)/100)</f>
        <v>0</v>
      </c>
      <c r="DR76" s="650">
        <f>IFERROR(SUM($DP76:$DQ76)*IF(INDEX(Premises!$A$42:$F$42,1,MATCH($CB76,Premises!$A$10:$F$10,0))&gt;0,INDEX(Premises!$A$42:$F$42,1,MATCH($CB76,Premises!$A$10:$F$10,0))%,$CN76),0)</f>
        <v>0</v>
      </c>
      <c r="DS76" s="650" cm="1">
        <f t="array" ref="DS76">IF($CB76=0,0,SUM($DP76:$DR76)*_xlfn.XLOOKUP($CB76,Premises!$A$10:$F$10,IF(INDEX(Settings[],MATCH(3001,Settings[ID],0),2)="B",Premises!$A$33:$F$33,Premises!$A$31:$F$31))/100)</f>
        <v>0</v>
      </c>
      <c r="DT76" s="650" cm="1">
        <f t="array" ref="DT76">IF($CB76=0,0,$DP76*_xlfn.XLOOKUP($CB76,Premises!$A$10:$F$10,IF(INDEX(Settings[],MATCH(3002,Settings[ID],0),2)="B",Premises!$A$36:$F$36,Premises!$A$34:$F$34))/100)</f>
        <v>0</v>
      </c>
      <c r="DU76" s="650">
        <f>IF($CB76=0,0,SUM($DP76:$DT76)*_xlfn.XLOOKUP($CB76,Premises!$A$10:$F$10,Premises!$A$37:$F$37)/100)</f>
        <v>0</v>
      </c>
      <c r="DV76" s="954">
        <f t="shared" si="238"/>
        <v>0</v>
      </c>
      <c r="DW76" s="951">
        <f>IF($CC76=0,0,$DV76*_xlfn.XLOOKUP($CC76,Premises!$A$10:$F$10,Premises!$A$30:$F$30)/100)</f>
        <v>0</v>
      </c>
      <c r="DX76" s="650">
        <f>IFERROR(SUM($DV76:$DW76)*IF(INDEX(Premises!$A$42:$F$42,1,MATCH($CC76,Premises!$A$10:$F$10,0))&gt;0,INDEX(Premises!$A$42:$F$42,1,MATCH($CC76,Premises!$A$10:$F$10,0))%,$CP76),0)</f>
        <v>0</v>
      </c>
      <c r="DY76" s="650" cm="1">
        <f t="array" ref="DY76">IF($CC76=0,0,SUM($DV76:$DX76)*_xlfn.XLOOKUP($CC76,Premises!$A$10:$F$10,IF(INDEX(Settings[],MATCH(3001,Settings[ID],0),2)="B",Premises!$A$33:$F$33,Premises!$A$31:$F$31))/100)</f>
        <v>0</v>
      </c>
      <c r="DZ76" s="650" cm="1">
        <f t="array" ref="DZ76">IF($CC76=0,0,$DV76*_xlfn.XLOOKUP($CC76,Premises!$A$10:$F$10,IF(INDEX(Settings[],MATCH(3002,Settings[ID],0),2)="B",Premises!$A$36:$F$36,Premises!$A$34:$F$34))/100)</f>
        <v>0</v>
      </c>
      <c r="EA76" s="650">
        <f>IF($CC76=0,0,SUM($DV76:$DZ76)*_xlfn.XLOOKUP($CC76,Premises!$A$10:$F$10,Premises!$A$37:$F$37)/100)</f>
        <v>0</v>
      </c>
      <c r="EB76" s="651">
        <f t="shared" si="239"/>
        <v>0</v>
      </c>
      <c r="EC76" s="805"/>
      <c r="ED76" s="1104"/>
      <c r="EE76" s="650"/>
      <c r="EF76" s="1110"/>
      <c r="EG76" s="1108"/>
      <c r="EH76" s="1108"/>
      <c r="EI76" s="1108"/>
      <c r="EJ76" s="1108"/>
      <c r="EK76" s="1108"/>
      <c r="EL76" s="1108"/>
      <c r="EM76" s="1110"/>
      <c r="EN76" s="1108"/>
      <c r="EO76" s="1108"/>
      <c r="EP76" s="1108"/>
      <c r="EQ76" s="1108"/>
      <c r="ER76" s="1110"/>
      <c r="ES76" s="1108"/>
      <c r="ET76" s="1108"/>
      <c r="EU76" s="1108"/>
      <c r="EV76" s="1108"/>
      <c r="EW76" s="1108"/>
      <c r="EX76" s="1111"/>
      <c r="EY76" s="2"/>
      <c r="EZ76" s="2"/>
      <c r="FA76" s="2"/>
      <c r="FB76" s="2"/>
      <c r="FC76" s="2"/>
      <c r="FD76" s="2"/>
      <c r="FE76" s="2"/>
      <c r="FF76" s="2"/>
      <c r="FG76" s="2"/>
      <c r="FH76" s="2"/>
      <c r="FI76" s="2"/>
      <c r="FJ76" s="420"/>
      <c r="FK76" s="421"/>
      <c r="FL76" s="422"/>
      <c r="FM76" s="1153"/>
    </row>
    <row r="77" spans="1:169" s="13" customFormat="1" ht="12.75" customHeight="1">
      <c r="A77" s="221"/>
      <c r="B77" s="402" t="s">
        <v>4368</v>
      </c>
      <c r="C77" s="403">
        <v>3</v>
      </c>
      <c r="D77" s="646"/>
      <c r="E77" s="404"/>
      <c r="F77" s="405"/>
      <c r="G77" s="405"/>
      <c r="H77" s="405"/>
      <c r="I77" s="637" cm="1">
        <f t="array" ref="I77">IF($CI77=0,0,IFERROR(INDEX(MHR[],$CI77,MATCH($CA77,MHR!$B$4:$AY$4,0)),0))</f>
        <v>0</v>
      </c>
      <c r="J77" s="634">
        <f t="shared" si="192"/>
        <v>0</v>
      </c>
      <c r="K77" s="406"/>
      <c r="L77" s="407"/>
      <c r="M77" s="871"/>
      <c r="N77" s="407"/>
      <c r="O77" s="405"/>
      <c r="P77" s="645" cm="1">
        <f t="array" ref="P77">IF($K77=0,0,IFERROR(ROUNDUP(IF(ISNUMBER($K77),$K77,INDEX($D$1:$D77,$CD77)*INDEX(Premises!$A$13:$F$13,1,$CH77)/IF(OR($K77="T",$K77="D"),250,IF($K77="W",50,IF($K77="M",12,IF(OR($K77="HJ",$K77="HY"),2,IF(OR($K77="J",$K77="Y"),1,0)))))),0),0))</f>
        <v>0</v>
      </c>
      <c r="Q77" s="637" cm="1">
        <f t="array" ref="Q77">IF($K77=0,0,IFERROR(INDEX(Premises!$A$22:$F$22,1,$CH77)*100/INDEX(Premises!$A$16:$F$16,1,$CH77),0))</f>
        <v>0</v>
      </c>
      <c r="R77" s="634">
        <f t="shared" si="193"/>
        <v>0</v>
      </c>
      <c r="S77" s="408"/>
      <c r="T77" s="409"/>
      <c r="U77" s="637" cm="1">
        <f t="array" ref="U77">IF(COUNTBLANK($S77:$T77),0,
IF(AND(INDEX(MHR[Schichtmodell],$CI77)&lt;&gt;0,INDEX(MHR[Schichtmodell],$CI77)&lt;&gt;INDEX(Premises!$A$20:$F$20,1,$CH77)),ExchangeRate*
IF(OR($T77="M",$T77="U"),IF(INDEX(MHR[Schichtmodell],$CI77)=1,INDEX(LOC[M1S],INDEX(Premises!$A$18:$F$18,1,$CH77+1)),IF(INDEX(MHR[Schichtmodell],$CI77)=2,INDEX(LOC[M2S],INDEX(Premises!$A$18:$F$18,1,$CH77+1),IF(INDEX(MHR[Schichtmodell],$CI77)=3,INDEX(LOC[M3S],INDEX(Premises!$A$18:$F$18,1,$CH77+1)),0)))),
IF(INDEX(MHR[Schichtmodell],$CI77)=1,INDEX(LOC[F1S],INDEX(Premises!$A$18:$F$18,1,$CH77+1)),IF(INDEX(MHR[Schichtmodell],$CI77)=2,INDEX(LOC[F2S],INDEX(Premises!$A$18:$F$18,1,$CH77+1)),IF(INDEX(MHR[Schichtmodell],$CI77)=3,INDEX(LOC[F3S],INDEX(Premises!$A$18:$F$18,1,$CH77+1)),0)))),
IF(OR($T77="M",$T77="U"),INDEX(Premises!$A$21:$F$21,1,$CH77),
IF(OR($T77="F",$T77="S"),INDEX(Premises!$A$22:$F$22,1,$CH77),0)))*100/INDEX(Premises!$A$16:$F$16,1,$CH77))</f>
        <v>0</v>
      </c>
      <c r="V77" s="631">
        <f t="shared" si="194"/>
        <v>0</v>
      </c>
      <c r="W77" s="410"/>
      <c r="X77" s="403"/>
      <c r="Y77" s="411"/>
      <c r="Z77" s="412"/>
      <c r="AA77" s="628">
        <f t="shared" si="195"/>
        <v>0</v>
      </c>
      <c r="AB77" s="410"/>
      <c r="AC77" s="403"/>
      <c r="AD77" s="411"/>
      <c r="AE77" s="413"/>
      <c r="AF77" s="628">
        <f t="shared" si="196"/>
        <v>0</v>
      </c>
      <c r="AG77" s="629" cm="1">
        <f t="array" ref="AG77">IF(($J77+$V77+$AF77)=0,0,INDEX(Premises!$A$30:$F$30,1,$CH77)/100)</f>
        <v>0</v>
      </c>
      <c r="AH77" s="414"/>
      <c r="AI77" s="415"/>
      <c r="AJ77" s="416"/>
      <c r="AK77" s="630">
        <f t="shared" si="197"/>
        <v>0</v>
      </c>
      <c r="AL77" s="631">
        <f t="shared" si="198"/>
        <v>0</v>
      </c>
      <c r="AM77" s="632" cm="1">
        <f t="array" ref="AM77">IF($CI77=0,0,IFERROR(INDEX(MHR[],$CI77,MATCH($CA77,MHR!$B$4:$AY$4,0)+11),0))</f>
        <v>0</v>
      </c>
      <c r="AN77" s="633" cm="1">
        <f t="array" ref="AN77">IF(($J77+$V77)=0,0,IFERROR(IF(INDEX(Premises!$A$41:$F$41,1,$CH77)&lt;&gt;0,INDEX(Premises!$A$41:$F$41,1,$CH77)/100,(IFERROR(($J77/$I77)*$AM77,0)/($V77+$J77+$R77+$AL77))),0))</f>
        <v>0</v>
      </c>
      <c r="AO77" s="634">
        <f t="shared" si="199"/>
        <v>0</v>
      </c>
      <c r="AP77" s="635">
        <f t="shared" si="200"/>
        <v>0</v>
      </c>
      <c r="AQ77" s="410"/>
      <c r="AR77" s="409"/>
      <c r="AS77" s="636" cm="1">
        <f t="array" ref="AS77">IF($CJ77=0,0,IFERROR(INDEX(MAT[Einheit],$CJ77,1),0))</f>
        <v>0</v>
      </c>
      <c r="AT77" s="637" cm="1">
        <f t="array" ref="AT77">IF($CJ77=0,0,IFERROR(INDEX(MAT[Preis],$CJ77,1),0))</f>
        <v>0</v>
      </c>
      <c r="AU77" s="638">
        <f t="shared" si="201"/>
        <v>0</v>
      </c>
      <c r="AV77" s="639" cm="1">
        <f t="array" ref="AV77">IF($AU77&lt;=0,0,INDEX(Premises!$A$30:$F$30,1,$CH77)/100)</f>
        <v>0</v>
      </c>
      <c r="AW77" s="409"/>
      <c r="AX77" s="631">
        <f t="shared" si="202"/>
        <v>0</v>
      </c>
      <c r="AY77" s="640" cm="1">
        <f t="array" ref="AY77">IF($AT77&lt;=0,0,IFERROR(IF(INDEX(Premises!$A$42:$F$42,1,$CH77)&lt;&gt;0,INDEX(Premises!$A$42:$F$42,1,$CH77)/100,(INDEX(MAT[],$CJ77,MATCH($CA77,MAT!$B$4:$AE$4,0))/($AR77*$CK77*INDEX(Premises!$A$13:$F$13,1,$CH77))+INDEX(MAT[],$CJ77,MATCH($CA77,MAT!$B$4:$AE$4,0)+7))/$AT77),0))</f>
        <v>0</v>
      </c>
      <c r="AZ77" s="631">
        <f t="shared" si="203"/>
        <v>0</v>
      </c>
      <c r="BA77" s="635">
        <f t="shared" si="204"/>
        <v>0</v>
      </c>
      <c r="BB77" s="635">
        <f t="shared" si="205"/>
        <v>0</v>
      </c>
      <c r="BC77" s="639" cm="1">
        <f t="array" ref="BC77">IF($BB77&lt;=0,0,IF(BC$2=-1,0,INDEX(Premises!$A$32:$F$32,1,$CH77)/100))</f>
        <v>0</v>
      </c>
      <c r="BD77" s="631">
        <f t="shared" si="206"/>
        <v>0</v>
      </c>
      <c r="BE77" s="639" cm="1">
        <f t="array" ref="BE77">IF($BB77&lt;=0,0,IF(BE$2=-1,0,INDEX(Premises!$A$33:$F$33,1,$CH77)/100))</f>
        <v>0</v>
      </c>
      <c r="BF77" s="631">
        <f t="shared" si="207"/>
        <v>0</v>
      </c>
      <c r="BG77" s="639" cm="1">
        <f t="array" ref="BG77">IF($BB77&lt;=0,0,IF(BG$2=-1,0,INDEX(Premises!$A$31:$F$31,1,$CH77)/100))</f>
        <v>0</v>
      </c>
      <c r="BH77" s="631">
        <f t="shared" si="208"/>
        <v>0</v>
      </c>
      <c r="BI77" s="635">
        <f t="shared" si="209"/>
        <v>0</v>
      </c>
      <c r="BJ77" s="639" cm="1">
        <f t="array" ref="BJ77">IF($BB77&lt;=0,0,IF(BJ$2=-1,0,INDEX(Premises!$A$35:$F$35,1,$CH77)/100))</f>
        <v>0</v>
      </c>
      <c r="BK77" s="631">
        <f t="shared" si="210"/>
        <v>0</v>
      </c>
      <c r="BL77" s="639" cm="1">
        <f t="array" ref="BL77">IF($BB77&lt;=0,0,IF(BL$2=-1,0,INDEX(Premises!$A$36:$F$36,1,$CH77)/100))</f>
        <v>0</v>
      </c>
      <c r="BM77" s="631">
        <f t="shared" si="211"/>
        <v>0</v>
      </c>
      <c r="BN77" s="639" cm="1">
        <f t="array" ref="BN77">IF($BB77&lt;=0,0,IF(BN$2=-1,0,INDEX(Premises!$A$34:$F$34,1,$CH77)/100))</f>
        <v>0</v>
      </c>
      <c r="BO77" s="631">
        <f t="shared" si="212"/>
        <v>0</v>
      </c>
      <c r="BP77" s="639" cm="1">
        <f t="array" ref="BP77">IF($BI77=0,0,INDEX(Premises!$A$37:$F$37,1,$CH77)/100)</f>
        <v>0</v>
      </c>
      <c r="BQ77" s="409"/>
      <c r="BR77" s="631">
        <f t="shared" si="213"/>
        <v>0</v>
      </c>
      <c r="BS77" s="641">
        <f t="shared" si="214"/>
        <v>0</v>
      </c>
      <c r="BT77" s="641">
        <f t="shared" si="215"/>
        <v>0</v>
      </c>
      <c r="BU77" s="642">
        <f t="shared" si="216"/>
        <v>0</v>
      </c>
      <c r="BV77" s="1147"/>
      <c r="BW77" s="418"/>
      <c r="BX77" s="418"/>
      <c r="BY77" s="419"/>
      <c r="BZ77" s="968"/>
      <c r="CA77" s="280" cm="1">
        <f t="array" ref="CA77">IF($BZ77&gt;0,VALUE(LEFT($BZ77,IF(ISERROR(FIND("-",$BZ77)),LEN($BZ77),FIND("-",$BZ77)-1))),INDEX($CA$1:$CA77,MAX(1,$CD77)))</f>
        <v>1</v>
      </c>
      <c r="CB77" s="280" cm="1">
        <f t="array" ref="CB77">IF($BT77=0,0,IF(LEN($BZ77)-LEN(SUBSTITUTE($BZ77,"-",""))&gt;1,
VALUE(MID($BZ77,FIND("-",$BZ77)+1,FIND("-",$BZ77,FIND("-",$BZ77)+1)-FIND("-",$BZ77)-1)),IF($BZ77&gt;0,0,INDEX($CB$1:$CB77,MAX(1,$CD77)))))</f>
        <v>0</v>
      </c>
      <c r="CC77" s="280" cm="1">
        <f t="array" ref="CC77">IF($BT77=0,0,IF(NOT(ISERROR(FIND("-",BZ77))),
VALUE(RIGHT($BZ77,LEN($BZ77)-IF(LEN($BZ77)-LEN(SUBSTITUTE($BZ77,"-",""))=1,FIND("-",$BZ77),FIND("-",$BZ77,FIND("-",$BZ77)+1)))),
IF($BZ77&gt;0,0,INDEX($CC$1:$CC77,MAX(1,$CD77)))))</f>
        <v>0</v>
      </c>
      <c r="CD77" s="393">
        <f>MATCH(0,$CE$1:$CE77,-1)</f>
        <v>49</v>
      </c>
      <c r="CE77" s="280"/>
      <c r="CF77" s="394"/>
      <c r="CG77" s="393" cm="1">
        <f t="array" ref="CG77">INDEX($CG$1:$CG77,$CD77)</f>
        <v>7</v>
      </c>
      <c r="CH77" s="280">
        <f>MATCH($CA77,Premises!$A$10:$F$10,0)</f>
        <v>4</v>
      </c>
      <c r="CI77" s="280">
        <f>IF(ISBLANK($E77),0,IFERROR(MATCH($E77,MHR[Bezeichnung],0),0))</f>
        <v>0</v>
      </c>
      <c r="CJ77" s="394">
        <f>IF(ISBLANK($AQ77),0,IFERROR(MATCH($AQ77,MAT[Bezeichnung],0),0))</f>
        <v>0</v>
      </c>
      <c r="CK77" s="280" cm="1">
        <f t="array" ref="CK77">INDEX($D$1:$D77,$CD77)</f>
        <v>1</v>
      </c>
      <c r="CL77" s="280"/>
      <c r="CM77" s="395"/>
      <c r="CN77" s="396" cm="1">
        <f t="array" ref="CN77">IF($CB77=0,0,IF($CB77=INDEX($CB$1:$CB77,$CD77),INDEX($CN$1:$CN77,$CD77),$CP77))</f>
        <v>0</v>
      </c>
      <c r="CO77" s="395"/>
      <c r="CP77" s="396" cm="1">
        <f t="array" ref="CP77">IF($CC77=0,0,INDEX($CP$1:$CP77,$CD77))</f>
        <v>0</v>
      </c>
      <c r="CQ77" s="397"/>
      <c r="CR77" s="398"/>
      <c r="CS77" s="398"/>
      <c r="CT77" s="1152"/>
      <c r="CU77" s="1149"/>
      <c r="CV77" s="647">
        <f t="shared" si="217"/>
        <v>0</v>
      </c>
      <c r="CW77" s="648">
        <f t="shared" si="218"/>
        <v>0</v>
      </c>
      <c r="CX77" s="648">
        <f t="shared" si="219"/>
        <v>0</v>
      </c>
      <c r="CY77" s="648">
        <f t="shared" si="220"/>
        <v>0</v>
      </c>
      <c r="CZ77" s="648">
        <f t="shared" si="221"/>
        <v>0</v>
      </c>
      <c r="DA77" s="648">
        <f t="shared" si="222"/>
        <v>0</v>
      </c>
      <c r="DB77" s="648">
        <f t="shared" si="223"/>
        <v>0</v>
      </c>
      <c r="DC77" s="649">
        <f t="shared" si="224"/>
        <v>0</v>
      </c>
      <c r="DD77" s="648">
        <f t="shared" si="225"/>
        <v>0</v>
      </c>
      <c r="DE77" s="648">
        <f t="shared" si="226"/>
        <v>0</v>
      </c>
      <c r="DF77" s="648">
        <f t="shared" si="227"/>
        <v>0</v>
      </c>
      <c r="DG77" s="649">
        <f t="shared" si="228"/>
        <v>0</v>
      </c>
      <c r="DH77" s="649">
        <f t="shared" si="229"/>
        <v>0</v>
      </c>
      <c r="DI77" s="648">
        <f t="shared" si="230"/>
        <v>0</v>
      </c>
      <c r="DJ77" s="648">
        <f t="shared" si="231"/>
        <v>0</v>
      </c>
      <c r="DK77" s="648">
        <f t="shared" si="232"/>
        <v>0</v>
      </c>
      <c r="DL77" s="648">
        <f t="shared" si="233"/>
        <v>0</v>
      </c>
      <c r="DM77" s="648">
        <f t="shared" si="234"/>
        <v>0</v>
      </c>
      <c r="DN77" s="648">
        <f t="shared" si="235"/>
        <v>0</v>
      </c>
      <c r="DO77" s="648">
        <f t="shared" si="236"/>
        <v>0</v>
      </c>
      <c r="DP77" s="651">
        <f t="shared" si="237"/>
        <v>0</v>
      </c>
      <c r="DQ77" s="951">
        <f>IF($CB77=0,0,$DP77*_xlfn.XLOOKUP($CB77,Premises!$A$10:$F$10,Premises!$A$30:$F$30)/100)</f>
        <v>0</v>
      </c>
      <c r="DR77" s="650">
        <f>IFERROR(SUM($DP77:$DQ77)*IF(INDEX(Premises!$A$42:$F$42,1,MATCH($CB77,Premises!$A$10:$F$10,0))&gt;0,INDEX(Premises!$A$42:$F$42,1,MATCH($CB77,Premises!$A$10:$F$10,0))%,$CN77),0)</f>
        <v>0</v>
      </c>
      <c r="DS77" s="650" cm="1">
        <f t="array" ref="DS77">IF($CB77=0,0,SUM($DP77:$DR77)*_xlfn.XLOOKUP($CB77,Premises!$A$10:$F$10,IF(INDEX(Settings[],MATCH(3001,Settings[ID],0),2)="B",Premises!$A$33:$F$33,Premises!$A$31:$F$31))/100)</f>
        <v>0</v>
      </c>
      <c r="DT77" s="650" cm="1">
        <f t="array" ref="DT77">IF($CB77=0,0,$DP77*_xlfn.XLOOKUP($CB77,Premises!$A$10:$F$10,IF(INDEX(Settings[],MATCH(3002,Settings[ID],0),2)="B",Premises!$A$36:$F$36,Premises!$A$34:$F$34))/100)</f>
        <v>0</v>
      </c>
      <c r="DU77" s="650">
        <f>IF($CB77=0,0,SUM($DP77:$DT77)*_xlfn.XLOOKUP($CB77,Premises!$A$10:$F$10,Premises!$A$37:$F$37)/100)</f>
        <v>0</v>
      </c>
      <c r="DV77" s="954">
        <f t="shared" si="238"/>
        <v>0</v>
      </c>
      <c r="DW77" s="951">
        <f>IF($CC77=0,0,$DV77*_xlfn.XLOOKUP($CC77,Premises!$A$10:$F$10,Premises!$A$30:$F$30)/100)</f>
        <v>0</v>
      </c>
      <c r="DX77" s="650">
        <f>IFERROR(SUM($DV77:$DW77)*IF(INDEX(Premises!$A$42:$F$42,1,MATCH($CC77,Premises!$A$10:$F$10,0))&gt;0,INDEX(Premises!$A$42:$F$42,1,MATCH($CC77,Premises!$A$10:$F$10,0))%,$CP77),0)</f>
        <v>0</v>
      </c>
      <c r="DY77" s="650" cm="1">
        <f t="array" ref="DY77">IF($CC77=0,0,SUM($DV77:$DX77)*_xlfn.XLOOKUP($CC77,Premises!$A$10:$F$10,IF(INDEX(Settings[],MATCH(3001,Settings[ID],0),2)="B",Premises!$A$33:$F$33,Premises!$A$31:$F$31))/100)</f>
        <v>0</v>
      </c>
      <c r="DZ77" s="650" cm="1">
        <f t="array" ref="DZ77">IF($CC77=0,0,$DV77*_xlfn.XLOOKUP($CC77,Premises!$A$10:$F$10,IF(INDEX(Settings[],MATCH(3002,Settings[ID],0),2)="B",Premises!$A$36:$F$36,Premises!$A$34:$F$34))/100)</f>
        <v>0</v>
      </c>
      <c r="EA77" s="650">
        <f>IF($CC77=0,0,SUM($DV77:$DZ77)*_xlfn.XLOOKUP($CC77,Premises!$A$10:$F$10,Premises!$A$37:$F$37)/100)</f>
        <v>0</v>
      </c>
      <c r="EB77" s="651">
        <f t="shared" si="239"/>
        <v>0</v>
      </c>
      <c r="EC77" s="805"/>
      <c r="ED77" s="1104"/>
      <c r="EE77" s="650"/>
      <c r="EF77" s="1110"/>
      <c r="EG77" s="1108"/>
      <c r="EH77" s="1108"/>
      <c r="EI77" s="1108"/>
      <c r="EJ77" s="1108"/>
      <c r="EK77" s="1108"/>
      <c r="EL77" s="1108"/>
      <c r="EM77" s="1110"/>
      <c r="EN77" s="1108"/>
      <c r="EO77" s="1108"/>
      <c r="EP77" s="1108"/>
      <c r="EQ77" s="1108"/>
      <c r="ER77" s="1110"/>
      <c r="ES77" s="1108"/>
      <c r="ET77" s="1108"/>
      <c r="EU77" s="1108"/>
      <c r="EV77" s="1108"/>
      <c r="EW77" s="1108"/>
      <c r="EX77" s="1111"/>
      <c r="EY77" s="2"/>
      <c r="EZ77" s="2"/>
      <c r="FA77" s="2"/>
      <c r="FB77" s="2"/>
      <c r="FC77" s="2"/>
      <c r="FD77" s="2"/>
      <c r="FE77" s="2"/>
      <c r="FF77" s="2"/>
      <c r="FG77" s="2"/>
      <c r="FH77" s="2"/>
      <c r="FI77" s="2"/>
      <c r="FJ77" s="420"/>
      <c r="FK77" s="421"/>
      <c r="FL77" s="422"/>
      <c r="FM77" s="1153"/>
    </row>
    <row r="78" spans="1:169" s="13" customFormat="1" ht="12.75" customHeight="1">
      <c r="A78" s="221"/>
      <c r="B78" s="402" t="s">
        <v>4369</v>
      </c>
      <c r="C78" s="403">
        <v>4</v>
      </c>
      <c r="D78" s="646"/>
      <c r="E78" s="404"/>
      <c r="F78" s="405"/>
      <c r="G78" s="405"/>
      <c r="H78" s="405"/>
      <c r="I78" s="637" cm="1">
        <f t="array" ref="I78">IF($CI78=0,0,IFERROR(INDEX(MHR[],$CI78,MATCH($CA78,MHR!$B$4:$AY$4,0)),0))</f>
        <v>0</v>
      </c>
      <c r="J78" s="634">
        <f t="shared" si="192"/>
        <v>0</v>
      </c>
      <c r="K78" s="406"/>
      <c r="L78" s="407"/>
      <c r="M78" s="871"/>
      <c r="N78" s="407"/>
      <c r="O78" s="405"/>
      <c r="P78" s="645" cm="1">
        <f t="array" ref="P78">IF($K78=0,0,IFERROR(ROUNDUP(IF(ISNUMBER($K78),$K78,INDEX($D$1:$D78,$CD78)*INDEX(Premises!$A$13:$F$13,1,$CH78)/IF(OR($K78="T",$K78="D"),250,IF($K78="W",50,IF($K78="M",12,IF(OR($K78="HJ",$K78="HY"),2,IF(OR($K78="J",$K78="Y"),1,0)))))),0),0))</f>
        <v>0</v>
      </c>
      <c r="Q78" s="637" cm="1">
        <f t="array" ref="Q78">IF($K78=0,0,IFERROR(INDEX(Premises!$A$22:$F$22,1,$CH78)*100/INDEX(Premises!$A$16:$F$16,1,$CH78),0))</f>
        <v>0</v>
      </c>
      <c r="R78" s="634">
        <f t="shared" si="193"/>
        <v>0</v>
      </c>
      <c r="S78" s="408"/>
      <c r="T78" s="409"/>
      <c r="U78" s="637" cm="1">
        <f t="array" ref="U78">IF(COUNTBLANK($S78:$T78),0,
IF(AND(INDEX(MHR[Schichtmodell],$CI78)&lt;&gt;0,INDEX(MHR[Schichtmodell],$CI78)&lt;&gt;INDEX(Premises!$A$20:$F$20,1,$CH78)),ExchangeRate*
IF(OR($T78="M",$T78="U"),IF(INDEX(MHR[Schichtmodell],$CI78)=1,INDEX(LOC[M1S],INDEX(Premises!$A$18:$F$18,1,$CH78+1)),IF(INDEX(MHR[Schichtmodell],$CI78)=2,INDEX(LOC[M2S],INDEX(Premises!$A$18:$F$18,1,$CH78+1),IF(INDEX(MHR[Schichtmodell],$CI78)=3,INDEX(LOC[M3S],INDEX(Premises!$A$18:$F$18,1,$CH78+1)),0)))),
IF(INDEX(MHR[Schichtmodell],$CI78)=1,INDEX(LOC[F1S],INDEX(Premises!$A$18:$F$18,1,$CH78+1)),IF(INDEX(MHR[Schichtmodell],$CI78)=2,INDEX(LOC[F2S],INDEX(Premises!$A$18:$F$18,1,$CH78+1)),IF(INDEX(MHR[Schichtmodell],$CI78)=3,INDEX(LOC[F3S],INDEX(Premises!$A$18:$F$18,1,$CH78+1)),0)))),
IF(OR($T78="M",$T78="U"),INDEX(Premises!$A$21:$F$21,1,$CH78),
IF(OR($T78="F",$T78="S"),INDEX(Premises!$A$22:$F$22,1,$CH78),0)))*100/INDEX(Premises!$A$16:$F$16,1,$CH78))</f>
        <v>0</v>
      </c>
      <c r="V78" s="631">
        <f t="shared" si="194"/>
        <v>0</v>
      </c>
      <c r="W78" s="410"/>
      <c r="X78" s="403"/>
      <c r="Y78" s="411"/>
      <c r="Z78" s="412"/>
      <c r="AA78" s="628">
        <f t="shared" si="195"/>
        <v>0</v>
      </c>
      <c r="AB78" s="410"/>
      <c r="AC78" s="403"/>
      <c r="AD78" s="411"/>
      <c r="AE78" s="413"/>
      <c r="AF78" s="628">
        <f t="shared" si="196"/>
        <v>0</v>
      </c>
      <c r="AG78" s="629" cm="1">
        <f t="array" ref="AG78">IF(($J78+$V78+$AF78)=0,0,INDEX(Premises!$A$30:$F$30,1,$CH78)/100)</f>
        <v>0</v>
      </c>
      <c r="AH78" s="414"/>
      <c r="AI78" s="415"/>
      <c r="AJ78" s="416"/>
      <c r="AK78" s="630">
        <f t="shared" si="197"/>
        <v>0</v>
      </c>
      <c r="AL78" s="631">
        <f t="shared" si="198"/>
        <v>0</v>
      </c>
      <c r="AM78" s="632" cm="1">
        <f t="array" ref="AM78">IF($CI78=0,0,IFERROR(INDEX(MHR[],$CI78,MATCH($CA78,MHR!$B$4:$AY$4,0)+11),0))</f>
        <v>0</v>
      </c>
      <c r="AN78" s="633" cm="1">
        <f t="array" ref="AN78">IF(($J78+$V78)=0,0,IFERROR(IF(INDEX(Premises!$A$41:$F$41,1,$CH78)&lt;&gt;0,INDEX(Premises!$A$41:$F$41,1,$CH78)/100,(IFERROR(($J78/$I78)*$AM78,0)/($V78+$J78+$R78+$AL78))),0))</f>
        <v>0</v>
      </c>
      <c r="AO78" s="634">
        <f t="shared" si="199"/>
        <v>0</v>
      </c>
      <c r="AP78" s="635">
        <f t="shared" si="200"/>
        <v>0</v>
      </c>
      <c r="AQ78" s="410"/>
      <c r="AR78" s="409"/>
      <c r="AS78" s="636" cm="1">
        <f t="array" ref="AS78">IF($CJ78=0,0,IFERROR(INDEX(MAT[Einheit],$CJ78,1),0))</f>
        <v>0</v>
      </c>
      <c r="AT78" s="637" cm="1">
        <f t="array" ref="AT78">IF($CJ78=0,0,IFERROR(INDEX(MAT[Preis],$CJ78,1),0))</f>
        <v>0</v>
      </c>
      <c r="AU78" s="638">
        <f t="shared" si="201"/>
        <v>0</v>
      </c>
      <c r="AV78" s="639" cm="1">
        <f t="array" ref="AV78">IF($AU78&lt;=0,0,INDEX(Premises!$A$30:$F$30,1,$CH78)/100)</f>
        <v>0</v>
      </c>
      <c r="AW78" s="409"/>
      <c r="AX78" s="631">
        <f t="shared" si="202"/>
        <v>0</v>
      </c>
      <c r="AY78" s="640" cm="1">
        <f t="array" ref="AY78">IF($AT78&lt;=0,0,IFERROR(IF(INDEX(Premises!$A$42:$F$42,1,$CH78)&lt;&gt;0,INDEX(Premises!$A$42:$F$42,1,$CH78)/100,(INDEX(MAT[],$CJ78,MATCH($CA78,MAT!$B$4:$AE$4,0))/($AR78*$CK78*INDEX(Premises!$A$13:$F$13,1,$CH78))+INDEX(MAT[],$CJ78,MATCH($CA78,MAT!$B$4:$AE$4,0)+7))/$AT78),0))</f>
        <v>0</v>
      </c>
      <c r="AZ78" s="631">
        <f t="shared" si="203"/>
        <v>0</v>
      </c>
      <c r="BA78" s="635">
        <f t="shared" si="204"/>
        <v>0</v>
      </c>
      <c r="BB78" s="635">
        <f t="shared" si="205"/>
        <v>0</v>
      </c>
      <c r="BC78" s="639" cm="1">
        <f t="array" ref="BC78">IF($BB78&lt;=0,0,IF(BC$2=-1,0,INDEX(Premises!$A$32:$F$32,1,$CH78)/100))</f>
        <v>0</v>
      </c>
      <c r="BD78" s="631">
        <f t="shared" si="206"/>
        <v>0</v>
      </c>
      <c r="BE78" s="639" cm="1">
        <f t="array" ref="BE78">IF($BB78&lt;=0,0,IF(BE$2=-1,0,INDEX(Premises!$A$33:$F$33,1,$CH78)/100))</f>
        <v>0</v>
      </c>
      <c r="BF78" s="631">
        <f t="shared" si="207"/>
        <v>0</v>
      </c>
      <c r="BG78" s="639" cm="1">
        <f t="array" ref="BG78">IF($BB78&lt;=0,0,IF(BG$2=-1,0,INDEX(Premises!$A$31:$F$31,1,$CH78)/100))</f>
        <v>0</v>
      </c>
      <c r="BH78" s="631">
        <f t="shared" si="208"/>
        <v>0</v>
      </c>
      <c r="BI78" s="635">
        <f t="shared" si="209"/>
        <v>0</v>
      </c>
      <c r="BJ78" s="639" cm="1">
        <f t="array" ref="BJ78">IF($BB78&lt;=0,0,IF(BJ$2=-1,0,INDEX(Premises!$A$35:$F$35,1,$CH78)/100))</f>
        <v>0</v>
      </c>
      <c r="BK78" s="631">
        <f t="shared" si="210"/>
        <v>0</v>
      </c>
      <c r="BL78" s="639" cm="1">
        <f t="array" ref="BL78">IF($BB78&lt;=0,0,IF(BL$2=-1,0,INDEX(Premises!$A$36:$F$36,1,$CH78)/100))</f>
        <v>0</v>
      </c>
      <c r="BM78" s="631">
        <f t="shared" si="211"/>
        <v>0</v>
      </c>
      <c r="BN78" s="639" cm="1">
        <f t="array" ref="BN78">IF($BB78&lt;=0,0,IF(BN$2=-1,0,INDEX(Premises!$A$34:$F$34,1,$CH78)/100))</f>
        <v>0</v>
      </c>
      <c r="BO78" s="631">
        <f t="shared" si="212"/>
        <v>0</v>
      </c>
      <c r="BP78" s="639" cm="1">
        <f t="array" ref="BP78">IF($BI78=0,0,INDEX(Premises!$A$37:$F$37,1,$CH78)/100)</f>
        <v>0</v>
      </c>
      <c r="BQ78" s="409"/>
      <c r="BR78" s="631">
        <f t="shared" si="213"/>
        <v>0</v>
      </c>
      <c r="BS78" s="641">
        <f t="shared" si="214"/>
        <v>0</v>
      </c>
      <c r="BT78" s="641">
        <f t="shared" si="215"/>
        <v>0</v>
      </c>
      <c r="BU78" s="642">
        <f t="shared" si="216"/>
        <v>0</v>
      </c>
      <c r="BV78" s="1147"/>
      <c r="BW78" s="418"/>
      <c r="BX78" s="418"/>
      <c r="BY78" s="419"/>
      <c r="BZ78" s="968"/>
      <c r="CA78" s="280" cm="1">
        <f t="array" ref="CA78">IF($BZ78&gt;0,VALUE(LEFT($BZ78,IF(ISERROR(FIND("-",$BZ78)),LEN($BZ78),FIND("-",$BZ78)-1))),INDEX($CA$1:$CA78,MAX(1,$CD78)))</f>
        <v>1</v>
      </c>
      <c r="CB78" s="280" cm="1">
        <f t="array" ref="CB78">IF($BT78=0,0,IF(LEN($BZ78)-LEN(SUBSTITUTE($BZ78,"-",""))&gt;1,
VALUE(MID($BZ78,FIND("-",$BZ78)+1,FIND("-",$BZ78,FIND("-",$BZ78)+1)-FIND("-",$BZ78)-1)),IF($BZ78&gt;0,0,INDEX($CB$1:$CB78,MAX(1,$CD78)))))</f>
        <v>0</v>
      </c>
      <c r="CC78" s="280" cm="1">
        <f t="array" ref="CC78">IF($BT78=0,0,IF(NOT(ISERROR(FIND("-",BZ78))),
VALUE(RIGHT($BZ78,LEN($BZ78)-IF(LEN($BZ78)-LEN(SUBSTITUTE($BZ78,"-",""))=1,FIND("-",$BZ78),FIND("-",$BZ78,FIND("-",$BZ78)+1)))),
IF($BZ78&gt;0,0,INDEX($CC$1:$CC78,MAX(1,$CD78)))))</f>
        <v>0</v>
      </c>
      <c r="CD78" s="393">
        <f>MATCH(0,$CE$1:$CE78,-1)</f>
        <v>49</v>
      </c>
      <c r="CE78" s="280"/>
      <c r="CF78" s="394"/>
      <c r="CG78" s="393" cm="1">
        <f t="array" ref="CG78">INDEX($CG$1:$CG78,$CD78)</f>
        <v>7</v>
      </c>
      <c r="CH78" s="280">
        <f>MATCH($CA78,Premises!$A$10:$F$10,0)</f>
        <v>4</v>
      </c>
      <c r="CI78" s="280">
        <f>IF(ISBLANK($E78),0,IFERROR(MATCH($E78,MHR[Bezeichnung],0),0))</f>
        <v>0</v>
      </c>
      <c r="CJ78" s="394">
        <f>IF(ISBLANK($AQ78),0,IFERROR(MATCH($AQ78,MAT[Bezeichnung],0),0))</f>
        <v>0</v>
      </c>
      <c r="CK78" s="280" cm="1">
        <f t="array" ref="CK78">INDEX($D$1:$D78,$CD78)</f>
        <v>1</v>
      </c>
      <c r="CL78" s="280"/>
      <c r="CM78" s="395"/>
      <c r="CN78" s="396" cm="1">
        <f t="array" ref="CN78">IF($CB78=0,0,IF($CB78=INDEX($CB$1:$CB78,$CD78),INDEX($CN$1:$CN78,$CD78),$CP78))</f>
        <v>0</v>
      </c>
      <c r="CO78" s="395"/>
      <c r="CP78" s="396" cm="1">
        <f t="array" ref="CP78">IF($CC78=0,0,INDEX($CP$1:$CP78,$CD78))</f>
        <v>0</v>
      </c>
      <c r="CQ78" s="397"/>
      <c r="CR78" s="398"/>
      <c r="CS78" s="398"/>
      <c r="CT78" s="1152"/>
      <c r="CU78" s="1149"/>
      <c r="CV78" s="647">
        <f t="shared" si="217"/>
        <v>0</v>
      </c>
      <c r="CW78" s="648">
        <f t="shared" si="218"/>
        <v>0</v>
      </c>
      <c r="CX78" s="648">
        <f t="shared" si="219"/>
        <v>0</v>
      </c>
      <c r="CY78" s="648">
        <f t="shared" si="220"/>
        <v>0</v>
      </c>
      <c r="CZ78" s="648">
        <f t="shared" si="221"/>
        <v>0</v>
      </c>
      <c r="DA78" s="648">
        <f t="shared" si="222"/>
        <v>0</v>
      </c>
      <c r="DB78" s="648">
        <f t="shared" si="223"/>
        <v>0</v>
      </c>
      <c r="DC78" s="649">
        <f t="shared" si="224"/>
        <v>0</v>
      </c>
      <c r="DD78" s="648">
        <f t="shared" si="225"/>
        <v>0</v>
      </c>
      <c r="DE78" s="648">
        <f t="shared" si="226"/>
        <v>0</v>
      </c>
      <c r="DF78" s="648">
        <f t="shared" si="227"/>
        <v>0</v>
      </c>
      <c r="DG78" s="649">
        <f t="shared" si="228"/>
        <v>0</v>
      </c>
      <c r="DH78" s="649">
        <f t="shared" si="229"/>
        <v>0</v>
      </c>
      <c r="DI78" s="648">
        <f t="shared" si="230"/>
        <v>0</v>
      </c>
      <c r="DJ78" s="648">
        <f t="shared" si="231"/>
        <v>0</v>
      </c>
      <c r="DK78" s="648">
        <f t="shared" si="232"/>
        <v>0</v>
      </c>
      <c r="DL78" s="648">
        <f t="shared" si="233"/>
        <v>0</v>
      </c>
      <c r="DM78" s="648">
        <f t="shared" si="234"/>
        <v>0</v>
      </c>
      <c r="DN78" s="648">
        <f t="shared" si="235"/>
        <v>0</v>
      </c>
      <c r="DO78" s="648">
        <f t="shared" si="236"/>
        <v>0</v>
      </c>
      <c r="DP78" s="651">
        <f t="shared" si="237"/>
        <v>0</v>
      </c>
      <c r="DQ78" s="951">
        <f>IF($CB78=0,0,$DP78*_xlfn.XLOOKUP($CB78,Premises!$A$10:$F$10,Premises!$A$30:$F$30)/100)</f>
        <v>0</v>
      </c>
      <c r="DR78" s="650">
        <f>IFERROR(SUM($DP78:$DQ78)*IF(INDEX(Premises!$A$42:$F$42,1,MATCH($CB78,Premises!$A$10:$F$10,0))&gt;0,INDEX(Premises!$A$42:$F$42,1,MATCH($CB78,Premises!$A$10:$F$10,0))%,$CN78),0)</f>
        <v>0</v>
      </c>
      <c r="DS78" s="650" cm="1">
        <f t="array" ref="DS78">IF($CB78=0,0,SUM($DP78:$DR78)*_xlfn.XLOOKUP($CB78,Premises!$A$10:$F$10,IF(INDEX(Settings[],MATCH(3001,Settings[ID],0),2)="B",Premises!$A$33:$F$33,Premises!$A$31:$F$31))/100)</f>
        <v>0</v>
      </c>
      <c r="DT78" s="650" cm="1">
        <f t="array" ref="DT78">IF($CB78=0,0,$DP78*_xlfn.XLOOKUP($CB78,Premises!$A$10:$F$10,IF(INDEX(Settings[],MATCH(3002,Settings[ID],0),2)="B",Premises!$A$36:$F$36,Premises!$A$34:$F$34))/100)</f>
        <v>0</v>
      </c>
      <c r="DU78" s="650">
        <f>IF($CB78=0,0,SUM($DP78:$DT78)*_xlfn.XLOOKUP($CB78,Premises!$A$10:$F$10,Premises!$A$37:$F$37)/100)</f>
        <v>0</v>
      </c>
      <c r="DV78" s="954">
        <f t="shared" si="238"/>
        <v>0</v>
      </c>
      <c r="DW78" s="951">
        <f>IF($CC78=0,0,$DV78*_xlfn.XLOOKUP($CC78,Premises!$A$10:$F$10,Premises!$A$30:$F$30)/100)</f>
        <v>0</v>
      </c>
      <c r="DX78" s="650">
        <f>IFERROR(SUM($DV78:$DW78)*IF(INDEX(Premises!$A$42:$F$42,1,MATCH($CC78,Premises!$A$10:$F$10,0))&gt;0,INDEX(Premises!$A$42:$F$42,1,MATCH($CC78,Premises!$A$10:$F$10,0))%,$CP78),0)</f>
        <v>0</v>
      </c>
      <c r="DY78" s="650" cm="1">
        <f t="array" ref="DY78">IF($CC78=0,0,SUM($DV78:$DX78)*_xlfn.XLOOKUP($CC78,Premises!$A$10:$F$10,IF(INDEX(Settings[],MATCH(3001,Settings[ID],0),2)="B",Premises!$A$33:$F$33,Premises!$A$31:$F$31))/100)</f>
        <v>0</v>
      </c>
      <c r="DZ78" s="650" cm="1">
        <f t="array" ref="DZ78">IF($CC78=0,0,$DV78*_xlfn.XLOOKUP($CC78,Premises!$A$10:$F$10,IF(INDEX(Settings[],MATCH(3002,Settings[ID],0),2)="B",Premises!$A$36:$F$36,Premises!$A$34:$F$34))/100)</f>
        <v>0</v>
      </c>
      <c r="EA78" s="650">
        <f>IF($CC78=0,0,SUM($DV78:$DZ78)*_xlfn.XLOOKUP($CC78,Premises!$A$10:$F$10,Premises!$A$37:$F$37)/100)</f>
        <v>0</v>
      </c>
      <c r="EB78" s="651">
        <f t="shared" si="239"/>
        <v>0</v>
      </c>
      <c r="EC78" s="805"/>
      <c r="ED78" s="1104"/>
      <c r="EE78" s="650"/>
      <c r="EF78" s="1110"/>
      <c r="EG78" s="1108"/>
      <c r="EH78" s="1108"/>
      <c r="EI78" s="1108"/>
      <c r="EJ78" s="1108"/>
      <c r="EK78" s="1108"/>
      <c r="EL78" s="1108"/>
      <c r="EM78" s="1110"/>
      <c r="EN78" s="1108"/>
      <c r="EO78" s="1108"/>
      <c r="EP78" s="1108"/>
      <c r="EQ78" s="1108"/>
      <c r="ER78" s="1110"/>
      <c r="ES78" s="1108"/>
      <c r="ET78" s="1108"/>
      <c r="EU78" s="1108"/>
      <c r="EV78" s="1108"/>
      <c r="EW78" s="1108"/>
      <c r="EX78" s="1111"/>
      <c r="EY78" s="2"/>
      <c r="EZ78" s="2"/>
      <c r="FA78" s="2"/>
      <c r="FB78" s="2"/>
      <c r="FC78" s="2"/>
      <c r="FD78" s="2"/>
      <c r="FE78" s="2"/>
      <c r="FF78" s="2"/>
      <c r="FG78" s="2"/>
      <c r="FH78" s="2"/>
      <c r="FI78" s="2"/>
      <c r="FJ78" s="420"/>
      <c r="FK78" s="421"/>
      <c r="FL78" s="422"/>
      <c r="FM78" s="1153"/>
    </row>
    <row r="79" spans="1:169" s="13" customFormat="1" ht="12.75" customHeight="1">
      <c r="A79" s="221"/>
      <c r="B79" s="402"/>
      <c r="C79" s="403"/>
      <c r="D79" s="646"/>
      <c r="E79" s="404"/>
      <c r="F79" s="405"/>
      <c r="G79" s="405"/>
      <c r="H79" s="405"/>
      <c r="I79" s="637" cm="1">
        <f t="array" ref="I79">IF($CI79=0,0,IFERROR(INDEX(MHR[],$CI79,MATCH($CA79,MHR!$B$4:$AY$4,0)),0))</f>
        <v>0</v>
      </c>
      <c r="J79" s="634">
        <f t="shared" si="192"/>
        <v>0</v>
      </c>
      <c r="K79" s="406"/>
      <c r="L79" s="407"/>
      <c r="M79" s="871"/>
      <c r="N79" s="407"/>
      <c r="O79" s="405"/>
      <c r="P79" s="645" cm="1">
        <f t="array" ref="P79">IF($K79=0,0,IFERROR(ROUNDUP(IF(ISNUMBER($K79),$K79,INDEX($D$1:$D79,$CD79)*INDEX(Premises!$A$13:$F$13,1,$CH79)/IF(OR($K79="T",$K79="D"),250,IF($K79="W",50,IF($K79="M",12,IF(OR($K79="HJ",$K79="HY"),2,IF(OR($K79="J",$K79="Y"),1,0)))))),0),0))</f>
        <v>0</v>
      </c>
      <c r="Q79" s="637" cm="1">
        <f t="array" ref="Q79">IF($K79=0,0,IFERROR(INDEX(Premises!$A$22:$F$22,1,$CH79)*100/INDEX(Premises!$A$16:$F$16,1,$CH79),0))</f>
        <v>0</v>
      </c>
      <c r="R79" s="634">
        <f t="shared" si="193"/>
        <v>0</v>
      </c>
      <c r="S79" s="408"/>
      <c r="T79" s="409"/>
      <c r="U79" s="637" cm="1">
        <f t="array" ref="U79">IF(COUNTBLANK($S79:$T79),0,
IF(AND(INDEX(MHR[Schichtmodell],$CI79)&lt;&gt;0,INDEX(MHR[Schichtmodell],$CI79)&lt;&gt;INDEX(Premises!$A$20:$F$20,1,$CH79)),ExchangeRate*
IF(OR($T79="M",$T79="U"),IF(INDEX(MHR[Schichtmodell],$CI79)=1,INDEX(LOC[M1S],INDEX(Premises!$A$18:$F$18,1,$CH79+1)),IF(INDEX(MHR[Schichtmodell],$CI79)=2,INDEX(LOC[M2S],INDEX(Premises!$A$18:$F$18,1,$CH79+1),IF(INDEX(MHR[Schichtmodell],$CI79)=3,INDEX(LOC[M3S],INDEX(Premises!$A$18:$F$18,1,$CH79+1)),0)))),
IF(INDEX(MHR[Schichtmodell],$CI79)=1,INDEX(LOC[F1S],INDEX(Premises!$A$18:$F$18,1,$CH79+1)),IF(INDEX(MHR[Schichtmodell],$CI79)=2,INDEX(LOC[F2S],INDEX(Premises!$A$18:$F$18,1,$CH79+1)),IF(INDEX(MHR[Schichtmodell],$CI79)=3,INDEX(LOC[F3S],INDEX(Premises!$A$18:$F$18,1,$CH79+1)),0)))),
IF(OR($T79="M",$T79="U"),INDEX(Premises!$A$21:$F$21,1,$CH79),
IF(OR($T79="F",$T79="S"),INDEX(Premises!$A$22:$F$22,1,$CH79),0)))*100/INDEX(Premises!$A$16:$F$16,1,$CH79))</f>
        <v>0</v>
      </c>
      <c r="V79" s="631">
        <f t="shared" si="194"/>
        <v>0</v>
      </c>
      <c r="W79" s="410"/>
      <c r="X79" s="403"/>
      <c r="Y79" s="411"/>
      <c r="Z79" s="412"/>
      <c r="AA79" s="628">
        <f t="shared" si="195"/>
        <v>0</v>
      </c>
      <c r="AB79" s="410"/>
      <c r="AC79" s="403"/>
      <c r="AD79" s="411"/>
      <c r="AE79" s="413"/>
      <c r="AF79" s="628">
        <f t="shared" si="196"/>
        <v>0</v>
      </c>
      <c r="AG79" s="629" cm="1">
        <f t="array" ref="AG79">IF(($J79+$V79+$AF79)=0,0,INDEX(Premises!$A$30:$F$30,1,$CH79)/100)</f>
        <v>0</v>
      </c>
      <c r="AH79" s="414"/>
      <c r="AI79" s="415"/>
      <c r="AJ79" s="416"/>
      <c r="AK79" s="630">
        <f t="shared" si="197"/>
        <v>0</v>
      </c>
      <c r="AL79" s="631">
        <f t="shared" si="198"/>
        <v>0</v>
      </c>
      <c r="AM79" s="632" cm="1">
        <f t="array" ref="AM79">IF($CI79=0,0,IFERROR(INDEX(MHR[],$CI79,MATCH($CA79,MHR!$B$4:$AY$4,0)+11),0))</f>
        <v>0</v>
      </c>
      <c r="AN79" s="633" cm="1">
        <f t="array" ref="AN79">IF(($J79+$V79)=0,0,IFERROR(IF(INDEX(Premises!$A$41:$F$41,1,$CH79)&lt;&gt;0,INDEX(Premises!$A$41:$F$41,1,$CH79)/100,(IFERROR(($J79/$I79)*$AM79,0)/($V79+$J79+$R79+$AL79))),0))</f>
        <v>0</v>
      </c>
      <c r="AO79" s="634">
        <f t="shared" si="199"/>
        <v>0</v>
      </c>
      <c r="AP79" s="635">
        <f t="shared" si="200"/>
        <v>0</v>
      </c>
      <c r="AQ79" s="410"/>
      <c r="AR79" s="409"/>
      <c r="AS79" s="636" cm="1">
        <f t="array" ref="AS79">IF($CJ79=0,0,IFERROR(INDEX(MAT[Einheit],$CJ79,1),0))</f>
        <v>0</v>
      </c>
      <c r="AT79" s="637" cm="1">
        <f t="array" ref="AT79">IF($CJ79=0,0,IFERROR(INDEX(MAT[Preis],$CJ79,1),0))</f>
        <v>0</v>
      </c>
      <c r="AU79" s="638">
        <f t="shared" si="201"/>
        <v>0</v>
      </c>
      <c r="AV79" s="639" cm="1">
        <f t="array" ref="AV79">IF($AU79&lt;=0,0,INDEX(Premises!$A$30:$F$30,1,$CH79)/100)</f>
        <v>0</v>
      </c>
      <c r="AW79" s="409"/>
      <c r="AX79" s="631">
        <f t="shared" si="202"/>
        <v>0</v>
      </c>
      <c r="AY79" s="640" cm="1">
        <f t="array" ref="AY79">IF($AT79&lt;=0,0,IFERROR(IF(INDEX(Premises!$A$42:$F$42,1,$CH79)&lt;&gt;0,INDEX(Premises!$A$42:$F$42,1,$CH79)/100,(INDEX(MAT[],$CJ79,MATCH($CA79,MAT!$B$4:$AE$4,0))/($AR79*$CK79*INDEX(Premises!$A$13:$F$13,1,$CH79))+INDEX(MAT[],$CJ79,MATCH($CA79,MAT!$B$4:$AE$4,0)+7))/$AT79),0))</f>
        <v>0</v>
      </c>
      <c r="AZ79" s="631">
        <f t="shared" si="203"/>
        <v>0</v>
      </c>
      <c r="BA79" s="635">
        <f t="shared" si="204"/>
        <v>0</v>
      </c>
      <c r="BB79" s="635">
        <f t="shared" si="205"/>
        <v>0</v>
      </c>
      <c r="BC79" s="639" cm="1">
        <f t="array" ref="BC79">IF($BB79&lt;=0,0,IF(BC$2=-1,0,INDEX(Premises!$A$32:$F$32,1,$CH79)/100))</f>
        <v>0</v>
      </c>
      <c r="BD79" s="631">
        <f t="shared" si="206"/>
        <v>0</v>
      </c>
      <c r="BE79" s="639" cm="1">
        <f t="array" ref="BE79">IF($BB79&lt;=0,0,IF(BE$2=-1,0,INDEX(Premises!$A$33:$F$33,1,$CH79)/100))</f>
        <v>0</v>
      </c>
      <c r="BF79" s="631">
        <f t="shared" si="207"/>
        <v>0</v>
      </c>
      <c r="BG79" s="639" cm="1">
        <f t="array" ref="BG79">IF($BB79&lt;=0,0,IF(BG$2=-1,0,INDEX(Premises!$A$31:$F$31,1,$CH79)/100))</f>
        <v>0</v>
      </c>
      <c r="BH79" s="631">
        <f t="shared" si="208"/>
        <v>0</v>
      </c>
      <c r="BI79" s="635">
        <f t="shared" si="209"/>
        <v>0</v>
      </c>
      <c r="BJ79" s="639" cm="1">
        <f t="array" ref="BJ79">IF($BB79&lt;=0,0,IF(BJ$2=-1,0,INDEX(Premises!$A$35:$F$35,1,$CH79)/100))</f>
        <v>0</v>
      </c>
      <c r="BK79" s="631">
        <f t="shared" si="210"/>
        <v>0</v>
      </c>
      <c r="BL79" s="639" cm="1">
        <f t="array" ref="BL79">IF($BB79&lt;=0,0,IF(BL$2=-1,0,INDEX(Premises!$A$36:$F$36,1,$CH79)/100))</f>
        <v>0</v>
      </c>
      <c r="BM79" s="631">
        <f t="shared" si="211"/>
        <v>0</v>
      </c>
      <c r="BN79" s="639" cm="1">
        <f t="array" ref="BN79">IF($BB79&lt;=0,0,IF(BN$2=-1,0,INDEX(Premises!$A$34:$F$34,1,$CH79)/100))</f>
        <v>0</v>
      </c>
      <c r="BO79" s="631">
        <f t="shared" si="212"/>
        <v>0</v>
      </c>
      <c r="BP79" s="639" cm="1">
        <f t="array" ref="BP79">IF($BI79=0,0,INDEX(Premises!$A$37:$F$37,1,$CH79)/100)</f>
        <v>0</v>
      </c>
      <c r="BQ79" s="409"/>
      <c r="BR79" s="631">
        <f t="shared" si="213"/>
        <v>0</v>
      </c>
      <c r="BS79" s="641">
        <f t="shared" si="214"/>
        <v>0</v>
      </c>
      <c r="BT79" s="641">
        <f t="shared" si="215"/>
        <v>0</v>
      </c>
      <c r="BU79" s="642">
        <f t="shared" si="216"/>
        <v>0</v>
      </c>
      <c r="BV79" s="1147"/>
      <c r="BW79" s="418"/>
      <c r="BX79" s="418"/>
      <c r="BY79" s="419"/>
      <c r="BZ79" s="968"/>
      <c r="CA79" s="280" cm="1">
        <f t="array" ref="CA79">IF($BZ79&gt;0,VALUE(LEFT($BZ79,IF(ISERROR(FIND("-",$BZ79)),LEN($BZ79),FIND("-",$BZ79)-1))),INDEX($CA$1:$CA79,MAX(1,$CD79)))</f>
        <v>1</v>
      </c>
      <c r="CB79" s="280" cm="1">
        <f t="array" ref="CB79">IF($BT79=0,0,IF(LEN($BZ79)-LEN(SUBSTITUTE($BZ79,"-",""))&gt;1,
VALUE(MID($BZ79,FIND("-",$BZ79)+1,FIND("-",$BZ79,FIND("-",$BZ79)+1)-FIND("-",$BZ79)-1)),IF($BZ79&gt;0,0,INDEX($CB$1:$CB79,MAX(1,$CD79)))))</f>
        <v>0</v>
      </c>
      <c r="CC79" s="280" cm="1">
        <f t="array" ref="CC79">IF($BT79=0,0,IF(NOT(ISERROR(FIND("-",BZ79))),
VALUE(RIGHT($BZ79,LEN($BZ79)-IF(LEN($BZ79)-LEN(SUBSTITUTE($BZ79,"-",""))=1,FIND("-",$BZ79),FIND("-",$BZ79,FIND("-",$BZ79)+1)))),
IF($BZ79&gt;0,0,INDEX($CC$1:$CC79,MAX(1,$CD79)))))</f>
        <v>0</v>
      </c>
      <c r="CD79" s="393">
        <f>MATCH(0,$CE$1:$CE79,-1)</f>
        <v>49</v>
      </c>
      <c r="CE79" s="280"/>
      <c r="CF79" s="394"/>
      <c r="CG79" s="393" cm="1">
        <f t="array" ref="CG79">INDEX($CG$1:$CG79,$CD79)</f>
        <v>7</v>
      </c>
      <c r="CH79" s="280">
        <f>MATCH($CA79,Premises!$A$10:$F$10,0)</f>
        <v>4</v>
      </c>
      <c r="CI79" s="280">
        <f>IF(ISBLANK($E79),0,IFERROR(MATCH($E79,MHR[Bezeichnung],0),0))</f>
        <v>0</v>
      </c>
      <c r="CJ79" s="394">
        <f>IF(ISBLANK($AQ79),0,IFERROR(MATCH($AQ79,MAT[Bezeichnung],0),0))</f>
        <v>0</v>
      </c>
      <c r="CK79" s="280" cm="1">
        <f t="array" ref="CK79">INDEX($D$1:$D79,$CD79)</f>
        <v>1</v>
      </c>
      <c r="CL79" s="280"/>
      <c r="CM79" s="395"/>
      <c r="CN79" s="396" cm="1">
        <f t="array" ref="CN79">IF($CB79=0,0,IF($CB79=INDEX($CB$1:$CB79,$CD79),INDEX($CN$1:$CN79,$CD79),$CP79))</f>
        <v>0</v>
      </c>
      <c r="CO79" s="395"/>
      <c r="CP79" s="396" cm="1">
        <f t="array" ref="CP79">IF($CC79=0,0,INDEX($CP$1:$CP79,$CD79))</f>
        <v>0</v>
      </c>
      <c r="CQ79" s="397"/>
      <c r="CR79" s="398"/>
      <c r="CS79" s="398"/>
      <c r="CT79" s="1152"/>
      <c r="CU79" s="1149"/>
      <c r="CV79" s="647">
        <f t="shared" si="217"/>
        <v>0</v>
      </c>
      <c r="CW79" s="648">
        <f t="shared" si="218"/>
        <v>0</v>
      </c>
      <c r="CX79" s="648">
        <f t="shared" si="219"/>
        <v>0</v>
      </c>
      <c r="CY79" s="648">
        <f t="shared" si="220"/>
        <v>0</v>
      </c>
      <c r="CZ79" s="648">
        <f t="shared" si="221"/>
        <v>0</v>
      </c>
      <c r="DA79" s="648">
        <f t="shared" si="222"/>
        <v>0</v>
      </c>
      <c r="DB79" s="648">
        <f t="shared" si="223"/>
        <v>0</v>
      </c>
      <c r="DC79" s="649">
        <f t="shared" si="224"/>
        <v>0</v>
      </c>
      <c r="DD79" s="648">
        <f t="shared" si="225"/>
        <v>0</v>
      </c>
      <c r="DE79" s="648">
        <f t="shared" si="226"/>
        <v>0</v>
      </c>
      <c r="DF79" s="648">
        <f t="shared" si="227"/>
        <v>0</v>
      </c>
      <c r="DG79" s="649">
        <f t="shared" si="228"/>
        <v>0</v>
      </c>
      <c r="DH79" s="649">
        <f t="shared" si="229"/>
        <v>0</v>
      </c>
      <c r="DI79" s="648">
        <f t="shared" si="230"/>
        <v>0</v>
      </c>
      <c r="DJ79" s="648">
        <f t="shared" si="231"/>
        <v>0</v>
      </c>
      <c r="DK79" s="648">
        <f t="shared" si="232"/>
        <v>0</v>
      </c>
      <c r="DL79" s="648">
        <f t="shared" si="233"/>
        <v>0</v>
      </c>
      <c r="DM79" s="648">
        <f t="shared" si="234"/>
        <v>0</v>
      </c>
      <c r="DN79" s="648">
        <f t="shared" si="235"/>
        <v>0</v>
      </c>
      <c r="DO79" s="648">
        <f t="shared" si="236"/>
        <v>0</v>
      </c>
      <c r="DP79" s="651">
        <f t="shared" si="237"/>
        <v>0</v>
      </c>
      <c r="DQ79" s="951">
        <f>IF($CB79=0,0,$DP79*_xlfn.XLOOKUP($CB79,Premises!$A$10:$F$10,Premises!$A$30:$F$30)/100)</f>
        <v>0</v>
      </c>
      <c r="DR79" s="650">
        <f>IFERROR(SUM($DP79:$DQ79)*IF(INDEX(Premises!$A$42:$F$42,1,MATCH($CB79,Premises!$A$10:$F$10,0))&gt;0,INDEX(Premises!$A$42:$F$42,1,MATCH($CB79,Premises!$A$10:$F$10,0))%,$CN79),0)</f>
        <v>0</v>
      </c>
      <c r="DS79" s="650" cm="1">
        <f t="array" ref="DS79">IF($CB79=0,0,SUM($DP79:$DR79)*_xlfn.XLOOKUP($CB79,Premises!$A$10:$F$10,IF(INDEX(Settings[],MATCH(3001,Settings[ID],0),2)="B",Premises!$A$33:$F$33,Premises!$A$31:$F$31))/100)</f>
        <v>0</v>
      </c>
      <c r="DT79" s="650" cm="1">
        <f t="array" ref="DT79">IF($CB79=0,0,$DP79*_xlfn.XLOOKUP($CB79,Premises!$A$10:$F$10,IF(INDEX(Settings[],MATCH(3002,Settings[ID],0),2)="B",Premises!$A$36:$F$36,Premises!$A$34:$F$34))/100)</f>
        <v>0</v>
      </c>
      <c r="DU79" s="650">
        <f>IF($CB79=0,0,SUM($DP79:$DT79)*_xlfn.XLOOKUP($CB79,Premises!$A$10:$F$10,Premises!$A$37:$F$37)/100)</f>
        <v>0</v>
      </c>
      <c r="DV79" s="954">
        <f t="shared" si="238"/>
        <v>0</v>
      </c>
      <c r="DW79" s="951">
        <f>IF($CC79=0,0,$DV79*_xlfn.XLOOKUP($CC79,Premises!$A$10:$F$10,Premises!$A$30:$F$30)/100)</f>
        <v>0</v>
      </c>
      <c r="DX79" s="650">
        <f>IFERROR(SUM($DV79:$DW79)*IF(INDEX(Premises!$A$42:$F$42,1,MATCH($CC79,Premises!$A$10:$F$10,0))&gt;0,INDEX(Premises!$A$42:$F$42,1,MATCH($CC79,Premises!$A$10:$F$10,0))%,$CP79),0)</f>
        <v>0</v>
      </c>
      <c r="DY79" s="650" cm="1">
        <f t="array" ref="DY79">IF($CC79=0,0,SUM($DV79:$DX79)*_xlfn.XLOOKUP($CC79,Premises!$A$10:$F$10,IF(INDEX(Settings[],MATCH(3001,Settings[ID],0),2)="B",Premises!$A$33:$F$33,Premises!$A$31:$F$31))/100)</f>
        <v>0</v>
      </c>
      <c r="DZ79" s="650" cm="1">
        <f t="array" ref="DZ79">IF($CC79=0,0,$DV79*_xlfn.XLOOKUP($CC79,Premises!$A$10:$F$10,IF(INDEX(Settings[],MATCH(3002,Settings[ID],0),2)="B",Premises!$A$36:$F$36,Premises!$A$34:$F$34))/100)</f>
        <v>0</v>
      </c>
      <c r="EA79" s="650">
        <f>IF($CC79=0,0,SUM($DV79:$DZ79)*_xlfn.XLOOKUP($CC79,Premises!$A$10:$F$10,Premises!$A$37:$F$37)/100)</f>
        <v>0</v>
      </c>
      <c r="EB79" s="651">
        <f t="shared" si="239"/>
        <v>0</v>
      </c>
      <c r="EC79" s="805"/>
      <c r="ED79" s="1104"/>
      <c r="EE79" s="650"/>
      <c r="EF79" s="1110"/>
      <c r="EG79" s="1108"/>
      <c r="EH79" s="1108"/>
      <c r="EI79" s="1108"/>
      <c r="EJ79" s="1108"/>
      <c r="EK79" s="1108"/>
      <c r="EL79" s="1108"/>
      <c r="EM79" s="1110"/>
      <c r="EN79" s="1108"/>
      <c r="EO79" s="1108"/>
      <c r="EP79" s="1108"/>
      <c r="EQ79" s="1108"/>
      <c r="ER79" s="1110"/>
      <c r="ES79" s="1108"/>
      <c r="ET79" s="1108"/>
      <c r="EU79" s="1108"/>
      <c r="EV79" s="1108"/>
      <c r="EW79" s="1108"/>
      <c r="EX79" s="1111"/>
      <c r="EY79" s="2"/>
      <c r="EZ79" s="2"/>
      <c r="FA79" s="2"/>
      <c r="FB79" s="2"/>
      <c r="FC79" s="2"/>
      <c r="FD79" s="2"/>
      <c r="FE79" s="2"/>
      <c r="FF79" s="2"/>
      <c r="FG79" s="2"/>
      <c r="FH79" s="2"/>
      <c r="FI79" s="2"/>
      <c r="FJ79" s="420"/>
      <c r="FK79" s="421"/>
      <c r="FL79" s="422"/>
      <c r="FM79" s="1153"/>
    </row>
    <row r="80" spans="1:169" s="13" customFormat="1" ht="12.75" customHeight="1">
      <c r="A80" s="221"/>
      <c r="B80" s="387" t="str">
        <f>BOM!$A$8</f>
        <v>01-01-03-01 Front Outer Metal Cover</v>
      </c>
      <c r="C80" s="388"/>
      <c r="D80" s="389" cm="1">
        <f t="array" ref="D80">IF($CG80=0,0,INDEX(BOM!$N:$N,$CG80))</f>
        <v>1</v>
      </c>
      <c r="E80" s="644" t="s">
        <v>664</v>
      </c>
      <c r="F80" s="644" t="s">
        <v>664</v>
      </c>
      <c r="G80" s="644" t="s">
        <v>664</v>
      </c>
      <c r="H80" s="644" t="s">
        <v>664</v>
      </c>
      <c r="I80" s="644" t="s">
        <v>664</v>
      </c>
      <c r="J80" s="644" t="s">
        <v>664</v>
      </c>
      <c r="K80" s="644" t="s">
        <v>664</v>
      </c>
      <c r="L80" s="644" t="s">
        <v>664</v>
      </c>
      <c r="M80" s="644" t="s">
        <v>664</v>
      </c>
      <c r="N80" s="644" t="s">
        <v>664</v>
      </c>
      <c r="O80" s="644" t="s">
        <v>664</v>
      </c>
      <c r="P80" s="644" t="s">
        <v>664</v>
      </c>
      <c r="Q80" s="644" t="s">
        <v>664</v>
      </c>
      <c r="R80" s="644" t="s">
        <v>664</v>
      </c>
      <c r="S80" s="644" t="s">
        <v>664</v>
      </c>
      <c r="T80" s="644" t="s">
        <v>664</v>
      </c>
      <c r="U80" s="644" t="s">
        <v>664</v>
      </c>
      <c r="V80" s="644" t="s">
        <v>664</v>
      </c>
      <c r="W80" s="644" t="s">
        <v>664</v>
      </c>
      <c r="X80" s="644" t="s">
        <v>664</v>
      </c>
      <c r="Y80" s="644" t="s">
        <v>664</v>
      </c>
      <c r="Z80" s="644" t="s">
        <v>664</v>
      </c>
      <c r="AA80" s="644" t="s">
        <v>664</v>
      </c>
      <c r="AB80" s="644" t="s">
        <v>664</v>
      </c>
      <c r="AC80" s="644" t="s">
        <v>664</v>
      </c>
      <c r="AD80" s="644" t="s">
        <v>664</v>
      </c>
      <c r="AE80" s="644" t="s">
        <v>664</v>
      </c>
      <c r="AF80" s="644" t="s">
        <v>664</v>
      </c>
      <c r="AG80" s="644" t="s">
        <v>664</v>
      </c>
      <c r="AH80" s="644" t="s">
        <v>664</v>
      </c>
      <c r="AI80" s="644" t="s">
        <v>664</v>
      </c>
      <c r="AJ80" s="644" t="s">
        <v>664</v>
      </c>
      <c r="AK80" s="644" t="s">
        <v>664</v>
      </c>
      <c r="AL80" s="644" t="s">
        <v>664</v>
      </c>
      <c r="AM80" s="644" t="s">
        <v>664</v>
      </c>
      <c r="AN80" s="644" t="s">
        <v>664</v>
      </c>
      <c r="AO80" s="644" t="s">
        <v>664</v>
      </c>
      <c r="AP80" s="644" t="s">
        <v>664</v>
      </c>
      <c r="AQ80" s="644" t="s">
        <v>664</v>
      </c>
      <c r="AR80" s="644" t="s">
        <v>664</v>
      </c>
      <c r="AS80" s="644" t="s">
        <v>664</v>
      </c>
      <c r="AT80" s="644" t="s">
        <v>664</v>
      </c>
      <c r="AU80" s="644" t="s">
        <v>664</v>
      </c>
      <c r="AV80" s="644" t="s">
        <v>664</v>
      </c>
      <c r="AW80" s="644" t="s">
        <v>664</v>
      </c>
      <c r="AX80" s="644" t="s">
        <v>664</v>
      </c>
      <c r="AY80" s="644" t="s">
        <v>664</v>
      </c>
      <c r="AZ80" s="644" t="s">
        <v>664</v>
      </c>
      <c r="BA80" s="644" t="s">
        <v>664</v>
      </c>
      <c r="BB80" s="644" t="s">
        <v>664</v>
      </c>
      <c r="BC80" s="644" t="s">
        <v>664</v>
      </c>
      <c r="BD80" s="644" t="s">
        <v>664</v>
      </c>
      <c r="BE80" s="644" t="s">
        <v>664</v>
      </c>
      <c r="BF80" s="644" t="s">
        <v>664</v>
      </c>
      <c r="BG80" s="644" t="s">
        <v>664</v>
      </c>
      <c r="BH80" s="644" t="s">
        <v>664</v>
      </c>
      <c r="BI80" s="644" t="s">
        <v>664</v>
      </c>
      <c r="BJ80" s="644" t="s">
        <v>664</v>
      </c>
      <c r="BK80" s="644" t="s">
        <v>664</v>
      </c>
      <c r="BL80" s="644" t="s">
        <v>664</v>
      </c>
      <c r="BM80" s="644" t="s">
        <v>664</v>
      </c>
      <c r="BN80" s="644" t="s">
        <v>664</v>
      </c>
      <c r="BO80" s="644" t="s">
        <v>664</v>
      </c>
      <c r="BP80" s="644" t="s">
        <v>664</v>
      </c>
      <c r="BQ80" s="644" t="s">
        <v>664</v>
      </c>
      <c r="BR80" s="644" t="s">
        <v>664</v>
      </c>
      <c r="BS80" s="920">
        <f>SUM(INDEX($BS:$BS,ROW()+1):INDEX($BS:$BS,$CE80))</f>
        <v>4.1535764082631467E-2</v>
      </c>
      <c r="BT80" s="920">
        <f>SUM(INDEX($BT:$BT,ROW()+1):INDEX($BT:$BT,$CE80))</f>
        <v>4.1535764082631467E-2</v>
      </c>
      <c r="BU80" s="644" t="s">
        <v>664</v>
      </c>
      <c r="BV80" s="643">
        <f>SUMPRODUCT($BS80:INDEX($BS:$BS,$CE80),$BU80:INDEX($BU:$BU,$CE80))</f>
        <v>4.1535764082631467E-2</v>
      </c>
      <c r="BW80" s="390">
        <f>$D80*$BV80</f>
        <v>4.1535764082631467E-2</v>
      </c>
      <c r="BX80" s="816" cm="1">
        <f t="array" ref="BX80">IF($CG80=0,0,IF(INDEX(BOM!$P:$P,$CG80)=0,0,
SUMPRODUCT($BW80:INDEX($BW:$BW,IFERROR(ROW()+MATCH($CL80,INDEX($CL:$CL,ROW()+1):INDEX($CL:$CL,MAX($CE:$CE)),0)-1,MAX($CE:$CE))),
($CL80:INDEX($CL:$CL,IFERROR(ROW()+MATCH($CL80,INDEX($CL:$CL,ROW()+1):INDEX($CL:$CL,MAX($CE:$CE)),0)-1,MAX($CE:$CE)))&gt;=$CL80)*1)
))</f>
        <v>0</v>
      </c>
      <c r="BY80" s="391"/>
      <c r="BZ80" s="392" cm="1">
        <f t="array" ref="BZ80">IF($CG80=0,0,INDEX(BOM!$M:$M,$CG80))</f>
        <v>1</v>
      </c>
      <c r="CA80" s="280">
        <f>IF($BZ80&gt;0,VALUE(LEFT($BZ80,IF(ISERROR(FIND("-",$BZ80)),LEN($BZ80),FIND("-",$BZ80)-1))),INDEX($BZ$1:BZ80,MATCH("",$A$1:A80,-1)))</f>
        <v>1</v>
      </c>
      <c r="CB80" s="280">
        <f>IF(LEN($BZ80)-LEN(SUBSTITUTE($BZ80,"-",))&gt;1,
VALUE(MID($BZ80,FIND("-",$BZ80)+1,FIND("-",$BZ80,FIND("-",$BZ80)+1)-FIND("-",$BZ80)-1)),0)</f>
        <v>0</v>
      </c>
      <c r="CC80" s="280">
        <f>IF(NOT(ISERROR(FIND("-",BZ80))),
VALUE(RIGHT($BZ80,LEN($BZ80)-IF(LEN($BZ80)-LEN(SUBSTITUTE($BZ80,"-",""))=1,FIND("-",$BZ80),FIND("-",$BZ80,FIND("-",$BZ80)+1)))),0)</f>
        <v>0</v>
      </c>
      <c r="CD80" s="393"/>
      <c r="CE80" s="280" cm="1">
        <f t="array" ref="CE80">ROW()+MATCH(TRUE,_xlfn.ISFORMULA(INDEX(BW:BW,ROW()+1):INDEX(BW:BW,ROW()+MaxNumberOfRowsPerBlock)),0)-1</f>
        <v>86</v>
      </c>
      <c r="CF80" s="394" cm="1">
        <f t="array" ref="CF80">IF(CL80=0,-1,IF(CL80=1,7,MAX(IF($CL$1:$CL80=CL80-1,ROW($CL$1:$CL80),0))))</f>
        <v>49</v>
      </c>
      <c r="CG80" s="393">
        <f>IFERROR(MATCH($B80,BOM!$A:$A,0),0)</f>
        <v>8</v>
      </c>
      <c r="CH80" s="280">
        <f>MATCH($CA80,Premises!$A$10:$F$10,0)</f>
        <v>4</v>
      </c>
      <c r="CI80" s="280"/>
      <c r="CJ80" s="394"/>
      <c r="CK80" s="280"/>
      <c r="CL80" s="280" cm="1">
        <f t="array" ref="CL80">IF($CG80=0,0,INDEX(BOM!$C:$C,$CG80))</f>
        <v>4</v>
      </c>
      <c r="CM80" s="395" cm="1">
        <f t="array" ref="CM80">IF($CG80=0,0,IF(OR($CF80&lt;0,AND(INDEX($CB:$CB,$CF80)=$CB80,INDEX($CC:$CC,$CF80)=$CC80)),0,IF(INDEX(BOM!$P:$P,$CG80)=0,$BT80,(SUMIF($CA80:INDEX($CA:$CA,IFERROR(ROW()+MATCH($CL80,INDEX($CL:$CL,ROW()+1):INDEX($CL:$CL,MAX($CE:$CE)),0)-1,MAX($CE:$CE))),$CA80,$BT80:INDEX($BT:$BT,IFERROR(ROW()+MATCH($CL80,INDEX($CL:$CL,ROW()+1):INDEX($CL:$CL,MAX($CE:$CE)),0)-1,MAX($CE:$CE))))+SUMIF($CB80:INDEX($CB:$CB,IFERROR(ROW()+MATCH($CL80,INDEX($CL:$CL,ROW()+1):INDEX($CL:$CL,MAX($CE:$CE)),0)-1,MAX($CE:$CE))),$CA80,$BT80:INDEX($BT:$BT,IFERROR(ROW()+MATCH($CL80,INDEX($CL:$CL,ROW()+1):INDEX($CL:$CL,MAX($CE:$CE)),0)-1,MAX($CE:$CE)))))/2)))</f>
        <v>0</v>
      </c>
      <c r="CN80" s="396" cm="1">
        <f t="array" ref="CN80">IFERROR(IF($CB80=0,0,IF($CM80=0,INDEX($CN$1:$CN80,$CF80),INDEX(IF($CM80&lt;0.2,Premises!$A$43:$F$43,IF($CM80&lt;5,Premises!$A$46:$F$46,Premises!$A$49:$F$49)),MATCH($CB80,Premises!$A$10:$F$10,0))/($CM80*INDEX(Premises!$A$13:$F$13,MATCH($CB80,Premises!$A$10:$F$10,0)))+INDEX(IF($CM80&lt;0.2,Premises!$A$44:$F$44,IF($CM80&lt;5,Premises!$A$47:$F$47,Premises!$A$50:$F$50)),MATCH($CB80,Premises!$A$10:$F$10,0))+INDEX(IF($CM80&lt;0.2,Premises!$A$45:$F$45,IF($CM80&lt;5,Premises!$A$48:$F$48,Premises!$A$51:$F$51)),MATCH($CB80,Premises!$A$10:$F$10,0))/$CM80)),0.01)</f>
        <v>0</v>
      </c>
      <c r="CO80" s="395" cm="1">
        <f t="array" ref="CO80">IF($CG80=0,0,IF(INDEX($CC:$CC,$CF80)=$CC80,0,$CM80*(1+IFERROR(INDEX(Premises!$A$52:$F$52,1,MATCH($CB80,Premises!$A$10:$F$10,0)),0)+$CN80)))</f>
        <v>0</v>
      </c>
      <c r="CP80" s="396" cm="1">
        <f t="array" ref="CP80">IFERROR(IF($CC80=0,0,IF($CO80=0,INDEX($CP$1:$CP80,$CF80),INDEX(IF($CO80&lt;0.2,Premises!$A$43:$F$43,IF($CO80&lt;5,Premises!$A$46:$F$46,Premises!$A$49:$F$49)),MATCH($CC80,Premises!$A$10:$F$10,0))/($CO80*INDEX(Premises!$A$13:$F$13,MATCH($CC80,Premises!$A$10:$F$10,0)))+INDEX(IF($CO80&lt;0.2,Premises!$A$44:$F$44,IF($CO80&lt;5,Premises!$A$47:$F$47,Premises!$A$50:$F$50)),MATCH($CC80,Premises!$A$10:$F$10,0))+INDEX(IF($CO80&lt;0.2,Premises!$A$45:$F$45,IF($CO80&lt;5,Premises!$A$48:$F$48,Premises!$A$51:$F$51)),MATCH($CC80,Premises!$A$10:$F$10,0))/$CO80)),0.01)</f>
        <v>0</v>
      </c>
      <c r="CQ80" s="397" cm="1">
        <f t="array" ref="CQ80">IF(AND($CM80=0,$CO80=0),0,INDEX(BOM!$O:$O,$CG80))</f>
        <v>0</v>
      </c>
      <c r="CR80" s="398" cm="1">
        <f t="array" ref="CR80">IF(OR($CM80=0,$CN80=0),0,ACOS(COS(RADIANS(90-INDEX(Premises!$A$66:$F$66,1,$CH80)))*COS(RADIANS(90-INDEX(Premises!$A$66:$F$66,1,MATCH($CB80,Premises!$A$10:$F$10,0))))
+SIN(RADIANS(90-INDEX(Premises!$A$66:$F$66,1,$CH80)))*SIN(RADIANS(90-INDEX(Premises!$A$66:$F$66,1,MATCH($CB80,Premises!$A$10:$F$10,0)))) * COS(RADIANS(INDEX(Premises!$A$67:$F$67,1,$CH80)-INDEX(Premises!$A$67:$F$67,1,MATCH($CB80,Premises!$A$10:$F$10,0)))))*6371)</f>
        <v>0</v>
      </c>
      <c r="CS80" s="398" cm="1">
        <f t="array" ref="CS80">IF(OR($CO80=0,$CP80=0),0,
IF($CR80=0,ACOS(COS(RADIANS(90-INDEX(Premises!$A$66:$F$66,1,$CH80)))*COS(RADIANS(90-INDEX(Premises!$A$66:$F$66,1,MATCH($CC80,Premises!$A$10:$F$10,0))))
+SIN(RADIANS(90-INDEX(Premises!$A$66:$F$66,1,$CH80)))*SIN(RADIANS(90-INDEX(Premises!$A$66:$F$66,1,MATCH($CC80,Premises!$A$10:$F$10,0))))*COS(RADIANS(INDEX(Premises!$A$67:$F$67,1,$CH80)-INDEX(Premises!$A$67:$F$67,1,MATCH($CC80,Premises!$A$10:$F$10,0)))))*6371,
ACOS(COS(RADIANS(90-INDEX(Premises!$A$66:$F$66,1,MATCH($CB80,Premises!$A$10:$F$10,0))))*COS(RADIANS(90-INDEX(Premises!$A$66:$F$66,1,MATCH($CC80,Premises!$A$10:$F$10,0))))
+SIN(RADIANS(90-INDEX(Premises!$A$66:$F$66,1,MATCH($CB80,Premises!$A$10:$F$10,0))))*SIN(RADIANS(90-INDEX(Premises!$A$66:$F$66,1,MATCH($CC80,Premises!$A$10:$F$10,0))))*COS(RADIANS(INDEX(Premises!$A$67:$F$67,1,MATCH($CB80,Premises!$A$10:$F$10,0))-INDEX(Premises!$A$67:$F$67,1,MATCH($CC80,Premises!$A$10:$F$10,0)))))*6371))</f>
        <v>0</v>
      </c>
      <c r="CT80" s="969"/>
      <c r="CU80" s="2"/>
      <c r="CV80" s="399">
        <f>SUM(INDEX(CV:CV,ROW()+1):INDEX(CV:CV,$CE80))</f>
        <v>4.531575681584363E-4</v>
      </c>
      <c r="CW80" s="400">
        <f>SUM(INDEX(CW:CW,ROW()+1):INDEX(CW:CW,$CE80))</f>
        <v>2.7013464552459879E-3</v>
      </c>
      <c r="CX80" s="400">
        <f>SUM(INDEX(CX:CX,ROW()+1):INDEX(CX:CX,$CE80))</f>
        <v>3.3437500000000004E-4</v>
      </c>
      <c r="CY80" s="400">
        <f>SUM(INDEX(CY:CY,ROW()+1):INDEX(CY:CY,$CE80))</f>
        <v>0</v>
      </c>
      <c r="CZ80" s="400">
        <f>SUM(INDEX(CZ:CZ,ROW()+1):INDEX(CZ:CZ,$CE80))</f>
        <v>0</v>
      </c>
      <c r="DA80" s="400">
        <f>SUM(INDEX(DA:DA,ROW()+1):INDEX(DA:DA,$CE80))</f>
        <v>7.8753256815843639E-6</v>
      </c>
      <c r="DB80" s="400">
        <f>SUM(INDEX(DB:DB,ROW()+1):INDEX(DB:DB,$CE80))</f>
        <v>6.278966732492237E-5</v>
      </c>
      <c r="DC80" s="400">
        <f>SUM(INDEX(DC:DC,ROW()+1):INDEX(DC:DC,$CE80))</f>
        <v>3.5595440164109312E-3</v>
      </c>
      <c r="DD80" s="400">
        <f>SUM(INDEX(DD:DD,ROW()+1):INDEX(DD:DD,$CE80))</f>
        <v>2.6138956800000005E-2</v>
      </c>
      <c r="DE80" s="400">
        <f>SUM(INDEX(DE:DE,ROW()+1):INDEX(DE:DE,$CE80))</f>
        <v>2.6337916800000009E-4</v>
      </c>
      <c r="DF80" s="400">
        <f>SUM(INDEX(DF:DF,ROW()+1):INDEX(DF:DF,$CE80))</f>
        <v>5.3434563434983156E-3</v>
      </c>
      <c r="DG80" s="400">
        <f>SUM(INDEX(DG:DG,ROW()+1):INDEX(DG:DG,$CE80))</f>
        <v>3.1745792311498315E-2</v>
      </c>
      <c r="DH80" s="400">
        <f>SUM(INDEX(DH:DH,ROW()+1):INDEX(DH:DH,$CE80))</f>
        <v>3.5305336327909248E-2</v>
      </c>
      <c r="DI80" s="400">
        <f>SUM(INDEX(DI:DI,ROW()+1):INDEX(DI:DI,$CE80))</f>
        <v>0</v>
      </c>
      <c r="DJ80" s="400">
        <f>SUM(INDEX(DJ:DJ,ROW()+1):INDEX(DJ:DJ,$CE80))</f>
        <v>0</v>
      </c>
      <c r="DK80" s="400">
        <f>SUM(INDEX(DK:DK,ROW()+1):INDEX(DK:DK,$CE80))</f>
        <v>4.4370526252784587E-3</v>
      </c>
      <c r="DL80" s="400">
        <f>SUM(INDEX(DL:DL,ROW()+1):INDEX(DL:DL,$CE80))</f>
        <v>0</v>
      </c>
      <c r="DM80" s="400">
        <f>SUM(INDEX(DM:DM,ROW()+1):INDEX(DM:DM,$CE80))</f>
        <v>0</v>
      </c>
      <c r="DN80" s="400">
        <f>SUM(INDEX(DN:DN,ROW()+1):INDEX(DN:DN,$CE80))</f>
        <v>1.7933751294437611E-3</v>
      </c>
      <c r="DO80" s="400">
        <f>SUM(INDEX(DO:DO,ROW()+1):INDEX(DO:DO,$CE80))</f>
        <v>0</v>
      </c>
      <c r="DP80" s="400">
        <f>SUM(INDEX(DP:DP,ROW()+1):INDEX(DP:DP,$CE80))</f>
        <v>4.1535764082631467E-2</v>
      </c>
      <c r="DQ80" s="400">
        <f>SUM(INDEX(DQ:DQ,ROW()+1):INDEX(DQ:DQ,$CE80))</f>
        <v>0</v>
      </c>
      <c r="DR80" s="400">
        <f>SUM(INDEX(DR:DR,ROW()+1):INDEX(DR:DR,$CE80))</f>
        <v>0</v>
      </c>
      <c r="DS80" s="400">
        <f>SUM(INDEX(DS:DS,ROW()+1):INDEX(DS:DS,$CE80))</f>
        <v>0</v>
      </c>
      <c r="DT80" s="400">
        <f>SUM(INDEX(DT:DT,ROW()+1):INDEX(DT:DT,$CE80))</f>
        <v>0</v>
      </c>
      <c r="DU80" s="400">
        <f>SUM(INDEX(DU:DU,ROW()+1):INDEX(DU:DU,$CE80))</f>
        <v>0</v>
      </c>
      <c r="DV80" s="400">
        <f>SUM(INDEX(DV:DV,ROW()+1):INDEX(DV:DV,$CE80))</f>
        <v>4.1535764082631467E-2</v>
      </c>
      <c r="DW80" s="400">
        <f>SUM(INDEX(DW:DW,ROW()+1):INDEX(DW:DW,$CE80))</f>
        <v>0</v>
      </c>
      <c r="DX80" s="400">
        <f>SUM(INDEX(DX:DX,ROW()+1):INDEX(DX:DX,$CE80))</f>
        <v>0</v>
      </c>
      <c r="DY80" s="400">
        <f>SUM(INDEX(DY:DY,ROW()+1):INDEX(DY:DY,$CE80))</f>
        <v>0</v>
      </c>
      <c r="DZ80" s="400">
        <f>SUM(INDEX(DZ:DZ,ROW()+1):INDEX(DZ:DZ,$CE80))</f>
        <v>0</v>
      </c>
      <c r="EA80" s="400">
        <f>SUM(INDEX(EA:EA,ROW()+1):INDEX(EA:EA,$CE80))</f>
        <v>0</v>
      </c>
      <c r="EB80" s="401">
        <f>SUM(INDEX(EB:EB,ROW()+1):INDEX(EB:EB,$CE80))</f>
        <v>4.1535764082631467E-2</v>
      </c>
      <c r="EC80" s="805"/>
      <c r="ED80" s="399"/>
      <c r="EE80" s="400"/>
      <c r="EF80" s="1112"/>
      <c r="EG80" s="1112"/>
      <c r="EH80" s="1112"/>
      <c r="EI80" s="1112"/>
      <c r="EJ80" s="1112"/>
      <c r="EK80" s="1112"/>
      <c r="EL80" s="1112"/>
      <c r="EM80" s="1112"/>
      <c r="EN80" s="1112"/>
      <c r="EO80" s="1112"/>
      <c r="EP80" s="1112"/>
      <c r="EQ80" s="1112"/>
      <c r="ER80" s="1112"/>
      <c r="ES80" s="1112"/>
      <c r="ET80" s="1112"/>
      <c r="EU80" s="1112"/>
      <c r="EV80" s="1112"/>
      <c r="EW80" s="1112"/>
      <c r="EX80" s="1113"/>
      <c r="EY80" s="2"/>
      <c r="EZ80" s="2"/>
      <c r="FA80" s="2"/>
      <c r="FB80" s="2"/>
      <c r="FC80" s="2"/>
      <c r="FD80" s="2"/>
      <c r="FE80" s="2"/>
      <c r="FF80" s="2"/>
      <c r="FG80" s="2"/>
      <c r="FH80" s="2"/>
      <c r="FI80" s="2"/>
      <c r="FJ80" s="399"/>
      <c r="FK80" s="400"/>
      <c r="FL80" s="401"/>
      <c r="FM80" s="969"/>
    </row>
    <row r="81" spans="1:169" s="13" customFormat="1" ht="12.75" customHeight="1">
      <c r="A81" s="221"/>
      <c r="B81" s="402" t="s">
        <v>34</v>
      </c>
      <c r="C81" s="403"/>
      <c r="D81" s="646"/>
      <c r="E81" s="404"/>
      <c r="F81" s="405"/>
      <c r="G81" s="405"/>
      <c r="H81" s="405"/>
      <c r="I81" s="637" cm="1">
        <f t="array" ref="I81">IF($CI81=0,0,IFERROR(INDEX(MHR[],$CI81,MATCH($CA81,MHR!$B$4:$AY$4,0)),0))</f>
        <v>0</v>
      </c>
      <c r="J81" s="634">
        <f t="shared" ref="J81:J86" si="240">IF(COUNTBLANK($E81:$H81),0,IFERROR($F81/$H81/IF($G81="s",3600,IF($G81="min",60,IF($G81="h",1,0)))*I81,0))</f>
        <v>0</v>
      </c>
      <c r="K81" s="406"/>
      <c r="L81" s="407"/>
      <c r="M81" s="871"/>
      <c r="N81" s="407"/>
      <c r="O81" s="405"/>
      <c r="P81" s="645" cm="1">
        <f t="array" ref="P81">IF($K81=0,0,IFERROR(ROUNDUP(IF(ISNUMBER($K81),$K81,INDEX($D$1:$D81,$CD81)*INDEX(Premises!$A$13:$F$13,1,$CH81)/IF(OR($K81="T",$K81="D"),250,IF($K81="W",50,IF($K81="M",12,IF(OR($K81="HJ",$K81="HY"),2,IF(OR($K81="J",$K81="Y"),1,0)))))),0),0))</f>
        <v>0</v>
      </c>
      <c r="Q81" s="637" cm="1">
        <f t="array" ref="Q81">IF($K81=0,0,IFERROR(INDEX(Premises!$A$22:$F$22,1,$CH81)*100/INDEX(Premises!$A$16:$F$16,1,$CH81),0))</f>
        <v>0</v>
      </c>
      <c r="R81" s="634">
        <f t="shared" ref="R81:R86" si="241">IF($P81=0,0,IFERROR(($L81/60*($I81+$Q81*$M81)+($N81/60*($Q81*$O81)))/$P81,0))</f>
        <v>0</v>
      </c>
      <c r="S81" s="408"/>
      <c r="T81" s="409"/>
      <c r="U81" s="637" cm="1">
        <f t="array" ref="U81">IF(COUNTBLANK($S81:$T81),0,
IF(AND(INDEX(MHR[Schichtmodell],$CI81)&lt;&gt;0,INDEX(MHR[Schichtmodell],$CI81)&lt;&gt;INDEX(Premises!$A$20:$F$20,1,$CH81)),ExchangeRate*
IF(OR($T81="M",$T81="U"),IF(INDEX(MHR[Schichtmodell],$CI81)=1,INDEX(LOC[M1S],INDEX(Premises!$A$18:$F$18,1,$CH81+1)),IF(INDEX(MHR[Schichtmodell],$CI81)=2,INDEX(LOC[M2S],INDEX(Premises!$A$18:$F$18,1,$CH81+1),IF(INDEX(MHR[Schichtmodell],$CI81)=3,INDEX(LOC[M3S],INDEX(Premises!$A$18:$F$18,1,$CH81+1)),0)))),
IF(INDEX(MHR[Schichtmodell],$CI81)=1,INDEX(LOC[F1S],INDEX(Premises!$A$18:$F$18,1,$CH81+1)),IF(INDEX(MHR[Schichtmodell],$CI81)=2,INDEX(LOC[F2S],INDEX(Premises!$A$18:$F$18,1,$CH81+1)),IF(INDEX(MHR[Schichtmodell],$CI81)=3,INDEX(LOC[F3S],INDEX(Premises!$A$18:$F$18,1,$CH81+1)),0)))),
IF(OR($T81="M",$T81="U"),INDEX(Premises!$A$21:$F$21,1,$CH81),
IF(OR($T81="F",$T81="S"),INDEX(Premises!$A$22:$F$22,1,$CH81),0)))*100/INDEX(Premises!$A$16:$F$16,1,$CH81))</f>
        <v>0</v>
      </c>
      <c r="V81" s="631">
        <f t="shared" ref="V81:V86" si="242">IF($U81=0,0,IFERROR($F81/$H81/IF($G81="s",3600,IF($G81="min",60,IF($G81="h",1,0)))*$S81*$U81,0))</f>
        <v>0</v>
      </c>
      <c r="W81" s="410"/>
      <c r="X81" s="403"/>
      <c r="Y81" s="411"/>
      <c r="Z81" s="412"/>
      <c r="AA81" s="628">
        <f t="shared" ref="AA81:AA86" si="243">IFERROR($X81*$Z81/$Y81/MAX(1,$H81),0)</f>
        <v>0</v>
      </c>
      <c r="AB81" s="410"/>
      <c r="AC81" s="403"/>
      <c r="AD81" s="411"/>
      <c r="AE81" s="413"/>
      <c r="AF81" s="628">
        <f t="shared" ref="AF81:AF86" si="244">IFERROR($AC81*$AE81/$AD81,0)</f>
        <v>0</v>
      </c>
      <c r="AG81" s="629" cm="1">
        <f t="array" ref="AG81">IF(($J81+$V81+$AF81)=0,0,INDEX(Premises!$A$30:$F$30,1,$CH81)/100)</f>
        <v>0</v>
      </c>
      <c r="AH81" s="414"/>
      <c r="AI81" s="415"/>
      <c r="AJ81" s="416"/>
      <c r="AK81" s="630">
        <f t="shared" ref="AK81:AK86" si="245">IF(COUNTBLANK($AH81:$AI81),0,$AH81*$AI81*$AG81)</f>
        <v>0</v>
      </c>
      <c r="AL81" s="631">
        <f t="shared" ref="AL81:AL86" si="246">($AK81+$AJ81*$AG81*(1-$AH81)+($J81+$V81+$AF81)*$AG81*(1-$AH81))</f>
        <v>0</v>
      </c>
      <c r="AM81" s="632" cm="1">
        <f t="array" ref="AM81">IF($CI81=0,0,IFERROR(INDEX(MHR[],$CI81,MATCH($CA81,MHR!$B$4:$AY$4,0)+11),0))</f>
        <v>0</v>
      </c>
      <c r="AN81" s="633" cm="1">
        <f t="array" ref="AN81">IF(($J81+$V81)=0,0,IFERROR(IF(INDEX(Premises!$A$41:$F$41,1,$CH81)&lt;&gt;0,INDEX(Premises!$A$41:$F$41,1,$CH81)/100,(IFERROR(($J81/$I81)*$AM81,0)/($V81+$J81+$R81+$AL81))),0))</f>
        <v>0</v>
      </c>
      <c r="AO81" s="634">
        <f t="shared" ref="AO81:AO86" si="247">IF(($J81+$V81)=0,0,IF(IFERROR(($J81+$R81+$V81+$AL81)*$AN81,0)&lt;&gt;IFERROR(($J81/$I81)*$AM81,0),($J81+$R81+$V81+$AL81)*$AN81,IFERROR(($J81/$I81)*$AM81,0)))</f>
        <v>0</v>
      </c>
      <c r="AP81" s="635">
        <f t="shared" ref="AP81:AP86" si="248">$V81+$J81+$R81+$AA81+$AF81+$AL81+$AO81</f>
        <v>0</v>
      </c>
      <c r="AQ81" s="410" t="str">
        <f>VLOOKUP($B80,BOM,5,0)</f>
        <v>Aluminium sheet AlMg4, 5Mn0,7</v>
      </c>
      <c r="AR81" s="409">
        <f>Info!Q8</f>
        <v>1.2565800000000002E-2</v>
      </c>
      <c r="AS81" s="636" t="str" cm="1">
        <f t="array" ref="AS81">IF($CJ81=0,0,IFERROR(INDEX(MAT[Einheit],$CJ81,1),0))</f>
        <v>kg</v>
      </c>
      <c r="AT81" s="637" cm="1">
        <f t="array" ref="AT81">IF($CJ81=0,0,IFERROR(INDEX(MAT[Preis],$CJ81,1),0))</f>
        <v>2.0960000000000001</v>
      </c>
      <c r="AU81" s="638">
        <f t="shared" ref="AU81:AU86" si="249">$AR81*$AT81</f>
        <v>2.6337916800000007E-2</v>
      </c>
      <c r="AV81" s="639" cm="1">
        <f t="array" ref="AV81">IF($AU81&lt;=0,0,INDEX(Premises!$A$30:$F$30,1,$CH81)/100)</f>
        <v>0.01</v>
      </c>
      <c r="AW81" s="409"/>
      <c r="AX81" s="631">
        <f t="shared" ref="AX81:AX86" si="250">IF($AV81=0,0,($AU81+$AW81)*$AV81)</f>
        <v>2.6337916800000009E-4</v>
      </c>
      <c r="AY81" s="640" cm="1">
        <f t="array" ref="AY81">IF($AT81&lt;=0,0,IFERROR(IF(INDEX(Premises!$A$42:$F$42,1,$CH81)&lt;&gt;0,INDEX(Premises!$A$42:$F$42,1,$CH81)/100,(INDEX(MAT[],$CJ81,MATCH($CA81,MAT!$B$4:$AE$4,0))/($AR81*$CK81*INDEX(Premises!$A$13:$F$13,1,$CH81))+INDEX(MAT[],$CJ81,MATCH($CA81,MAT!$B$4:$AE$4,0)+7))/$AT81),0))</f>
        <v>0.2008720308185819</v>
      </c>
      <c r="AZ81" s="631">
        <f t="shared" ref="AZ81:AZ86" si="251">IF($AY81=0,0,($AU81+$AX81)*$AY81)</f>
        <v>5.3434563434983156E-3</v>
      </c>
      <c r="BA81" s="635">
        <f t="shared" ref="BA81:BA86" si="252">$AU81+$AX81+$AZ81</f>
        <v>3.194475231149832E-2</v>
      </c>
      <c r="BB81" s="635">
        <f t="shared" ref="BB81:BB86" si="253">$AP81+$BA81</f>
        <v>3.194475231149832E-2</v>
      </c>
      <c r="BC81" s="639" cm="1">
        <f t="array" ref="BC81">IF($BB81&lt;=0,0,IF(BC$2=-1,0,INDEX(Premises!$A$32:$F$32,1,$CH81)/100))</f>
        <v>0</v>
      </c>
      <c r="BD81" s="631">
        <f t="shared" ref="BD81:BD86" si="254">IF($AP81&lt;=0,0,($AP81-$AA81-$AL81)*$BC81)</f>
        <v>0</v>
      </c>
      <c r="BE81" s="639" cm="1">
        <f t="array" ref="BE81">IF($BB81&lt;=0,0,IF(BE$2=-1,0,INDEX(Premises!$A$33:$F$33,1,$CH81)/100))</f>
        <v>0</v>
      </c>
      <c r="BF81" s="631">
        <f t="shared" ref="BF81:BF86" si="255">IF($BA81&lt;=0,0,$BA81*$BE81)</f>
        <v>0</v>
      </c>
      <c r="BG81" s="639" cm="1">
        <f t="array" ref="BG81">IF($BB81&lt;=0,0,IF(BG$2=-1,0,INDEX(Premises!$A$31:$F$31,1,$CH81)/100))</f>
        <v>0.125</v>
      </c>
      <c r="BH81" s="631">
        <f t="shared" ref="BH81:BH86" si="256">(($AP81-$AA81-$AL81)+$BA81)*$BG81</f>
        <v>3.99309403893729E-3</v>
      </c>
      <c r="BI81" s="635">
        <f t="shared" ref="BI81:BI86" si="257">$BB81+$BD81+$BF81+$BH81</f>
        <v>3.5937846350435607E-2</v>
      </c>
      <c r="BJ81" s="639" cm="1">
        <f t="array" ref="BJ81">IF($BB81&lt;=0,0,IF(BJ$2=-1,0,INDEX(Premises!$A$35:$F$35,1,$CH81)/100))</f>
        <v>0</v>
      </c>
      <c r="BK81" s="631">
        <f t="shared" ref="BK81:BK86" si="258">IF($AP81&lt;=0,0,($AP81-$AL81-$AA81)*$BJ81)</f>
        <v>0</v>
      </c>
      <c r="BL81" s="639" cm="1">
        <f t="array" ref="BL81">IF($BB81&lt;=0,0,IF(BL$2=-1,0,INDEX(Premises!$A$36:$F$36,1,$CH81)/100))</f>
        <v>0</v>
      </c>
      <c r="BM81" s="631">
        <f t="shared" ref="BM81:BM86" si="259">IF($AU81&lt;=0,0,($AR81*$AT81)*$BL81)</f>
        <v>0</v>
      </c>
      <c r="BN81" s="639" cm="1">
        <f t="array" ref="BN81">IF($BB81&lt;=0,0,IF(BN$2=-1,0,INDEX(Premises!$A$34:$F$34,1,$CH81)/100))</f>
        <v>0.06</v>
      </c>
      <c r="BO81" s="631">
        <f t="shared" ref="BO81:BO86" si="260">(($AP81-$AL81-$AA81)+($AR81*$AT81))*$BN81</f>
        <v>1.5802750080000003E-3</v>
      </c>
      <c r="BP81" s="639" cm="1">
        <f t="array" ref="BP81">IF($BI81=0,0,INDEX(Premises!$A$37:$F$37,1,$CH81)/100)</f>
        <v>0</v>
      </c>
      <c r="BQ81" s="409"/>
      <c r="BR81" s="631">
        <f t="shared" ref="BR81:BR86" si="261">($BI81+$BK81+$BM81+$BO81)*$BP81+$BQ81</f>
        <v>0</v>
      </c>
      <c r="BS81" s="641">
        <f t="shared" ref="BS81:BS86" si="262">BI81+BK81+BM81+BO81+BR81</f>
        <v>3.7518121358435609E-2</v>
      </c>
      <c r="BT81" s="641">
        <f t="shared" ref="BT81:BT86" si="263">IF($BS81=0,0,$CK81*$BS81)</f>
        <v>3.7518121358435609E-2</v>
      </c>
      <c r="BU81" s="642">
        <f t="shared" ref="BU81:BU86" si="264">IF($BT81=0,0,MAX(1,$EB81/$DP81))</f>
        <v>1</v>
      </c>
      <c r="BV81" s="417"/>
      <c r="BW81" s="418"/>
      <c r="BX81" s="418"/>
      <c r="BY81" s="419"/>
      <c r="BZ81" s="968"/>
      <c r="CA81" s="280" cm="1">
        <f t="array" ref="CA81">IF($BZ81&gt;0,VALUE(LEFT($BZ81,IF(ISERROR(FIND("-",$BZ81)),LEN($BZ81),FIND("-",$BZ81)-1))),INDEX($CA$1:$CA81,MAX(1,$CD81)))</f>
        <v>1</v>
      </c>
      <c r="CB81" s="280" cm="1">
        <f t="array" ref="CB81">IF($BT81=0,0,IF(LEN($BZ81)-LEN(SUBSTITUTE($BZ81,"-",""))&gt;1,
VALUE(MID($BZ81,FIND("-",$BZ81)+1,FIND("-",$BZ81,FIND("-",$BZ81)+1)-FIND("-",$BZ81)-1)),IF($BZ81&gt;0,0,INDEX($CB$1:$CB81,MAX(1,$CD81)))))</f>
        <v>0</v>
      </c>
      <c r="CC81" s="280" cm="1">
        <f t="array" ref="CC81">IF($BT81=0,0,IF(NOT(ISERROR(FIND("-",BZ81))),
VALUE(RIGHT($BZ81,LEN($BZ81)-IF(LEN($BZ81)-LEN(SUBSTITUTE($BZ81,"-",""))=1,FIND("-",$BZ81),FIND("-",$BZ81,FIND("-",$BZ81)+1)))),
IF($BZ81&gt;0,0,INDEX($CC$1:$CC81,MAX(1,$CD81)))))</f>
        <v>0</v>
      </c>
      <c r="CD81" s="393">
        <f>MATCH(0,$CE$1:$CE81,-1)</f>
        <v>80</v>
      </c>
      <c r="CE81" s="280"/>
      <c r="CF81" s="394"/>
      <c r="CG81" s="393" cm="1">
        <f t="array" ref="CG81">INDEX($CG$1:$CG81,$CD81)</f>
        <v>8</v>
      </c>
      <c r="CH81" s="280">
        <f>MATCH($CA81,Premises!$A$10:$F$10,0)</f>
        <v>4</v>
      </c>
      <c r="CI81" s="280">
        <f>IF(ISBLANK($E81),0,IFERROR(MATCH($E81,MHR[Bezeichnung],0),0))</f>
        <v>0</v>
      </c>
      <c r="CJ81" s="394">
        <f>IF(ISBLANK($AQ81),0,IFERROR(MATCH($AQ81,MAT[Bezeichnung],0),0))</f>
        <v>6</v>
      </c>
      <c r="CK81" s="280" cm="1">
        <f t="array" ref="CK81">INDEX($D$1:$D81,$CD81)</f>
        <v>1</v>
      </c>
      <c r="CL81" s="280"/>
      <c r="CM81" s="395"/>
      <c r="CN81" s="396" cm="1">
        <f t="array" ref="CN81">IF($CB81=0,0,IF($CB81=INDEX($CB$1:$CB81,$CD81),INDEX($CN$1:$CN81,$CD81),$CP81))</f>
        <v>0</v>
      </c>
      <c r="CO81" s="395"/>
      <c r="CP81" s="396" cm="1">
        <f t="array" ref="CP81">IF($CC81=0,0,INDEX($CP$1:$CP81,$CD81))</f>
        <v>0</v>
      </c>
      <c r="CQ81" s="397"/>
      <c r="CR81" s="398"/>
      <c r="CS81" s="398"/>
      <c r="CT81" s="970"/>
      <c r="CU81" s="2"/>
      <c r="CV81" s="647">
        <f t="shared" ref="CV81:CV86" si="265">$J81*$CK81</f>
        <v>0</v>
      </c>
      <c r="CW81" s="648">
        <f t="shared" ref="CW81:CW86" si="266">$R81*$CK81</f>
        <v>0</v>
      </c>
      <c r="CX81" s="648">
        <f t="shared" ref="CX81:CX86" si="267">$V81*$CK81</f>
        <v>0</v>
      </c>
      <c r="CY81" s="648">
        <f t="shared" ref="CY81:CY86" si="268">$AA81*$CK81</f>
        <v>0</v>
      </c>
      <c r="CZ81" s="648">
        <f t="shared" ref="CZ81:CZ86" si="269">$AF81*$CK81</f>
        <v>0</v>
      </c>
      <c r="DA81" s="648">
        <f t="shared" ref="DA81:DA86" si="270">$AL81*$CK81</f>
        <v>0</v>
      </c>
      <c r="DB81" s="648">
        <f t="shared" ref="DB81:DB86" si="271">$AO81*$CK81</f>
        <v>0</v>
      </c>
      <c r="DC81" s="649">
        <f t="shared" ref="DC81:DC86" si="272">$AP81*$CK81</f>
        <v>0</v>
      </c>
      <c r="DD81" s="648">
        <f t="shared" ref="DD81:DD86" si="273">$AU81*$CK81</f>
        <v>2.6337916800000007E-2</v>
      </c>
      <c r="DE81" s="648">
        <f t="shared" ref="DE81:DE86" si="274">$AX81*$CK81</f>
        <v>2.6337916800000009E-4</v>
      </c>
      <c r="DF81" s="648">
        <f t="shared" ref="DF81:DF86" si="275">$AZ81*$CK81</f>
        <v>5.3434563434983156E-3</v>
      </c>
      <c r="DG81" s="649">
        <f t="shared" ref="DG81:DG86" si="276">$BA81*$CK81</f>
        <v>3.194475231149832E-2</v>
      </c>
      <c r="DH81" s="649">
        <f t="shared" ref="DH81:DH86" si="277">$BB81*$CK81</f>
        <v>3.194475231149832E-2</v>
      </c>
      <c r="DI81" s="648">
        <f t="shared" ref="DI81:DI86" si="278">$BD81*$CK81</f>
        <v>0</v>
      </c>
      <c r="DJ81" s="648">
        <f t="shared" ref="DJ81:DJ86" si="279">$BF81*$CK81</f>
        <v>0</v>
      </c>
      <c r="DK81" s="648">
        <f t="shared" ref="DK81:DK86" si="280">$BH81*$CK81</f>
        <v>3.99309403893729E-3</v>
      </c>
      <c r="DL81" s="648">
        <f t="shared" ref="DL81:DL86" si="281">$BK81*$CK81</f>
        <v>0</v>
      </c>
      <c r="DM81" s="648">
        <f t="shared" ref="DM81:DM86" si="282">$BM81*$CK81</f>
        <v>0</v>
      </c>
      <c r="DN81" s="648">
        <f t="shared" ref="DN81:DN86" si="283">$BO81*$CK81</f>
        <v>1.5802750080000003E-3</v>
      </c>
      <c r="DO81" s="648">
        <f t="shared" ref="DO81:DO86" si="284">$BR81*$CK81</f>
        <v>0</v>
      </c>
      <c r="DP81" s="651">
        <f t="shared" ref="DP81:DP86" si="285">$CK81*($BB81+$BD81+$BF81+$BH81+$BK81+$BM81+$BO81+$BR81)</f>
        <v>3.7518121358435609E-2</v>
      </c>
      <c r="DQ81" s="951">
        <f>IF($CB81=0,0,$DP81*_xlfn.XLOOKUP($CB81,Premises!$A$10:$F$10,Premises!$A$30:$F$30)/100)</f>
        <v>0</v>
      </c>
      <c r="DR81" s="650">
        <f>IFERROR(SUM($DP81:$DQ81)*IF(INDEX(Premises!$A$42:$F$42,1,MATCH($CB81,Premises!$A$10:$F$10,0))&gt;0,INDEX(Premises!$A$42:$F$42,1,MATCH($CB81,Premises!$A$10:$F$10,0))%,$CN81),0)</f>
        <v>0</v>
      </c>
      <c r="DS81" s="650" cm="1">
        <f t="array" ref="DS81">IF($CB81=0,0,SUM($DP81:$DR81)*_xlfn.XLOOKUP($CB81,Premises!$A$10:$F$10,IF(INDEX(Settings[],MATCH(3001,Settings[ID],0),2)="B",Premises!$A$33:$F$33,Premises!$A$31:$F$31))/100)</f>
        <v>0</v>
      </c>
      <c r="DT81" s="650" cm="1">
        <f t="array" ref="DT81">IF($CB81=0,0,$DP81*_xlfn.XLOOKUP($CB81,Premises!$A$10:$F$10,IF(INDEX(Settings[],MATCH(3002,Settings[ID],0),2)="B",Premises!$A$36:$F$36,Premises!$A$34:$F$34))/100)</f>
        <v>0</v>
      </c>
      <c r="DU81" s="650">
        <f>IF($CB81=0,0,SUM($DP81:$DT81)*_xlfn.XLOOKUP($CB81,Premises!$A$10:$F$10,Premises!$A$37:$F$37)/100)</f>
        <v>0</v>
      </c>
      <c r="DV81" s="954">
        <f t="shared" ref="DV81:DV86" si="286">SUM($DP81:$DU81)</f>
        <v>3.7518121358435609E-2</v>
      </c>
      <c r="DW81" s="951">
        <f>IF($CC81=0,0,$DV81*_xlfn.XLOOKUP($CC81,Premises!$A$10:$F$10,Premises!$A$30:$F$30)/100)</f>
        <v>0</v>
      </c>
      <c r="DX81" s="650">
        <f>IFERROR(SUM($DV81:$DW81)*IF(INDEX(Premises!$A$42:$F$42,1,MATCH($CC81,Premises!$A$10:$F$10,0))&gt;0,INDEX(Premises!$A$42:$F$42,1,MATCH($CC81,Premises!$A$10:$F$10,0))%,$CP81),0)</f>
        <v>0</v>
      </c>
      <c r="DY81" s="650" cm="1">
        <f t="array" ref="DY81">IF($CC81=0,0,SUM($DV81:$DX81)*_xlfn.XLOOKUP($CC81,Premises!$A$10:$F$10,IF(INDEX(Settings[],MATCH(3001,Settings[ID],0),2)="B",Premises!$A$33:$F$33,Premises!$A$31:$F$31))/100)</f>
        <v>0</v>
      </c>
      <c r="DZ81" s="650" cm="1">
        <f t="array" ref="DZ81">IF($CC81=0,0,$DV81*_xlfn.XLOOKUP($CC81,Premises!$A$10:$F$10,IF(INDEX(Settings[],MATCH(3002,Settings[ID],0),2)="B",Premises!$A$36:$F$36,Premises!$A$34:$F$34))/100)</f>
        <v>0</v>
      </c>
      <c r="EA81" s="650">
        <f>IF($CC81=0,0,SUM($DV81:$DZ81)*_xlfn.XLOOKUP($CC81,Premises!$A$10:$F$10,Premises!$A$37:$F$37)/100)</f>
        <v>0</v>
      </c>
      <c r="EB81" s="651">
        <f t="shared" ref="EB81:EB86" si="287">SUM($DV81:$EA81)</f>
        <v>3.7518121358435609E-2</v>
      </c>
      <c r="EC81" s="805"/>
      <c r="ED81" s="1104"/>
      <c r="EE81" s="650"/>
      <c r="EF81" s="1110"/>
      <c r="EG81" s="1108"/>
      <c r="EH81" s="1108"/>
      <c r="EI81" s="1108"/>
      <c r="EJ81" s="1108"/>
      <c r="EK81" s="1108"/>
      <c r="EL81" s="1108"/>
      <c r="EM81" s="1110"/>
      <c r="EN81" s="1108"/>
      <c r="EO81" s="1108"/>
      <c r="EP81" s="1108"/>
      <c r="EQ81" s="1108"/>
      <c r="ER81" s="1110"/>
      <c r="ES81" s="1108"/>
      <c r="ET81" s="1108"/>
      <c r="EU81" s="1108"/>
      <c r="EV81" s="1108"/>
      <c r="EW81" s="1108"/>
      <c r="EX81" s="1111"/>
      <c r="EY81" s="2"/>
      <c r="EZ81" s="2"/>
      <c r="FA81" s="2"/>
      <c r="FB81" s="2"/>
      <c r="FC81" s="2"/>
      <c r="FD81" s="2"/>
      <c r="FE81" s="2"/>
      <c r="FF81" s="2"/>
      <c r="FG81" s="2"/>
      <c r="FH81" s="2"/>
      <c r="FI81" s="2"/>
      <c r="FJ81" s="420"/>
      <c r="FK81" s="421"/>
      <c r="FL81" s="422"/>
      <c r="FM81" s="970"/>
    </row>
    <row r="82" spans="1:169" s="13" customFormat="1" ht="12.75" customHeight="1">
      <c r="A82" s="221"/>
      <c r="B82" s="402" t="s">
        <v>4355</v>
      </c>
      <c r="C82" s="403"/>
      <c r="D82" s="646"/>
      <c r="E82" s="404"/>
      <c r="F82" s="405"/>
      <c r="G82" s="405"/>
      <c r="H82" s="405"/>
      <c r="I82" s="637" cm="1">
        <f t="array" ref="I82">IF($CI82=0,0,IFERROR(INDEX(MHR[],$CI82,MATCH($CA82,MHR!$B$4:$AY$4,0)),0))</f>
        <v>0</v>
      </c>
      <c r="J82" s="634">
        <f t="shared" si="240"/>
        <v>0</v>
      </c>
      <c r="K82" s="406"/>
      <c r="L82" s="407"/>
      <c r="M82" s="871"/>
      <c r="N82" s="407"/>
      <c r="O82" s="405"/>
      <c r="P82" s="645" cm="1">
        <f t="array" ref="P82">IF($K82=0,0,IFERROR(ROUNDUP(IF(ISNUMBER($K82),$K82,INDEX($D$1:$D82,$CD82)*INDEX(Premises!$A$13:$F$13,1,$CH82)/IF(OR($K82="T",$K82="D"),250,IF($K82="W",50,IF($K82="M",12,IF(OR($K82="HJ",$K82="HY"),2,IF(OR($K82="J",$K82="Y"),1,0)))))),0),0))</f>
        <v>0</v>
      </c>
      <c r="Q82" s="637" cm="1">
        <f t="array" ref="Q82">IF($K82=0,0,IFERROR(INDEX(Premises!$A$22:$F$22,1,$CH82)*100/INDEX(Premises!$A$16:$F$16,1,$CH82),0))</f>
        <v>0</v>
      </c>
      <c r="R82" s="634">
        <f t="shared" si="241"/>
        <v>0</v>
      </c>
      <c r="S82" s="408"/>
      <c r="T82" s="409"/>
      <c r="U82" s="637" cm="1">
        <f t="array" ref="U82">IF(COUNTBLANK($S82:$T82),0,
IF(AND(INDEX(MHR[Schichtmodell],$CI82)&lt;&gt;0,INDEX(MHR[Schichtmodell],$CI82)&lt;&gt;INDEX(Premises!$A$20:$F$20,1,$CH82)),ExchangeRate*
IF(OR($T82="M",$T82="U"),IF(INDEX(MHR[Schichtmodell],$CI82)=1,INDEX(LOC[M1S],INDEX(Premises!$A$18:$F$18,1,$CH82+1)),IF(INDEX(MHR[Schichtmodell],$CI82)=2,INDEX(LOC[M2S],INDEX(Premises!$A$18:$F$18,1,$CH82+1),IF(INDEX(MHR[Schichtmodell],$CI82)=3,INDEX(LOC[M3S],INDEX(Premises!$A$18:$F$18,1,$CH82+1)),0)))),
IF(INDEX(MHR[Schichtmodell],$CI82)=1,INDEX(LOC[F1S],INDEX(Premises!$A$18:$F$18,1,$CH82+1)),IF(INDEX(MHR[Schichtmodell],$CI82)=2,INDEX(LOC[F2S],INDEX(Premises!$A$18:$F$18,1,$CH82+1)),IF(INDEX(MHR[Schichtmodell],$CI82)=3,INDEX(LOC[F3S],INDEX(Premises!$A$18:$F$18,1,$CH82+1)),0)))),
IF(OR($T82="M",$T82="U"),INDEX(Premises!$A$21:$F$21,1,$CH82),
IF(OR($T82="F",$T82="S"),INDEX(Premises!$A$22:$F$22,1,$CH82),0)))*100/INDEX(Premises!$A$16:$F$16,1,$CH82))</f>
        <v>0</v>
      </c>
      <c r="V82" s="631">
        <f t="shared" si="242"/>
        <v>0</v>
      </c>
      <c r="W82" s="410"/>
      <c r="X82" s="403"/>
      <c r="Y82" s="411"/>
      <c r="Z82" s="412"/>
      <c r="AA82" s="628">
        <f t="shared" si="243"/>
        <v>0</v>
      </c>
      <c r="AB82" s="410"/>
      <c r="AC82" s="403"/>
      <c r="AD82" s="411"/>
      <c r="AE82" s="413"/>
      <c r="AF82" s="628">
        <f t="shared" si="244"/>
        <v>0</v>
      </c>
      <c r="AG82" s="629" cm="1">
        <f t="array" ref="AG82">IF(($J82+$V82+$AF82)=0,0,INDEX(Premises!$A$30:$F$30,1,$CH82)/100)</f>
        <v>0</v>
      </c>
      <c r="AH82" s="414"/>
      <c r="AI82" s="415"/>
      <c r="AJ82" s="416"/>
      <c r="AK82" s="630">
        <f t="shared" si="245"/>
        <v>0</v>
      </c>
      <c r="AL82" s="631">
        <f t="shared" si="246"/>
        <v>0</v>
      </c>
      <c r="AM82" s="632" cm="1">
        <f t="array" ref="AM82">IF($CI82=0,0,IFERROR(INDEX(MHR[],$CI82,MATCH($CA82,MHR!$B$4:$AY$4,0)+11),0))</f>
        <v>0</v>
      </c>
      <c r="AN82" s="633" cm="1">
        <f t="array" ref="AN82">IF(($J82+$V82)=0,0,IFERROR(IF(INDEX(Premises!$A$41:$F$41,1,$CH82)&lt;&gt;0,INDEX(Premises!$A$41:$F$41,1,$CH82)/100,(IFERROR(($J82/$I82)*$AM82,0)/($V82+$J82+$R82+$AL82))),0))</f>
        <v>0</v>
      </c>
      <c r="AO82" s="634">
        <f t="shared" si="247"/>
        <v>0</v>
      </c>
      <c r="AP82" s="635">
        <f t="shared" si="248"/>
        <v>0</v>
      </c>
      <c r="AQ82" s="410" t="s">
        <v>4355</v>
      </c>
      <c r="AR82" s="1343">
        <f>AR81-BOM!G8</f>
        <v>1.658000000000024E-4</v>
      </c>
      <c r="AS82" s="636" t="str" cm="1">
        <f t="array" ref="AS82">IF($CJ82=0,0,IFERROR(INDEX(MAT[Einheit],$CJ82,1),0))</f>
        <v>kg</v>
      </c>
      <c r="AT82" s="637" cm="1">
        <f t="array" ref="AT82">IF($CJ82=0,0,IFERROR(INDEX(MAT[Preis],$CJ82,1),0))</f>
        <v>-1.2</v>
      </c>
      <c r="AU82" s="638">
        <f t="shared" si="249"/>
        <v>-1.9896000000000288E-4</v>
      </c>
      <c r="AV82" s="639" cm="1">
        <f t="array" ref="AV82">IF($AU82&lt;=0,0,INDEX(Premises!$A$30:$F$30,1,$CH82)/100)</f>
        <v>0</v>
      </c>
      <c r="AW82" s="409"/>
      <c r="AX82" s="631">
        <f t="shared" si="250"/>
        <v>0</v>
      </c>
      <c r="AY82" s="640" cm="1">
        <f t="array" ref="AY82">IF($AT82&lt;=0,0,IFERROR(IF(INDEX(Premises!$A$42:$F$42,1,$CH82)&lt;&gt;0,INDEX(Premises!$A$42:$F$42,1,$CH82)/100,(INDEX(MAT[],$CJ82,MATCH($CA82,MAT!$B$4:$AE$4,0))/($AR82*$CK82*INDEX(Premises!$A$13:$F$13,1,$CH82))+INDEX(MAT[],$CJ82,MATCH($CA82,MAT!$B$4:$AE$4,0)+7))/$AT82),0))</f>
        <v>0</v>
      </c>
      <c r="AZ82" s="631">
        <f t="shared" si="251"/>
        <v>0</v>
      </c>
      <c r="BA82" s="635">
        <f t="shared" si="252"/>
        <v>-1.9896000000000288E-4</v>
      </c>
      <c r="BB82" s="635">
        <f t="shared" si="253"/>
        <v>-1.9896000000000288E-4</v>
      </c>
      <c r="BC82" s="639" cm="1">
        <f t="array" ref="BC82">IF($BB82&lt;=0,0,IF(BC$2=-1,0,INDEX(Premises!$A$32:$F$32,1,$CH82)/100))</f>
        <v>0</v>
      </c>
      <c r="BD82" s="631">
        <f t="shared" si="254"/>
        <v>0</v>
      </c>
      <c r="BE82" s="639" cm="1">
        <f t="array" ref="BE82">IF($BB82&lt;=0,0,IF(BE$2=-1,0,INDEX(Premises!$A$33:$F$33,1,$CH82)/100))</f>
        <v>0</v>
      </c>
      <c r="BF82" s="631">
        <f t="shared" si="255"/>
        <v>0</v>
      </c>
      <c r="BG82" s="639" cm="1">
        <f t="array" ref="BG82">IF($BB82&lt;=0,0,IF(BG$2=-1,0,INDEX(Premises!$A$31:$F$31,1,$CH82)/100))</f>
        <v>0</v>
      </c>
      <c r="BH82" s="631">
        <f t="shared" si="256"/>
        <v>0</v>
      </c>
      <c r="BI82" s="635">
        <f t="shared" si="257"/>
        <v>-1.9896000000000288E-4</v>
      </c>
      <c r="BJ82" s="639" cm="1">
        <f t="array" ref="BJ82">IF($BB82&lt;=0,0,IF(BJ$2=-1,0,INDEX(Premises!$A$35:$F$35,1,$CH82)/100))</f>
        <v>0</v>
      </c>
      <c r="BK82" s="631">
        <f t="shared" si="258"/>
        <v>0</v>
      </c>
      <c r="BL82" s="639" cm="1">
        <f t="array" ref="BL82">IF($BB82&lt;=0,0,IF(BL$2=-1,0,INDEX(Premises!$A$36:$F$36,1,$CH82)/100))</f>
        <v>0</v>
      </c>
      <c r="BM82" s="631">
        <f t="shared" si="259"/>
        <v>0</v>
      </c>
      <c r="BN82" s="639" cm="1">
        <f t="array" ref="BN82">IF($BB82&lt;=0,0,IF(BN$2=-1,0,INDEX(Premises!$A$34:$F$34,1,$CH82)/100))</f>
        <v>0</v>
      </c>
      <c r="BO82" s="631">
        <f t="shared" si="260"/>
        <v>0</v>
      </c>
      <c r="BP82" s="639" cm="1">
        <f t="array" ref="BP82">IF($BI82=0,0,INDEX(Premises!$A$37:$F$37,1,$CH82)/100)</f>
        <v>0</v>
      </c>
      <c r="BQ82" s="409"/>
      <c r="BR82" s="631">
        <f t="shared" si="261"/>
        <v>0</v>
      </c>
      <c r="BS82" s="1347">
        <f t="shared" si="262"/>
        <v>-1.9896000000000288E-4</v>
      </c>
      <c r="BT82" s="1347">
        <f t="shared" si="263"/>
        <v>-1.9896000000000288E-4</v>
      </c>
      <c r="BU82" s="642">
        <f t="shared" si="264"/>
        <v>1</v>
      </c>
      <c r="BV82" s="417"/>
      <c r="BW82" s="418"/>
      <c r="BX82" s="418"/>
      <c r="BY82" s="419"/>
      <c r="BZ82" s="968"/>
      <c r="CA82" s="280" cm="1">
        <f t="array" ref="CA82">IF($BZ82&gt;0,VALUE(LEFT($BZ82,IF(ISERROR(FIND("-",$BZ82)),LEN($BZ82),FIND("-",$BZ82)-1))),INDEX($CA$1:$CA82,MAX(1,$CD82)))</f>
        <v>1</v>
      </c>
      <c r="CB82" s="280" cm="1">
        <f t="array" ref="CB82">IF($BT82=0,0,IF(LEN($BZ82)-LEN(SUBSTITUTE($BZ82,"-",""))&gt;1,
VALUE(MID($BZ82,FIND("-",$BZ82)+1,FIND("-",$BZ82,FIND("-",$BZ82)+1)-FIND("-",$BZ82)-1)),IF($BZ82&gt;0,0,INDEX($CB$1:$CB82,MAX(1,$CD82)))))</f>
        <v>0</v>
      </c>
      <c r="CC82" s="280" cm="1">
        <f t="array" ref="CC82">IF($BT82=0,0,IF(NOT(ISERROR(FIND("-",BZ82))),
VALUE(RIGHT($BZ82,LEN($BZ82)-IF(LEN($BZ82)-LEN(SUBSTITUTE($BZ82,"-",""))=1,FIND("-",$BZ82),FIND("-",$BZ82,FIND("-",$BZ82)+1)))),
IF($BZ82&gt;0,0,INDEX($CC$1:$CC82,MAX(1,$CD82)))))</f>
        <v>0</v>
      </c>
      <c r="CD82" s="393">
        <f>MATCH(0,$CE$1:$CE82,-1)</f>
        <v>80</v>
      </c>
      <c r="CE82" s="280"/>
      <c r="CF82" s="394"/>
      <c r="CG82" s="393" cm="1">
        <f t="array" ref="CG82">INDEX($CG$1:$CG82,$CD82)</f>
        <v>8</v>
      </c>
      <c r="CH82" s="280">
        <f>MATCH($CA82,Premises!$A$10:$F$10,0)</f>
        <v>4</v>
      </c>
      <c r="CI82" s="280">
        <f>IF(ISBLANK($E82),0,IFERROR(MATCH($E82,MHR[Bezeichnung],0),0))</f>
        <v>0</v>
      </c>
      <c r="CJ82" s="394">
        <f>IF(ISBLANK($AQ82),0,IFERROR(MATCH($AQ82,MAT[Bezeichnung],0),0))</f>
        <v>17</v>
      </c>
      <c r="CK82" s="280" cm="1">
        <f t="array" ref="CK82">INDEX($D$1:$D82,$CD82)</f>
        <v>1</v>
      </c>
      <c r="CL82" s="280"/>
      <c r="CM82" s="395"/>
      <c r="CN82" s="396" cm="1">
        <f t="array" ref="CN82">IF($CB82=0,0,IF($CB82=INDEX($CB$1:$CB82,$CD82),INDEX($CN$1:$CN82,$CD82),$CP82))</f>
        <v>0</v>
      </c>
      <c r="CO82" s="395"/>
      <c r="CP82" s="396" cm="1">
        <f t="array" ref="CP82">IF($CC82=0,0,INDEX($CP$1:$CP82,$CD82))</f>
        <v>0</v>
      </c>
      <c r="CQ82" s="397"/>
      <c r="CR82" s="398"/>
      <c r="CS82" s="398"/>
      <c r="CT82" s="970"/>
      <c r="CU82" s="2"/>
      <c r="CV82" s="647">
        <f t="shared" si="265"/>
        <v>0</v>
      </c>
      <c r="CW82" s="648">
        <f t="shared" si="266"/>
        <v>0</v>
      </c>
      <c r="CX82" s="648">
        <f t="shared" si="267"/>
        <v>0</v>
      </c>
      <c r="CY82" s="648">
        <f t="shared" si="268"/>
        <v>0</v>
      </c>
      <c r="CZ82" s="648">
        <f t="shared" si="269"/>
        <v>0</v>
      </c>
      <c r="DA82" s="648">
        <f t="shared" si="270"/>
        <v>0</v>
      </c>
      <c r="DB82" s="648">
        <f t="shared" si="271"/>
        <v>0</v>
      </c>
      <c r="DC82" s="649">
        <f t="shared" si="272"/>
        <v>0</v>
      </c>
      <c r="DD82" s="648">
        <f t="shared" si="273"/>
        <v>-1.9896000000000288E-4</v>
      </c>
      <c r="DE82" s="648">
        <f t="shared" si="274"/>
        <v>0</v>
      </c>
      <c r="DF82" s="648">
        <f t="shared" si="275"/>
        <v>0</v>
      </c>
      <c r="DG82" s="649">
        <f t="shared" si="276"/>
        <v>-1.9896000000000288E-4</v>
      </c>
      <c r="DH82" s="649">
        <f t="shared" si="277"/>
        <v>-1.9896000000000288E-4</v>
      </c>
      <c r="DI82" s="648">
        <f t="shared" si="278"/>
        <v>0</v>
      </c>
      <c r="DJ82" s="648">
        <f t="shared" si="279"/>
        <v>0</v>
      </c>
      <c r="DK82" s="648">
        <f t="shared" si="280"/>
        <v>0</v>
      </c>
      <c r="DL82" s="648">
        <f t="shared" si="281"/>
        <v>0</v>
      </c>
      <c r="DM82" s="648">
        <f t="shared" si="282"/>
        <v>0</v>
      </c>
      <c r="DN82" s="648">
        <f t="shared" si="283"/>
        <v>0</v>
      </c>
      <c r="DO82" s="648">
        <f t="shared" si="284"/>
        <v>0</v>
      </c>
      <c r="DP82" s="651">
        <f t="shared" si="285"/>
        <v>-1.9896000000000288E-4</v>
      </c>
      <c r="DQ82" s="951">
        <f>IF($CB82=0,0,$DP82*_xlfn.XLOOKUP($CB82,Premises!$A$10:$F$10,Premises!$A$30:$F$30)/100)</f>
        <v>0</v>
      </c>
      <c r="DR82" s="650">
        <f>IFERROR(SUM($DP82:$DQ82)*IF(INDEX(Premises!$A$42:$F$42,1,MATCH($CB82,Premises!$A$10:$F$10,0))&gt;0,INDEX(Premises!$A$42:$F$42,1,MATCH($CB82,Premises!$A$10:$F$10,0))%,$CN82),0)</f>
        <v>0</v>
      </c>
      <c r="DS82" s="650" cm="1">
        <f t="array" ref="DS82">IF($CB82=0,0,SUM($DP82:$DR82)*_xlfn.XLOOKUP($CB82,Premises!$A$10:$F$10,IF(INDEX(Settings[],MATCH(3001,Settings[ID],0),2)="B",Premises!$A$33:$F$33,Premises!$A$31:$F$31))/100)</f>
        <v>0</v>
      </c>
      <c r="DT82" s="650" cm="1">
        <f t="array" ref="DT82">IF($CB82=0,0,$DP82*_xlfn.XLOOKUP($CB82,Premises!$A$10:$F$10,IF(INDEX(Settings[],MATCH(3002,Settings[ID],0),2)="B",Premises!$A$36:$F$36,Premises!$A$34:$F$34))/100)</f>
        <v>0</v>
      </c>
      <c r="DU82" s="650">
        <f>IF($CB82=0,0,SUM($DP82:$DT82)*_xlfn.XLOOKUP($CB82,Premises!$A$10:$F$10,Premises!$A$37:$F$37)/100)</f>
        <v>0</v>
      </c>
      <c r="DV82" s="954">
        <f t="shared" si="286"/>
        <v>-1.9896000000000288E-4</v>
      </c>
      <c r="DW82" s="951">
        <f>IF($CC82=0,0,$DV82*_xlfn.XLOOKUP($CC82,Premises!$A$10:$F$10,Premises!$A$30:$F$30)/100)</f>
        <v>0</v>
      </c>
      <c r="DX82" s="650">
        <f>IFERROR(SUM($DV82:$DW82)*IF(INDEX(Premises!$A$42:$F$42,1,MATCH($CC82,Premises!$A$10:$F$10,0))&gt;0,INDEX(Premises!$A$42:$F$42,1,MATCH($CC82,Premises!$A$10:$F$10,0))%,$CP82),0)</f>
        <v>0</v>
      </c>
      <c r="DY82" s="650" cm="1">
        <f t="array" ref="DY82">IF($CC82=0,0,SUM($DV82:$DX82)*_xlfn.XLOOKUP($CC82,Premises!$A$10:$F$10,IF(INDEX(Settings[],MATCH(3001,Settings[ID],0),2)="B",Premises!$A$33:$F$33,Premises!$A$31:$F$31))/100)</f>
        <v>0</v>
      </c>
      <c r="DZ82" s="650" cm="1">
        <f t="array" ref="DZ82">IF($CC82=0,0,$DV82*_xlfn.XLOOKUP($CC82,Premises!$A$10:$F$10,IF(INDEX(Settings[],MATCH(3002,Settings[ID],0),2)="B",Premises!$A$36:$F$36,Premises!$A$34:$F$34))/100)</f>
        <v>0</v>
      </c>
      <c r="EA82" s="650">
        <f>IF($CC82=0,0,SUM($DV82:$DZ82)*_xlfn.XLOOKUP($CC82,Premises!$A$10:$F$10,Premises!$A$37:$F$37)/100)</f>
        <v>0</v>
      </c>
      <c r="EB82" s="651">
        <f t="shared" si="287"/>
        <v>-1.9896000000000288E-4</v>
      </c>
      <c r="EC82" s="805"/>
      <c r="ED82" s="1104"/>
      <c r="EE82" s="650"/>
      <c r="EF82" s="1110"/>
      <c r="EG82" s="1108"/>
      <c r="EH82" s="1108"/>
      <c r="EI82" s="1108"/>
      <c r="EJ82" s="1108"/>
      <c r="EK82" s="1108"/>
      <c r="EL82" s="1108"/>
      <c r="EM82" s="1110"/>
      <c r="EN82" s="1108"/>
      <c r="EO82" s="1108"/>
      <c r="EP82" s="1108"/>
      <c r="EQ82" s="1108"/>
      <c r="ER82" s="1110"/>
      <c r="ES82" s="1108"/>
      <c r="ET82" s="1108"/>
      <c r="EU82" s="1108"/>
      <c r="EV82" s="1108"/>
      <c r="EW82" s="1108"/>
      <c r="EX82" s="1111"/>
      <c r="EY82" s="2"/>
      <c r="EZ82" s="2"/>
      <c r="FA82" s="2"/>
      <c r="FB82" s="2"/>
      <c r="FC82" s="2"/>
      <c r="FD82" s="2"/>
      <c r="FE82" s="2"/>
      <c r="FF82" s="2"/>
      <c r="FG82" s="2"/>
      <c r="FH82" s="2"/>
      <c r="FI82" s="2"/>
      <c r="FJ82" s="420"/>
      <c r="FK82" s="421"/>
      <c r="FL82" s="422"/>
      <c r="FM82" s="970"/>
    </row>
    <row r="83" spans="1:169" s="13" customFormat="1" ht="12.75" customHeight="1">
      <c r="A83" s="221"/>
      <c r="B83" s="402"/>
      <c r="C83" s="403"/>
      <c r="D83" s="646"/>
      <c r="E83" s="404"/>
      <c r="F83" s="405"/>
      <c r="G83" s="405"/>
      <c r="H83" s="405"/>
      <c r="I83" s="637" cm="1">
        <f t="array" ref="I83">IF($CI83=0,0,IFERROR(INDEX(MHR[],$CI83,MATCH($CA83,MHR!$B$4:$AY$4,0)),0))</f>
        <v>0</v>
      </c>
      <c r="J83" s="634">
        <f t="shared" si="240"/>
        <v>0</v>
      </c>
      <c r="K83" s="406"/>
      <c r="L83" s="407"/>
      <c r="M83" s="871"/>
      <c r="N83" s="407"/>
      <c r="O83" s="405"/>
      <c r="P83" s="645" cm="1">
        <f t="array" ref="P83">IF($K83=0,0,IFERROR(ROUNDUP(IF(ISNUMBER($K83),$K83,INDEX($D$1:$D83,$CD83)*INDEX(Premises!$A$13:$F$13,1,$CH83)/IF(OR($K83="T",$K83="D"),250,IF($K83="W",50,IF($K83="M",12,IF(OR($K83="HJ",$K83="HY"),2,IF(OR($K83="J",$K83="Y"),1,0)))))),0),0))</f>
        <v>0</v>
      </c>
      <c r="Q83" s="637" cm="1">
        <f t="array" ref="Q83">IF($K83=0,0,IFERROR(INDEX(Premises!$A$22:$F$22,1,$CH83)*100/INDEX(Premises!$A$16:$F$16,1,$CH83),0))</f>
        <v>0</v>
      </c>
      <c r="R83" s="634">
        <f t="shared" si="241"/>
        <v>0</v>
      </c>
      <c r="S83" s="408"/>
      <c r="T83" s="409"/>
      <c r="U83" s="637" cm="1">
        <f t="array" ref="U83">IF(COUNTBLANK($S83:$T83),0,
IF(AND(INDEX(MHR[Schichtmodell],$CI83)&lt;&gt;0,INDEX(MHR[Schichtmodell],$CI83)&lt;&gt;INDEX(Premises!$A$20:$F$20,1,$CH83)),ExchangeRate*
IF(OR($T83="M",$T83="U"),IF(INDEX(MHR[Schichtmodell],$CI83)=1,INDEX(LOC[M1S],INDEX(Premises!$A$18:$F$18,1,$CH83+1)),IF(INDEX(MHR[Schichtmodell],$CI83)=2,INDEX(LOC[M2S],INDEX(Premises!$A$18:$F$18,1,$CH83+1),IF(INDEX(MHR[Schichtmodell],$CI83)=3,INDEX(LOC[M3S],INDEX(Premises!$A$18:$F$18,1,$CH83+1)),0)))),
IF(INDEX(MHR[Schichtmodell],$CI83)=1,INDEX(LOC[F1S],INDEX(Premises!$A$18:$F$18,1,$CH83+1)),IF(INDEX(MHR[Schichtmodell],$CI83)=2,INDEX(LOC[F2S],INDEX(Premises!$A$18:$F$18,1,$CH83+1)),IF(INDEX(MHR[Schichtmodell],$CI83)=3,INDEX(LOC[F3S],INDEX(Premises!$A$18:$F$18,1,$CH83+1)),0)))),
IF(OR($T83="M",$T83="U"),INDEX(Premises!$A$21:$F$21,1,$CH83),
IF(OR($T83="F",$T83="S"),INDEX(Premises!$A$22:$F$22,1,$CH83),0)))*100/INDEX(Premises!$A$16:$F$16,1,$CH83))</f>
        <v>0</v>
      </c>
      <c r="V83" s="631">
        <f t="shared" si="242"/>
        <v>0</v>
      </c>
      <c r="W83" s="410"/>
      <c r="X83" s="403"/>
      <c r="Y83" s="411"/>
      <c r="Z83" s="412"/>
      <c r="AA83" s="628">
        <f t="shared" si="243"/>
        <v>0</v>
      </c>
      <c r="AB83" s="410"/>
      <c r="AC83" s="403"/>
      <c r="AD83" s="411"/>
      <c r="AE83" s="413"/>
      <c r="AF83" s="628">
        <f t="shared" si="244"/>
        <v>0</v>
      </c>
      <c r="AG83" s="629" cm="1">
        <f t="array" ref="AG83">IF(($J83+$V83+$AF83)=0,0,INDEX(Premises!$A$30:$F$30,1,$CH83)/100)</f>
        <v>0</v>
      </c>
      <c r="AH83" s="414"/>
      <c r="AI83" s="415"/>
      <c r="AJ83" s="416"/>
      <c r="AK83" s="630">
        <f t="shared" si="245"/>
        <v>0</v>
      </c>
      <c r="AL83" s="631">
        <f t="shared" si="246"/>
        <v>0</v>
      </c>
      <c r="AM83" s="632" cm="1">
        <f t="array" ref="AM83">IF($CI83=0,0,IFERROR(INDEX(MHR[],$CI83,MATCH($CA83,MHR!$B$4:$AY$4,0)+11),0))</f>
        <v>0</v>
      </c>
      <c r="AN83" s="633" cm="1">
        <f t="array" ref="AN83">IF(($J83+$V83)=0,0,IFERROR(IF(INDEX(Premises!$A$41:$F$41,1,$CH83)&lt;&gt;0,INDEX(Premises!$A$41:$F$41,1,$CH83)/100,(IFERROR(($J83/$I83)*$AM83,0)/($V83+$J83+$R83+$AL83))),0))</f>
        <v>0</v>
      </c>
      <c r="AO83" s="634">
        <f t="shared" si="247"/>
        <v>0</v>
      </c>
      <c r="AP83" s="635">
        <f t="shared" si="248"/>
        <v>0</v>
      </c>
      <c r="AQ83" s="410"/>
      <c r="AR83" s="409"/>
      <c r="AS83" s="636" cm="1">
        <f t="array" ref="AS83">IF($CJ83=0,0,IFERROR(INDEX(MAT[Einheit],$CJ83,1),0))</f>
        <v>0</v>
      </c>
      <c r="AT83" s="637" cm="1">
        <f t="array" ref="AT83">IF($CJ83=0,0,IFERROR(INDEX(MAT[Preis],$CJ83,1),0))</f>
        <v>0</v>
      </c>
      <c r="AU83" s="638">
        <f t="shared" si="249"/>
        <v>0</v>
      </c>
      <c r="AV83" s="639" cm="1">
        <f t="array" ref="AV83">IF($AU83&lt;=0,0,INDEX(Premises!$A$30:$F$30,1,$CH83)/100)</f>
        <v>0</v>
      </c>
      <c r="AW83" s="409"/>
      <c r="AX83" s="631">
        <f t="shared" si="250"/>
        <v>0</v>
      </c>
      <c r="AY83" s="640" cm="1">
        <f t="array" ref="AY83">IF($AT83&lt;=0,0,IFERROR(IF(INDEX(Premises!$A$42:$F$42,1,$CH83)&lt;&gt;0,INDEX(Premises!$A$42:$F$42,1,$CH83)/100,(INDEX(MAT[],$CJ83,MATCH($CA83,MAT!$B$4:$AE$4,0))/($AR83*$CK83*INDEX(Premises!$A$13:$F$13,1,$CH83))+INDEX(MAT[],$CJ83,MATCH($CA83,MAT!$B$4:$AE$4,0)+7))/$AT83),0))</f>
        <v>0</v>
      </c>
      <c r="AZ83" s="631">
        <f t="shared" si="251"/>
        <v>0</v>
      </c>
      <c r="BA83" s="635">
        <f t="shared" si="252"/>
        <v>0</v>
      </c>
      <c r="BB83" s="635">
        <f t="shared" si="253"/>
        <v>0</v>
      </c>
      <c r="BC83" s="639" cm="1">
        <f t="array" ref="BC83">IF($BB83&lt;=0,0,IF(BC$2=-1,0,INDEX(Premises!$A$32:$F$32,1,$CH83)/100))</f>
        <v>0</v>
      </c>
      <c r="BD83" s="631">
        <f t="shared" si="254"/>
        <v>0</v>
      </c>
      <c r="BE83" s="639" cm="1">
        <f t="array" ref="BE83">IF($BB83&lt;=0,0,IF(BE$2=-1,0,INDEX(Premises!$A$33:$F$33,1,$CH83)/100))</f>
        <v>0</v>
      </c>
      <c r="BF83" s="631">
        <f t="shared" si="255"/>
        <v>0</v>
      </c>
      <c r="BG83" s="639" cm="1">
        <f t="array" ref="BG83">IF($BB83&lt;=0,0,IF(BG$2=-1,0,INDEX(Premises!$A$31:$F$31,1,$CH83)/100))</f>
        <v>0</v>
      </c>
      <c r="BH83" s="631">
        <f t="shared" si="256"/>
        <v>0</v>
      </c>
      <c r="BI83" s="635">
        <f t="shared" si="257"/>
        <v>0</v>
      </c>
      <c r="BJ83" s="639" cm="1">
        <f t="array" ref="BJ83">IF($BB83&lt;=0,0,IF(BJ$2=-1,0,INDEX(Premises!$A$35:$F$35,1,$CH83)/100))</f>
        <v>0</v>
      </c>
      <c r="BK83" s="631">
        <f t="shared" si="258"/>
        <v>0</v>
      </c>
      <c r="BL83" s="639" cm="1">
        <f t="array" ref="BL83">IF($BB83&lt;=0,0,IF(BL$2=-1,0,INDEX(Premises!$A$36:$F$36,1,$CH83)/100))</f>
        <v>0</v>
      </c>
      <c r="BM83" s="631">
        <f t="shared" si="259"/>
        <v>0</v>
      </c>
      <c r="BN83" s="639" cm="1">
        <f t="array" ref="BN83">IF($BB83&lt;=0,0,IF(BN$2=-1,0,INDEX(Premises!$A$34:$F$34,1,$CH83)/100))</f>
        <v>0</v>
      </c>
      <c r="BO83" s="631">
        <f t="shared" si="260"/>
        <v>0</v>
      </c>
      <c r="BP83" s="639" cm="1">
        <f t="array" ref="BP83">IF($BI83=0,0,INDEX(Premises!$A$37:$F$37,1,$CH83)/100)</f>
        <v>0</v>
      </c>
      <c r="BQ83" s="409"/>
      <c r="BR83" s="631">
        <f t="shared" si="261"/>
        <v>0</v>
      </c>
      <c r="BS83" s="641">
        <f t="shared" si="262"/>
        <v>0</v>
      </c>
      <c r="BT83" s="641">
        <f t="shared" si="263"/>
        <v>0</v>
      </c>
      <c r="BU83" s="642">
        <f t="shared" si="264"/>
        <v>0</v>
      </c>
      <c r="BV83" s="1147"/>
      <c r="BW83" s="418"/>
      <c r="BX83" s="418"/>
      <c r="BY83" s="419"/>
      <c r="BZ83" s="968"/>
      <c r="CA83" s="280" cm="1">
        <f t="array" ref="CA83">IF($BZ83&gt;0,VALUE(LEFT($BZ83,IF(ISERROR(FIND("-",$BZ83)),LEN($BZ83),FIND("-",$BZ83)-1))),INDEX($CA$1:$CA83,MAX(1,$CD83)))</f>
        <v>1</v>
      </c>
      <c r="CB83" s="280" cm="1">
        <f t="array" ref="CB83">IF($BT83=0,0,IF(LEN($BZ83)-LEN(SUBSTITUTE($BZ83,"-",""))&gt;1,
VALUE(MID($BZ83,FIND("-",$BZ83)+1,FIND("-",$BZ83,FIND("-",$BZ83)+1)-FIND("-",$BZ83)-1)),IF($BZ83&gt;0,0,INDEX($CB$1:$CB83,MAX(1,$CD83)))))</f>
        <v>0</v>
      </c>
      <c r="CC83" s="280" cm="1">
        <f t="array" ref="CC83">IF($BT83=0,0,IF(NOT(ISERROR(FIND("-",BZ83))),
VALUE(RIGHT($BZ83,LEN($BZ83)-IF(LEN($BZ83)-LEN(SUBSTITUTE($BZ83,"-",""))=1,FIND("-",$BZ83),FIND("-",$BZ83,FIND("-",$BZ83)+1)))),
IF($BZ83&gt;0,0,INDEX($CC$1:$CC83,MAX(1,$CD83)))))</f>
        <v>0</v>
      </c>
      <c r="CD83" s="393">
        <f>MATCH(0,$CE$1:$CE83,-1)</f>
        <v>80</v>
      </c>
      <c r="CE83" s="280"/>
      <c r="CF83" s="394"/>
      <c r="CG83" s="393" cm="1">
        <f t="array" ref="CG83">INDEX($CG$1:$CG83,$CD83)</f>
        <v>8</v>
      </c>
      <c r="CH83" s="280">
        <f>MATCH($CA83,Premises!$A$10:$F$10,0)</f>
        <v>4</v>
      </c>
      <c r="CI83" s="280">
        <f>IF(ISBLANK($E83),0,IFERROR(MATCH($E83,MHR[Bezeichnung],0),0))</f>
        <v>0</v>
      </c>
      <c r="CJ83" s="394">
        <f>IF(ISBLANK($AQ83),0,IFERROR(MATCH($AQ83,MAT[Bezeichnung],0),0))</f>
        <v>0</v>
      </c>
      <c r="CK83" s="280" cm="1">
        <f t="array" ref="CK83">INDEX($D$1:$D83,$CD83)</f>
        <v>1</v>
      </c>
      <c r="CL83" s="280"/>
      <c r="CM83" s="395"/>
      <c r="CN83" s="396" cm="1">
        <f t="array" ref="CN83">IF($CB83=0,0,IF($CB83=INDEX($CB$1:$CB83,$CD83),INDEX($CN$1:$CN83,$CD83),$CP83))</f>
        <v>0</v>
      </c>
      <c r="CO83" s="395"/>
      <c r="CP83" s="396" cm="1">
        <f t="array" ref="CP83">IF($CC83=0,0,INDEX($CP$1:$CP83,$CD83))</f>
        <v>0</v>
      </c>
      <c r="CQ83" s="397"/>
      <c r="CR83" s="398"/>
      <c r="CS83" s="398"/>
      <c r="CT83" s="1152"/>
      <c r="CU83" s="1149"/>
      <c r="CV83" s="647">
        <f t="shared" si="265"/>
        <v>0</v>
      </c>
      <c r="CW83" s="648">
        <f t="shared" si="266"/>
        <v>0</v>
      </c>
      <c r="CX83" s="648">
        <f t="shared" si="267"/>
        <v>0</v>
      </c>
      <c r="CY83" s="648">
        <f t="shared" si="268"/>
        <v>0</v>
      </c>
      <c r="CZ83" s="648">
        <f t="shared" si="269"/>
        <v>0</v>
      </c>
      <c r="DA83" s="648">
        <f t="shared" si="270"/>
        <v>0</v>
      </c>
      <c r="DB83" s="648">
        <f t="shared" si="271"/>
        <v>0</v>
      </c>
      <c r="DC83" s="649">
        <f t="shared" si="272"/>
        <v>0</v>
      </c>
      <c r="DD83" s="648">
        <f t="shared" si="273"/>
        <v>0</v>
      </c>
      <c r="DE83" s="648">
        <f t="shared" si="274"/>
        <v>0</v>
      </c>
      <c r="DF83" s="648">
        <f t="shared" si="275"/>
        <v>0</v>
      </c>
      <c r="DG83" s="649">
        <f t="shared" si="276"/>
        <v>0</v>
      </c>
      <c r="DH83" s="649">
        <f t="shared" si="277"/>
        <v>0</v>
      </c>
      <c r="DI83" s="648">
        <f t="shared" si="278"/>
        <v>0</v>
      </c>
      <c r="DJ83" s="648">
        <f t="shared" si="279"/>
        <v>0</v>
      </c>
      <c r="DK83" s="648">
        <f t="shared" si="280"/>
        <v>0</v>
      </c>
      <c r="DL83" s="648">
        <f t="shared" si="281"/>
        <v>0</v>
      </c>
      <c r="DM83" s="648">
        <f t="shared" si="282"/>
        <v>0</v>
      </c>
      <c r="DN83" s="648">
        <f t="shared" si="283"/>
        <v>0</v>
      </c>
      <c r="DO83" s="648">
        <f t="shared" si="284"/>
        <v>0</v>
      </c>
      <c r="DP83" s="651">
        <f t="shared" si="285"/>
        <v>0</v>
      </c>
      <c r="DQ83" s="951">
        <f>IF($CB83=0,0,$DP83*_xlfn.XLOOKUP($CB83,Premises!$A$10:$F$10,Premises!$A$30:$F$30)/100)</f>
        <v>0</v>
      </c>
      <c r="DR83" s="650">
        <f>IFERROR(SUM($DP83:$DQ83)*IF(INDEX(Premises!$A$42:$F$42,1,MATCH($CB83,Premises!$A$10:$F$10,0))&gt;0,INDEX(Premises!$A$42:$F$42,1,MATCH($CB83,Premises!$A$10:$F$10,0))%,$CN83),0)</f>
        <v>0</v>
      </c>
      <c r="DS83" s="650" cm="1">
        <f t="array" ref="DS83">IF($CB83=0,0,SUM($DP83:$DR83)*_xlfn.XLOOKUP($CB83,Premises!$A$10:$F$10,IF(INDEX(Settings[],MATCH(3001,Settings[ID],0),2)="B",Premises!$A$33:$F$33,Premises!$A$31:$F$31))/100)</f>
        <v>0</v>
      </c>
      <c r="DT83" s="650" cm="1">
        <f t="array" ref="DT83">IF($CB83=0,0,$DP83*_xlfn.XLOOKUP($CB83,Premises!$A$10:$F$10,IF(INDEX(Settings[],MATCH(3002,Settings[ID],0),2)="B",Premises!$A$36:$F$36,Premises!$A$34:$F$34))/100)</f>
        <v>0</v>
      </c>
      <c r="DU83" s="650">
        <f>IF($CB83=0,0,SUM($DP83:$DT83)*_xlfn.XLOOKUP($CB83,Premises!$A$10:$F$10,Premises!$A$37:$F$37)/100)</f>
        <v>0</v>
      </c>
      <c r="DV83" s="954">
        <f t="shared" si="286"/>
        <v>0</v>
      </c>
      <c r="DW83" s="951">
        <f>IF($CC83=0,0,$DV83*_xlfn.XLOOKUP($CC83,Premises!$A$10:$F$10,Premises!$A$30:$F$30)/100)</f>
        <v>0</v>
      </c>
      <c r="DX83" s="650">
        <f>IFERROR(SUM($DV83:$DW83)*IF(INDEX(Premises!$A$42:$F$42,1,MATCH($CC83,Premises!$A$10:$F$10,0))&gt;0,INDEX(Premises!$A$42:$F$42,1,MATCH($CC83,Premises!$A$10:$F$10,0))%,$CP83),0)</f>
        <v>0</v>
      </c>
      <c r="DY83" s="650" cm="1">
        <f t="array" ref="DY83">IF($CC83=0,0,SUM($DV83:$DX83)*_xlfn.XLOOKUP($CC83,Premises!$A$10:$F$10,IF(INDEX(Settings[],MATCH(3001,Settings[ID],0),2)="B",Premises!$A$33:$F$33,Premises!$A$31:$F$31))/100)</f>
        <v>0</v>
      </c>
      <c r="DZ83" s="650" cm="1">
        <f t="array" ref="DZ83">IF($CC83=0,0,$DV83*_xlfn.XLOOKUP($CC83,Premises!$A$10:$F$10,IF(INDEX(Settings[],MATCH(3002,Settings[ID],0),2)="B",Premises!$A$36:$F$36,Premises!$A$34:$F$34))/100)</f>
        <v>0</v>
      </c>
      <c r="EA83" s="650">
        <f>IF($CC83=0,0,SUM($DV83:$DZ83)*_xlfn.XLOOKUP($CC83,Premises!$A$10:$F$10,Premises!$A$37:$F$37)/100)</f>
        <v>0</v>
      </c>
      <c r="EB83" s="651">
        <f t="shared" si="287"/>
        <v>0</v>
      </c>
      <c r="EC83" s="805"/>
      <c r="ED83" s="1104"/>
      <c r="EE83" s="650"/>
      <c r="EF83" s="1110"/>
      <c r="EG83" s="1108"/>
      <c r="EH83" s="1108"/>
      <c r="EI83" s="1108"/>
      <c r="EJ83" s="1108"/>
      <c r="EK83" s="1108"/>
      <c r="EL83" s="1108"/>
      <c r="EM83" s="1110"/>
      <c r="EN83" s="1108"/>
      <c r="EO83" s="1108"/>
      <c r="EP83" s="1108"/>
      <c r="EQ83" s="1108"/>
      <c r="ER83" s="1110"/>
      <c r="ES83" s="1108"/>
      <c r="ET83" s="1108"/>
      <c r="EU83" s="1108"/>
      <c r="EV83" s="1108"/>
      <c r="EW83" s="1108"/>
      <c r="EX83" s="1111"/>
      <c r="EY83" s="2"/>
      <c r="EZ83" s="2"/>
      <c r="FA83" s="2"/>
      <c r="FB83" s="2"/>
      <c r="FC83" s="2"/>
      <c r="FD83" s="2"/>
      <c r="FE83" s="2"/>
      <c r="FF83" s="2"/>
      <c r="FG83" s="2"/>
      <c r="FH83" s="2"/>
      <c r="FI83" s="2"/>
      <c r="FJ83" s="420"/>
      <c r="FK83" s="421"/>
      <c r="FL83" s="422"/>
      <c r="FM83" s="1153"/>
    </row>
    <row r="84" spans="1:169" s="13" customFormat="1" ht="12.75" customHeight="1">
      <c r="A84" s="221"/>
      <c r="B84" s="1329" t="s">
        <v>4353</v>
      </c>
      <c r="C84" s="403"/>
      <c r="D84" s="646"/>
      <c r="E84" s="404" t="s">
        <v>4351</v>
      </c>
      <c r="F84" s="405">
        <f>60/300</f>
        <v>0.2</v>
      </c>
      <c r="G84" s="405" t="s">
        <v>93</v>
      </c>
      <c r="H84" s="405">
        <v>2</v>
      </c>
      <c r="I84" s="637" cm="1">
        <f t="array" ref="I84">IF($CI84=0,0,IFERROR(INDEX(MHR[],$CI84,MATCH($CA84,MHR!$B$4:$AY$4,0)),0))</f>
        <v>16.313672453703706</v>
      </c>
      <c r="J84" s="634">
        <f t="shared" si="240"/>
        <v>4.531575681584363E-4</v>
      </c>
      <c r="K84" s="406" t="s">
        <v>49</v>
      </c>
      <c r="L84" s="407">
        <v>2</v>
      </c>
      <c r="M84" s="871">
        <v>15</v>
      </c>
      <c r="N84" s="407"/>
      <c r="O84" s="405"/>
      <c r="P84" s="645" cm="1">
        <f t="array" ref="P84">IF($K84=0,0,IFERROR(ROUNDUP(IF(ISNUMBER($K84),$K84,INDEX($D$1:$D84,$CD84)*INDEX(Premises!$A$13:$F$13,1,$CH84)/IF(OR($K84="T",$K84="D"),250,IF($K84="W",50,IF($K84="M",12,IF(OR($K84="HJ",$K84="HY"),2,IF(OR($K84="J",$K84="Y"),1,0)))))),0),0))</f>
        <v>3334</v>
      </c>
      <c r="Q84" s="637" cm="1">
        <f t="array" ref="Q84">IF($K84=0,0,IFERROR(INDEX(Premises!$A$22:$F$22,1,$CH84)*100/INDEX(Premises!$A$16:$F$16,1,$CH84),0))</f>
        <v>16.925000000000001</v>
      </c>
      <c r="R84" s="634">
        <f t="shared" si="241"/>
        <v>2.7013464552459879E-3</v>
      </c>
      <c r="S84" s="408">
        <v>1</v>
      </c>
      <c r="T84" s="409" t="s">
        <v>275</v>
      </c>
      <c r="U84" s="637" cm="1">
        <f t="array" ref="U84">IF(COUNTBLANK($S84:$T84),0,
IF(AND(INDEX(MHR[Schichtmodell],$CI84)&lt;&gt;0,INDEX(MHR[Schichtmodell],$CI84)&lt;&gt;INDEX(Premises!$A$20:$F$20,1,$CH84)),ExchangeRate*
IF(OR($T84="M",$T84="U"),IF(INDEX(MHR[Schichtmodell],$CI84)=1,INDEX(LOC[M1S],INDEX(Premises!$A$18:$F$18,1,$CH84+1)),IF(INDEX(MHR[Schichtmodell],$CI84)=2,INDEX(LOC[M2S],INDEX(Premises!$A$18:$F$18,1,$CH84+1),IF(INDEX(MHR[Schichtmodell],$CI84)=3,INDEX(LOC[M3S],INDEX(Premises!$A$18:$F$18,1,$CH84+1)),0)))),
IF(INDEX(MHR[Schichtmodell],$CI84)=1,INDEX(LOC[F1S],INDEX(Premises!$A$18:$F$18,1,$CH84+1)),IF(INDEX(MHR[Schichtmodell],$CI84)=2,INDEX(LOC[F2S],INDEX(Premises!$A$18:$F$18,1,$CH84+1)),IF(INDEX(MHR[Schichtmodell],$CI84)=3,INDEX(LOC[F3S],INDEX(Premises!$A$18:$F$18,1,$CH84+1)),0)))),
IF(OR($T84="M",$T84="U"),INDEX(Premises!$A$21:$F$21,1,$CH84),
IF(OR($T84="F",$T84="S"),INDEX(Premises!$A$22:$F$22,1,$CH84),0)))*100/INDEX(Premises!$A$16:$F$16,1,$CH84))</f>
        <v>12.037500000000001</v>
      </c>
      <c r="V84" s="631">
        <f t="shared" si="242"/>
        <v>3.3437500000000004E-4</v>
      </c>
      <c r="W84" s="410"/>
      <c r="X84" s="403"/>
      <c r="Y84" s="411"/>
      <c r="Z84" s="412"/>
      <c r="AA84" s="628">
        <f t="shared" si="243"/>
        <v>0</v>
      </c>
      <c r="AB84" s="410"/>
      <c r="AC84" s="403"/>
      <c r="AD84" s="411"/>
      <c r="AE84" s="413"/>
      <c r="AF84" s="628">
        <f t="shared" si="244"/>
        <v>0</v>
      </c>
      <c r="AG84" s="629" cm="1">
        <f t="array" ref="AG84">IF(($J84+$V84+$AF84)=0,0,INDEX(Premises!$A$30:$F$30,1,$CH84)/100)</f>
        <v>0.01</v>
      </c>
      <c r="AH84" s="414"/>
      <c r="AI84" s="415"/>
      <c r="AJ84" s="416"/>
      <c r="AK84" s="630">
        <f t="shared" si="245"/>
        <v>0</v>
      </c>
      <c r="AL84" s="631">
        <f t="shared" si="246"/>
        <v>7.8753256815843639E-6</v>
      </c>
      <c r="AM84" s="632" cm="1">
        <f t="array" ref="AM84">IF($CI84=0,0,IFERROR(INDEX(MHR[],$CI84,MATCH($CA84,MHR!$B$4:$AY$4,0)+11),0))</f>
        <v>2.2604280236972052</v>
      </c>
      <c r="AN84" s="633" cm="1">
        <f t="array" ref="AN84">IF(($J84+$V84)=0,0,IFERROR(IF(INDEX(Premises!$A$41:$F$41,1,$CH84)&lt;&gt;0,INDEX(Premises!$A$41:$F$41,1,$CH84)/100,(IFERROR(($J84/$I84)*$AM84,0)/($V84+$J84+$R84+$AL84))),0))</f>
        <v>1.795655658263055E-2</v>
      </c>
      <c r="AO84" s="634">
        <f t="shared" si="247"/>
        <v>6.278966732492237E-5</v>
      </c>
      <c r="AP84" s="635">
        <f t="shared" si="248"/>
        <v>3.5595440164109312E-3</v>
      </c>
      <c r="AQ84" s="410"/>
      <c r="AR84" s="409"/>
      <c r="AS84" s="636" cm="1">
        <f t="array" ref="AS84">IF($CJ84=0,0,IFERROR(INDEX(MAT[Einheit],$CJ84,1),0))</f>
        <v>0</v>
      </c>
      <c r="AT84" s="637" cm="1">
        <f t="array" ref="AT84">IF($CJ84=0,0,IFERROR(INDEX(MAT[Preis],$CJ84,1),0))</f>
        <v>0</v>
      </c>
      <c r="AU84" s="638">
        <f t="shared" si="249"/>
        <v>0</v>
      </c>
      <c r="AV84" s="639" cm="1">
        <f t="array" ref="AV84">IF($AU84&lt;=0,0,INDEX(Premises!$A$30:$F$30,1,$CH84)/100)</f>
        <v>0</v>
      </c>
      <c r="AW84" s="409"/>
      <c r="AX84" s="631">
        <f t="shared" si="250"/>
        <v>0</v>
      </c>
      <c r="AY84" s="640" cm="1">
        <f t="array" ref="AY84">IF($AT84&lt;=0,0,IFERROR(IF(INDEX(Premises!$A$42:$F$42,1,$CH84)&lt;&gt;0,INDEX(Premises!$A$42:$F$42,1,$CH84)/100,(INDEX(MAT[],$CJ84,MATCH($CA84,MAT!$B$4:$AE$4,0))/($AR84*$CK84*INDEX(Premises!$A$13:$F$13,1,$CH84))+INDEX(MAT[],$CJ84,MATCH($CA84,MAT!$B$4:$AE$4,0)+7))/$AT84),0))</f>
        <v>0</v>
      </c>
      <c r="AZ84" s="631">
        <f t="shared" si="251"/>
        <v>0</v>
      </c>
      <c r="BA84" s="635">
        <f t="shared" si="252"/>
        <v>0</v>
      </c>
      <c r="BB84" s="635">
        <f t="shared" si="253"/>
        <v>3.5595440164109312E-3</v>
      </c>
      <c r="BC84" s="639" cm="1">
        <f t="array" ref="BC84">IF($BB84&lt;=0,0,IF(BC$2=-1,0,INDEX(Premises!$A$32:$F$32,1,$CH84)/100))</f>
        <v>0</v>
      </c>
      <c r="BD84" s="631">
        <f t="shared" si="254"/>
        <v>0</v>
      </c>
      <c r="BE84" s="639" cm="1">
        <f t="array" ref="BE84">IF($BB84&lt;=0,0,IF(BE$2=-1,0,INDEX(Premises!$A$33:$F$33,1,$CH84)/100))</f>
        <v>0</v>
      </c>
      <c r="BF84" s="631">
        <f t="shared" si="255"/>
        <v>0</v>
      </c>
      <c r="BG84" s="639" cm="1">
        <f t="array" ref="BG84">IF($BB84&lt;=0,0,IF(BG$2=-1,0,INDEX(Premises!$A$31:$F$31,1,$CH84)/100))</f>
        <v>0.125</v>
      </c>
      <c r="BH84" s="631">
        <f t="shared" si="256"/>
        <v>4.4395858634116837E-4</v>
      </c>
      <c r="BI84" s="635">
        <f t="shared" si="257"/>
        <v>4.0035026027520999E-3</v>
      </c>
      <c r="BJ84" s="639" cm="1">
        <f t="array" ref="BJ84">IF($BB84&lt;=0,0,IF(BJ$2=-1,0,INDEX(Premises!$A$35:$F$35,1,$CH84)/100))</f>
        <v>0</v>
      </c>
      <c r="BK84" s="631">
        <f t="shared" si="258"/>
        <v>0</v>
      </c>
      <c r="BL84" s="639" cm="1">
        <f t="array" ref="BL84">IF($BB84&lt;=0,0,IF(BL$2=-1,0,INDEX(Premises!$A$36:$F$36,1,$CH84)/100))</f>
        <v>0</v>
      </c>
      <c r="BM84" s="631">
        <f t="shared" si="259"/>
        <v>0</v>
      </c>
      <c r="BN84" s="639" cm="1">
        <f t="array" ref="BN84">IF($BB84&lt;=0,0,IF(BN$2=-1,0,INDEX(Premises!$A$34:$F$34,1,$CH84)/100))</f>
        <v>0.06</v>
      </c>
      <c r="BO84" s="631">
        <f t="shared" si="260"/>
        <v>2.1310012144376081E-4</v>
      </c>
      <c r="BP84" s="639" cm="1">
        <f t="array" ref="BP84">IF($BI84=0,0,INDEX(Premises!$A$37:$F$37,1,$CH84)/100)</f>
        <v>0</v>
      </c>
      <c r="BQ84" s="409"/>
      <c r="BR84" s="631">
        <f t="shared" si="261"/>
        <v>0</v>
      </c>
      <c r="BS84" s="641">
        <f t="shared" si="262"/>
        <v>4.2166027241958611E-3</v>
      </c>
      <c r="BT84" s="641">
        <f t="shared" si="263"/>
        <v>4.2166027241958611E-3</v>
      </c>
      <c r="BU84" s="642">
        <f t="shared" si="264"/>
        <v>1</v>
      </c>
      <c r="BV84" s="1147"/>
      <c r="BW84" s="418"/>
      <c r="BX84" s="418"/>
      <c r="BY84" s="419"/>
      <c r="BZ84" s="968"/>
      <c r="CA84" s="280" cm="1">
        <f t="array" ref="CA84">IF($BZ84&gt;0,VALUE(LEFT($BZ84,IF(ISERROR(FIND("-",$BZ84)),LEN($BZ84),FIND("-",$BZ84)-1))),INDEX($CA$1:$CA84,MAX(1,$CD84)))</f>
        <v>1</v>
      </c>
      <c r="CB84" s="280" cm="1">
        <f t="array" ref="CB84">IF($BT84=0,0,IF(LEN($BZ84)-LEN(SUBSTITUTE($BZ84,"-",""))&gt;1,
VALUE(MID($BZ84,FIND("-",$BZ84)+1,FIND("-",$BZ84,FIND("-",$BZ84)+1)-FIND("-",$BZ84)-1)),IF($BZ84&gt;0,0,INDEX($CB$1:$CB84,MAX(1,$CD84)))))</f>
        <v>0</v>
      </c>
      <c r="CC84" s="280" cm="1">
        <f t="array" ref="CC84">IF($BT84=0,0,IF(NOT(ISERROR(FIND("-",BZ84))),
VALUE(RIGHT($BZ84,LEN($BZ84)-IF(LEN($BZ84)-LEN(SUBSTITUTE($BZ84,"-",""))=1,FIND("-",$BZ84),FIND("-",$BZ84,FIND("-",$BZ84)+1)))),
IF($BZ84&gt;0,0,INDEX($CC$1:$CC84,MAX(1,$CD84)))))</f>
        <v>0</v>
      </c>
      <c r="CD84" s="393">
        <f>MATCH(0,$CE$1:$CE84,-1)</f>
        <v>80</v>
      </c>
      <c r="CE84" s="280"/>
      <c r="CF84" s="394"/>
      <c r="CG84" s="393" cm="1">
        <f t="array" ref="CG84">INDEX($CG$1:$CG84,$CD84)</f>
        <v>8</v>
      </c>
      <c r="CH84" s="280">
        <f>MATCH($CA84,Premises!$A$10:$F$10,0)</f>
        <v>4</v>
      </c>
      <c r="CI84" s="280">
        <f>IF(ISBLANK($E84),0,IFERROR(MATCH($E84,MHR[Bezeichnung],0),0))</f>
        <v>8</v>
      </c>
      <c r="CJ84" s="394">
        <f>IF(ISBLANK($AQ84),0,IFERROR(MATCH($AQ84,MAT[Bezeichnung],0),0))</f>
        <v>0</v>
      </c>
      <c r="CK84" s="280" cm="1">
        <f t="array" ref="CK84">INDEX($D$1:$D84,$CD84)</f>
        <v>1</v>
      </c>
      <c r="CL84" s="280"/>
      <c r="CM84" s="395"/>
      <c r="CN84" s="396" cm="1">
        <f t="array" ref="CN84">IF($CB84=0,0,IF($CB84=INDEX($CB$1:$CB84,$CD84),INDEX($CN$1:$CN84,$CD84),$CP84))</f>
        <v>0</v>
      </c>
      <c r="CO84" s="395"/>
      <c r="CP84" s="396" cm="1">
        <f t="array" ref="CP84">IF($CC84=0,0,INDEX($CP$1:$CP84,$CD84))</f>
        <v>0</v>
      </c>
      <c r="CQ84" s="397"/>
      <c r="CR84" s="398"/>
      <c r="CS84" s="398"/>
      <c r="CT84" s="1152"/>
      <c r="CU84" s="1149"/>
      <c r="CV84" s="647">
        <f t="shared" si="265"/>
        <v>4.531575681584363E-4</v>
      </c>
      <c r="CW84" s="648">
        <f t="shared" si="266"/>
        <v>2.7013464552459879E-3</v>
      </c>
      <c r="CX84" s="648">
        <f t="shared" si="267"/>
        <v>3.3437500000000004E-4</v>
      </c>
      <c r="CY84" s="648">
        <f t="shared" si="268"/>
        <v>0</v>
      </c>
      <c r="CZ84" s="648">
        <f t="shared" si="269"/>
        <v>0</v>
      </c>
      <c r="DA84" s="648">
        <f t="shared" si="270"/>
        <v>7.8753256815843639E-6</v>
      </c>
      <c r="DB84" s="648">
        <f t="shared" si="271"/>
        <v>6.278966732492237E-5</v>
      </c>
      <c r="DC84" s="649">
        <f t="shared" si="272"/>
        <v>3.5595440164109312E-3</v>
      </c>
      <c r="DD84" s="648">
        <f t="shared" si="273"/>
        <v>0</v>
      </c>
      <c r="DE84" s="648">
        <f t="shared" si="274"/>
        <v>0</v>
      </c>
      <c r="DF84" s="648">
        <f t="shared" si="275"/>
        <v>0</v>
      </c>
      <c r="DG84" s="649">
        <f t="shared" si="276"/>
        <v>0</v>
      </c>
      <c r="DH84" s="649">
        <f t="shared" si="277"/>
        <v>3.5595440164109312E-3</v>
      </c>
      <c r="DI84" s="648">
        <f t="shared" si="278"/>
        <v>0</v>
      </c>
      <c r="DJ84" s="648">
        <f t="shared" si="279"/>
        <v>0</v>
      </c>
      <c r="DK84" s="648">
        <f t="shared" si="280"/>
        <v>4.4395858634116837E-4</v>
      </c>
      <c r="DL84" s="648">
        <f t="shared" si="281"/>
        <v>0</v>
      </c>
      <c r="DM84" s="648">
        <f t="shared" si="282"/>
        <v>0</v>
      </c>
      <c r="DN84" s="648">
        <f t="shared" si="283"/>
        <v>2.1310012144376081E-4</v>
      </c>
      <c r="DO84" s="648">
        <f t="shared" si="284"/>
        <v>0</v>
      </c>
      <c r="DP84" s="651">
        <f t="shared" si="285"/>
        <v>4.2166027241958611E-3</v>
      </c>
      <c r="DQ84" s="951">
        <f>IF($CB84=0,0,$DP84*_xlfn.XLOOKUP($CB84,Premises!$A$10:$F$10,Premises!$A$30:$F$30)/100)</f>
        <v>0</v>
      </c>
      <c r="DR84" s="650">
        <f>IFERROR(SUM($DP84:$DQ84)*IF(INDEX(Premises!$A$42:$F$42,1,MATCH($CB84,Premises!$A$10:$F$10,0))&gt;0,INDEX(Premises!$A$42:$F$42,1,MATCH($CB84,Premises!$A$10:$F$10,0))%,$CN84),0)</f>
        <v>0</v>
      </c>
      <c r="DS84" s="650" cm="1">
        <f t="array" ref="DS84">IF($CB84=0,0,SUM($DP84:$DR84)*_xlfn.XLOOKUP($CB84,Premises!$A$10:$F$10,IF(INDEX(Settings[],MATCH(3001,Settings[ID],0),2)="B",Premises!$A$33:$F$33,Premises!$A$31:$F$31))/100)</f>
        <v>0</v>
      </c>
      <c r="DT84" s="650" cm="1">
        <f t="array" ref="DT84">IF($CB84=0,0,$DP84*_xlfn.XLOOKUP($CB84,Premises!$A$10:$F$10,IF(INDEX(Settings[],MATCH(3002,Settings[ID],0),2)="B",Premises!$A$36:$F$36,Premises!$A$34:$F$34))/100)</f>
        <v>0</v>
      </c>
      <c r="DU84" s="650">
        <f>IF($CB84=0,0,SUM($DP84:$DT84)*_xlfn.XLOOKUP($CB84,Premises!$A$10:$F$10,Premises!$A$37:$F$37)/100)</f>
        <v>0</v>
      </c>
      <c r="DV84" s="954">
        <f t="shared" si="286"/>
        <v>4.2166027241958611E-3</v>
      </c>
      <c r="DW84" s="951">
        <f>IF($CC84=0,0,$DV84*_xlfn.XLOOKUP($CC84,Premises!$A$10:$F$10,Premises!$A$30:$F$30)/100)</f>
        <v>0</v>
      </c>
      <c r="DX84" s="650">
        <f>IFERROR(SUM($DV84:$DW84)*IF(INDEX(Premises!$A$42:$F$42,1,MATCH($CC84,Premises!$A$10:$F$10,0))&gt;0,INDEX(Premises!$A$42:$F$42,1,MATCH($CC84,Premises!$A$10:$F$10,0))%,$CP84),0)</f>
        <v>0</v>
      </c>
      <c r="DY84" s="650" cm="1">
        <f t="array" ref="DY84">IF($CC84=0,0,SUM($DV84:$DX84)*_xlfn.XLOOKUP($CC84,Premises!$A$10:$F$10,IF(INDEX(Settings[],MATCH(3001,Settings[ID],0),2)="B",Premises!$A$33:$F$33,Premises!$A$31:$F$31))/100)</f>
        <v>0</v>
      </c>
      <c r="DZ84" s="650" cm="1">
        <f t="array" ref="DZ84">IF($CC84=0,0,$DV84*_xlfn.XLOOKUP($CC84,Premises!$A$10:$F$10,IF(INDEX(Settings[],MATCH(3002,Settings[ID],0),2)="B",Premises!$A$36:$F$36,Premises!$A$34:$F$34))/100)</f>
        <v>0</v>
      </c>
      <c r="EA84" s="650">
        <f>IF($CC84=0,0,SUM($DV84:$DZ84)*_xlfn.XLOOKUP($CC84,Premises!$A$10:$F$10,Premises!$A$37:$F$37)/100)</f>
        <v>0</v>
      </c>
      <c r="EB84" s="651">
        <f t="shared" si="287"/>
        <v>4.2166027241958611E-3</v>
      </c>
      <c r="EC84" s="805"/>
      <c r="ED84" s="1104"/>
      <c r="EE84" s="650"/>
      <c r="EF84" s="1110"/>
      <c r="EG84" s="1108"/>
      <c r="EH84" s="1108"/>
      <c r="EI84" s="1108"/>
      <c r="EJ84" s="1108"/>
      <c r="EK84" s="1108"/>
      <c r="EL84" s="1108"/>
      <c r="EM84" s="1110"/>
      <c r="EN84" s="1108"/>
      <c r="EO84" s="1108"/>
      <c r="EP84" s="1108"/>
      <c r="EQ84" s="1108"/>
      <c r="ER84" s="1110"/>
      <c r="ES84" s="1108"/>
      <c r="ET84" s="1108"/>
      <c r="EU84" s="1108"/>
      <c r="EV84" s="1108"/>
      <c r="EW84" s="1108"/>
      <c r="EX84" s="1111"/>
      <c r="EY84" s="2"/>
      <c r="EZ84" s="2"/>
      <c r="FA84" s="2"/>
      <c r="FB84" s="2"/>
      <c r="FC84" s="2"/>
      <c r="FD84" s="2"/>
      <c r="FE84" s="2"/>
      <c r="FF84" s="2"/>
      <c r="FG84" s="2"/>
      <c r="FH84" s="2"/>
      <c r="FI84" s="2"/>
      <c r="FJ84" s="420"/>
      <c r="FK84" s="421"/>
      <c r="FL84" s="422"/>
      <c r="FM84" s="1153"/>
    </row>
    <row r="85" spans="1:169" s="13" customFormat="1" ht="12.75" customHeight="1">
      <c r="A85" s="221"/>
      <c r="B85" s="402"/>
      <c r="C85" s="403"/>
      <c r="D85" s="646"/>
      <c r="E85" s="404"/>
      <c r="F85" s="405"/>
      <c r="G85" s="405"/>
      <c r="H85" s="405"/>
      <c r="I85" s="637" cm="1">
        <f t="array" ref="I85">IF($CI85=0,0,IFERROR(INDEX(MHR[],$CI85,MATCH($CA85,MHR!$B$4:$AY$4,0)),0))</f>
        <v>0</v>
      </c>
      <c r="J85" s="634">
        <f t="shared" si="240"/>
        <v>0</v>
      </c>
      <c r="K85" s="406"/>
      <c r="L85" s="407"/>
      <c r="M85" s="871"/>
      <c r="N85" s="407"/>
      <c r="O85" s="405"/>
      <c r="P85" s="645" cm="1">
        <f t="array" ref="P85">IF($K85=0,0,IFERROR(ROUNDUP(IF(ISNUMBER($K85),$K85,INDEX($D$1:$D85,$CD85)*INDEX(Premises!$A$13:$F$13,1,$CH85)/IF(OR($K85="T",$K85="D"),250,IF($K85="W",50,IF($K85="M",12,IF(OR($K85="HJ",$K85="HY"),2,IF(OR($K85="J",$K85="Y"),1,0)))))),0),0))</f>
        <v>0</v>
      </c>
      <c r="Q85" s="637" cm="1">
        <f t="array" ref="Q85">IF($K85=0,0,IFERROR(INDEX(Premises!$A$22:$F$22,1,$CH85)*100/INDEX(Premises!$A$16:$F$16,1,$CH85),0))</f>
        <v>0</v>
      </c>
      <c r="R85" s="634">
        <f t="shared" si="241"/>
        <v>0</v>
      </c>
      <c r="S85" s="408"/>
      <c r="T85" s="409"/>
      <c r="U85" s="637" cm="1">
        <f t="array" ref="U85">IF(COUNTBLANK($S85:$T85),0,
IF(AND(INDEX(MHR[Schichtmodell],$CI85)&lt;&gt;0,INDEX(MHR[Schichtmodell],$CI85)&lt;&gt;INDEX(Premises!$A$20:$F$20,1,$CH85)),ExchangeRate*
IF(OR($T85="M",$T85="U"),IF(INDEX(MHR[Schichtmodell],$CI85)=1,INDEX(LOC[M1S],INDEX(Premises!$A$18:$F$18,1,$CH85+1)),IF(INDEX(MHR[Schichtmodell],$CI85)=2,INDEX(LOC[M2S],INDEX(Premises!$A$18:$F$18,1,$CH85+1),IF(INDEX(MHR[Schichtmodell],$CI85)=3,INDEX(LOC[M3S],INDEX(Premises!$A$18:$F$18,1,$CH85+1)),0)))),
IF(INDEX(MHR[Schichtmodell],$CI85)=1,INDEX(LOC[F1S],INDEX(Premises!$A$18:$F$18,1,$CH85+1)),IF(INDEX(MHR[Schichtmodell],$CI85)=2,INDEX(LOC[F2S],INDEX(Premises!$A$18:$F$18,1,$CH85+1)),IF(INDEX(MHR[Schichtmodell],$CI85)=3,INDEX(LOC[F3S],INDEX(Premises!$A$18:$F$18,1,$CH85+1)),0)))),
IF(OR($T85="M",$T85="U"),INDEX(Premises!$A$21:$F$21,1,$CH85),
IF(OR($T85="F",$T85="S"),INDEX(Premises!$A$22:$F$22,1,$CH85),0)))*100/INDEX(Premises!$A$16:$F$16,1,$CH85))</f>
        <v>0</v>
      </c>
      <c r="V85" s="631">
        <f t="shared" si="242"/>
        <v>0</v>
      </c>
      <c r="W85" s="410"/>
      <c r="X85" s="403"/>
      <c r="Y85" s="411"/>
      <c r="Z85" s="412"/>
      <c r="AA85" s="628">
        <f t="shared" si="243"/>
        <v>0</v>
      </c>
      <c r="AB85" s="410"/>
      <c r="AC85" s="403"/>
      <c r="AD85" s="411"/>
      <c r="AE85" s="413"/>
      <c r="AF85" s="628">
        <f t="shared" si="244"/>
        <v>0</v>
      </c>
      <c r="AG85" s="629" cm="1">
        <f t="array" ref="AG85">IF(($J85+$V85+$AF85)=0,0,INDEX(Premises!$A$30:$F$30,1,$CH85)/100)</f>
        <v>0</v>
      </c>
      <c r="AH85" s="414"/>
      <c r="AI85" s="415"/>
      <c r="AJ85" s="416"/>
      <c r="AK85" s="630">
        <f t="shared" si="245"/>
        <v>0</v>
      </c>
      <c r="AL85" s="631">
        <f t="shared" si="246"/>
        <v>0</v>
      </c>
      <c r="AM85" s="632" cm="1">
        <f t="array" ref="AM85">IF($CI85=0,0,IFERROR(INDEX(MHR[],$CI85,MATCH($CA85,MHR!$B$4:$AY$4,0)+11),0))</f>
        <v>0</v>
      </c>
      <c r="AN85" s="633" cm="1">
        <f t="array" ref="AN85">IF(($J85+$V85)=0,0,IFERROR(IF(INDEX(Premises!$A$41:$F$41,1,$CH85)&lt;&gt;0,INDEX(Premises!$A$41:$F$41,1,$CH85)/100,(IFERROR(($J85/$I85)*$AM85,0)/($V85+$J85+$R85+$AL85))),0))</f>
        <v>0</v>
      </c>
      <c r="AO85" s="634">
        <f t="shared" si="247"/>
        <v>0</v>
      </c>
      <c r="AP85" s="635">
        <f t="shared" si="248"/>
        <v>0</v>
      </c>
      <c r="AQ85" s="410"/>
      <c r="AR85" s="409"/>
      <c r="AS85" s="636" cm="1">
        <f t="array" ref="AS85">IF($CJ85=0,0,IFERROR(INDEX(MAT[Einheit],$CJ85,1),0))</f>
        <v>0</v>
      </c>
      <c r="AT85" s="637" cm="1">
        <f t="array" ref="AT85">IF($CJ85=0,0,IFERROR(INDEX(MAT[Preis],$CJ85,1),0))</f>
        <v>0</v>
      </c>
      <c r="AU85" s="638">
        <f t="shared" si="249"/>
        <v>0</v>
      </c>
      <c r="AV85" s="639" cm="1">
        <f t="array" ref="AV85">IF($AU85&lt;=0,0,INDEX(Premises!$A$30:$F$30,1,$CH85)/100)</f>
        <v>0</v>
      </c>
      <c r="AW85" s="409"/>
      <c r="AX85" s="631">
        <f t="shared" si="250"/>
        <v>0</v>
      </c>
      <c r="AY85" s="640" cm="1">
        <f t="array" ref="AY85">IF($AT85&lt;=0,0,IFERROR(IF(INDEX(Premises!$A$42:$F$42,1,$CH85)&lt;&gt;0,INDEX(Premises!$A$42:$F$42,1,$CH85)/100,(INDEX(MAT[],$CJ85,MATCH($CA85,MAT!$B$4:$AE$4,0))/($AR85*$CK85*INDEX(Premises!$A$13:$F$13,1,$CH85))+INDEX(MAT[],$CJ85,MATCH($CA85,MAT!$B$4:$AE$4,0)+7))/$AT85),0))</f>
        <v>0</v>
      </c>
      <c r="AZ85" s="631">
        <f t="shared" si="251"/>
        <v>0</v>
      </c>
      <c r="BA85" s="635">
        <f t="shared" si="252"/>
        <v>0</v>
      </c>
      <c r="BB85" s="635">
        <f t="shared" si="253"/>
        <v>0</v>
      </c>
      <c r="BC85" s="639" cm="1">
        <f t="array" ref="BC85">IF($BB85&lt;=0,0,IF(BC$2=-1,0,INDEX(Premises!$A$32:$F$32,1,$CH85)/100))</f>
        <v>0</v>
      </c>
      <c r="BD85" s="631">
        <f t="shared" si="254"/>
        <v>0</v>
      </c>
      <c r="BE85" s="639" cm="1">
        <f t="array" ref="BE85">IF($BB85&lt;=0,0,IF(BE$2=-1,0,INDEX(Premises!$A$33:$F$33,1,$CH85)/100))</f>
        <v>0</v>
      </c>
      <c r="BF85" s="631">
        <f t="shared" si="255"/>
        <v>0</v>
      </c>
      <c r="BG85" s="639" cm="1">
        <f t="array" ref="BG85">IF($BB85&lt;=0,0,IF(BG$2=-1,0,INDEX(Premises!$A$31:$F$31,1,$CH85)/100))</f>
        <v>0</v>
      </c>
      <c r="BH85" s="631">
        <f t="shared" si="256"/>
        <v>0</v>
      </c>
      <c r="BI85" s="635">
        <f t="shared" si="257"/>
        <v>0</v>
      </c>
      <c r="BJ85" s="639" cm="1">
        <f t="array" ref="BJ85">IF($BB85&lt;=0,0,IF(BJ$2=-1,0,INDEX(Premises!$A$35:$F$35,1,$CH85)/100))</f>
        <v>0</v>
      </c>
      <c r="BK85" s="631">
        <f t="shared" si="258"/>
        <v>0</v>
      </c>
      <c r="BL85" s="639" cm="1">
        <f t="array" ref="BL85">IF($BB85&lt;=0,0,IF(BL$2=-1,0,INDEX(Premises!$A$36:$F$36,1,$CH85)/100))</f>
        <v>0</v>
      </c>
      <c r="BM85" s="631">
        <f t="shared" si="259"/>
        <v>0</v>
      </c>
      <c r="BN85" s="639" cm="1">
        <f t="array" ref="BN85">IF($BB85&lt;=0,0,IF(BN$2=-1,0,INDEX(Premises!$A$34:$F$34,1,$CH85)/100))</f>
        <v>0</v>
      </c>
      <c r="BO85" s="631">
        <f t="shared" si="260"/>
        <v>0</v>
      </c>
      <c r="BP85" s="639" cm="1">
        <f t="array" ref="BP85">IF($BI85=0,0,INDEX(Premises!$A$37:$F$37,1,$CH85)/100)</f>
        <v>0</v>
      </c>
      <c r="BQ85" s="409"/>
      <c r="BR85" s="631">
        <f t="shared" si="261"/>
        <v>0</v>
      </c>
      <c r="BS85" s="641">
        <f t="shared" si="262"/>
        <v>0</v>
      </c>
      <c r="BT85" s="641">
        <f t="shared" si="263"/>
        <v>0</v>
      </c>
      <c r="BU85" s="642">
        <f t="shared" si="264"/>
        <v>0</v>
      </c>
      <c r="BV85" s="417"/>
      <c r="BW85" s="418"/>
      <c r="BX85" s="418"/>
      <c r="BY85" s="419"/>
      <c r="BZ85" s="968"/>
      <c r="CA85" s="280" cm="1">
        <f t="array" ref="CA85">IF($BZ85&gt;0,VALUE(LEFT($BZ85,IF(ISERROR(FIND("-",$BZ85)),LEN($BZ85),FIND("-",$BZ85)-1))),INDEX($CA$1:$CA85,MAX(1,$CD85)))</f>
        <v>1</v>
      </c>
      <c r="CB85" s="280" cm="1">
        <f t="array" ref="CB85">IF($BT85=0,0,IF(LEN($BZ85)-LEN(SUBSTITUTE($BZ85,"-",""))&gt;1,
VALUE(MID($BZ85,FIND("-",$BZ85)+1,FIND("-",$BZ85,FIND("-",$BZ85)+1)-FIND("-",$BZ85)-1)),IF($BZ85&gt;0,0,INDEX($CB$1:$CB85,MAX(1,$CD85)))))</f>
        <v>0</v>
      </c>
      <c r="CC85" s="280" cm="1">
        <f t="array" ref="CC85">IF($BT85=0,0,IF(NOT(ISERROR(FIND("-",BZ85))),
VALUE(RIGHT($BZ85,LEN($BZ85)-IF(LEN($BZ85)-LEN(SUBSTITUTE($BZ85,"-",""))=1,FIND("-",$BZ85),FIND("-",$BZ85,FIND("-",$BZ85)+1)))),
IF($BZ85&gt;0,0,INDEX($CC$1:$CC85,MAX(1,$CD85)))))</f>
        <v>0</v>
      </c>
      <c r="CD85" s="393">
        <f>MATCH(0,$CE$1:$CE85,-1)</f>
        <v>80</v>
      </c>
      <c r="CE85" s="280"/>
      <c r="CF85" s="394"/>
      <c r="CG85" s="393" cm="1">
        <f t="array" ref="CG85">INDEX($CG$1:$CG85,$CD85)</f>
        <v>8</v>
      </c>
      <c r="CH85" s="280">
        <f>MATCH($CA85,Premises!$A$10:$F$10,0)</f>
        <v>4</v>
      </c>
      <c r="CI85" s="280">
        <f>IF(ISBLANK($E85),0,IFERROR(MATCH($E85,MHR[Bezeichnung],0),0))</f>
        <v>0</v>
      </c>
      <c r="CJ85" s="394">
        <f>IF(ISBLANK($AQ85),0,IFERROR(MATCH($AQ85,MAT[Bezeichnung],0),0))</f>
        <v>0</v>
      </c>
      <c r="CK85" s="280" cm="1">
        <f t="array" ref="CK85">INDEX($D$1:$D85,$CD85)</f>
        <v>1</v>
      </c>
      <c r="CL85" s="280"/>
      <c r="CM85" s="395"/>
      <c r="CN85" s="396" cm="1">
        <f t="array" ref="CN85">IF($CB85=0,0,IF($CB85=INDEX($CB$1:$CB85,$CD85),INDEX($CN$1:$CN85,$CD85),$CP85))</f>
        <v>0</v>
      </c>
      <c r="CO85" s="395"/>
      <c r="CP85" s="396" cm="1">
        <f t="array" ref="CP85">IF($CC85=0,0,INDEX($CP$1:$CP85,$CD85))</f>
        <v>0</v>
      </c>
      <c r="CQ85" s="397"/>
      <c r="CR85" s="398"/>
      <c r="CS85" s="398"/>
      <c r="CT85" s="970"/>
      <c r="CU85" s="2"/>
      <c r="CV85" s="647">
        <f t="shared" si="265"/>
        <v>0</v>
      </c>
      <c r="CW85" s="648">
        <f t="shared" si="266"/>
        <v>0</v>
      </c>
      <c r="CX85" s="648">
        <f t="shared" si="267"/>
        <v>0</v>
      </c>
      <c r="CY85" s="648">
        <f t="shared" si="268"/>
        <v>0</v>
      </c>
      <c r="CZ85" s="648">
        <f t="shared" si="269"/>
        <v>0</v>
      </c>
      <c r="DA85" s="648">
        <f t="shared" si="270"/>
        <v>0</v>
      </c>
      <c r="DB85" s="648">
        <f t="shared" si="271"/>
        <v>0</v>
      </c>
      <c r="DC85" s="649">
        <f t="shared" si="272"/>
        <v>0</v>
      </c>
      <c r="DD85" s="648">
        <f t="shared" si="273"/>
        <v>0</v>
      </c>
      <c r="DE85" s="648">
        <f t="shared" si="274"/>
        <v>0</v>
      </c>
      <c r="DF85" s="648">
        <f t="shared" si="275"/>
        <v>0</v>
      </c>
      <c r="DG85" s="649">
        <f t="shared" si="276"/>
        <v>0</v>
      </c>
      <c r="DH85" s="649">
        <f t="shared" si="277"/>
        <v>0</v>
      </c>
      <c r="DI85" s="648">
        <f t="shared" si="278"/>
        <v>0</v>
      </c>
      <c r="DJ85" s="648">
        <f t="shared" si="279"/>
        <v>0</v>
      </c>
      <c r="DK85" s="648">
        <f t="shared" si="280"/>
        <v>0</v>
      </c>
      <c r="DL85" s="648">
        <f t="shared" si="281"/>
        <v>0</v>
      </c>
      <c r="DM85" s="648">
        <f t="shared" si="282"/>
        <v>0</v>
      </c>
      <c r="DN85" s="648">
        <f t="shared" si="283"/>
        <v>0</v>
      </c>
      <c r="DO85" s="648">
        <f t="shared" si="284"/>
        <v>0</v>
      </c>
      <c r="DP85" s="651">
        <f t="shared" si="285"/>
        <v>0</v>
      </c>
      <c r="DQ85" s="951">
        <f>IF($CB85=0,0,$DP85*_xlfn.XLOOKUP($CB85,Premises!$A$10:$F$10,Premises!$A$30:$F$30)/100)</f>
        <v>0</v>
      </c>
      <c r="DR85" s="650">
        <f>IFERROR(SUM($DP85:$DQ85)*IF(INDEX(Premises!$A$42:$F$42,1,MATCH($CB85,Premises!$A$10:$F$10,0))&gt;0,INDEX(Premises!$A$42:$F$42,1,MATCH($CB85,Premises!$A$10:$F$10,0))%,$CN85),0)</f>
        <v>0</v>
      </c>
      <c r="DS85" s="650" cm="1">
        <f t="array" ref="DS85">IF($CB85=0,0,SUM($DP85:$DR85)*_xlfn.XLOOKUP($CB85,Premises!$A$10:$F$10,IF(INDEX(Settings[],MATCH(3001,Settings[ID],0),2)="B",Premises!$A$33:$F$33,Premises!$A$31:$F$31))/100)</f>
        <v>0</v>
      </c>
      <c r="DT85" s="650" cm="1">
        <f t="array" ref="DT85">IF($CB85=0,0,$DP85*_xlfn.XLOOKUP($CB85,Premises!$A$10:$F$10,IF(INDEX(Settings[],MATCH(3002,Settings[ID],0),2)="B",Premises!$A$36:$F$36,Premises!$A$34:$F$34))/100)</f>
        <v>0</v>
      </c>
      <c r="DU85" s="650">
        <f>IF($CB85=0,0,SUM($DP85:$DT85)*_xlfn.XLOOKUP($CB85,Premises!$A$10:$F$10,Premises!$A$37:$F$37)/100)</f>
        <v>0</v>
      </c>
      <c r="DV85" s="954">
        <f t="shared" si="286"/>
        <v>0</v>
      </c>
      <c r="DW85" s="951">
        <f>IF($CC85=0,0,$DV85*_xlfn.XLOOKUP($CC85,Premises!$A$10:$F$10,Premises!$A$30:$F$30)/100)</f>
        <v>0</v>
      </c>
      <c r="DX85" s="650">
        <f>IFERROR(SUM($DV85:$DW85)*IF(INDEX(Premises!$A$42:$F$42,1,MATCH($CC85,Premises!$A$10:$F$10,0))&gt;0,INDEX(Premises!$A$42:$F$42,1,MATCH($CC85,Premises!$A$10:$F$10,0))%,$CP85),0)</f>
        <v>0</v>
      </c>
      <c r="DY85" s="650" cm="1">
        <f t="array" ref="DY85">IF($CC85=0,0,SUM($DV85:$DX85)*_xlfn.XLOOKUP($CC85,Premises!$A$10:$F$10,IF(INDEX(Settings[],MATCH(3001,Settings[ID],0),2)="B",Premises!$A$33:$F$33,Premises!$A$31:$F$31))/100)</f>
        <v>0</v>
      </c>
      <c r="DZ85" s="650" cm="1">
        <f t="array" ref="DZ85">IF($CC85=0,0,$DV85*_xlfn.XLOOKUP($CC85,Premises!$A$10:$F$10,IF(INDEX(Settings[],MATCH(3002,Settings[ID],0),2)="B",Premises!$A$36:$F$36,Premises!$A$34:$F$34))/100)</f>
        <v>0</v>
      </c>
      <c r="EA85" s="650">
        <f>IF($CC85=0,0,SUM($DV85:$DZ85)*_xlfn.XLOOKUP($CC85,Premises!$A$10:$F$10,Premises!$A$37:$F$37)/100)</f>
        <v>0</v>
      </c>
      <c r="EB85" s="651">
        <f t="shared" si="287"/>
        <v>0</v>
      </c>
      <c r="EC85" s="805"/>
      <c r="ED85" s="1104"/>
      <c r="EE85" s="650"/>
      <c r="EF85" s="1110"/>
      <c r="EG85" s="1108"/>
      <c r="EH85" s="1108"/>
      <c r="EI85" s="1108"/>
      <c r="EJ85" s="1108"/>
      <c r="EK85" s="1108"/>
      <c r="EL85" s="1108"/>
      <c r="EM85" s="1110"/>
      <c r="EN85" s="1108"/>
      <c r="EO85" s="1108"/>
      <c r="EP85" s="1108"/>
      <c r="EQ85" s="1108"/>
      <c r="ER85" s="1110"/>
      <c r="ES85" s="1108"/>
      <c r="ET85" s="1108"/>
      <c r="EU85" s="1108"/>
      <c r="EV85" s="1108"/>
      <c r="EW85" s="1108"/>
      <c r="EX85" s="1111"/>
      <c r="EY85" s="2"/>
      <c r="EZ85" s="2"/>
      <c r="FA85" s="2"/>
      <c r="FB85" s="2"/>
      <c r="FC85" s="2"/>
      <c r="FD85" s="2"/>
      <c r="FE85" s="2"/>
      <c r="FF85" s="2"/>
      <c r="FG85" s="2"/>
      <c r="FH85" s="2"/>
      <c r="FI85" s="2"/>
      <c r="FJ85" s="420"/>
      <c r="FK85" s="421"/>
      <c r="FL85" s="422"/>
      <c r="FM85" s="970"/>
    </row>
    <row r="86" spans="1:169" s="13" customFormat="1" ht="12.75" customHeight="1">
      <c r="A86" s="221"/>
      <c r="B86" s="402"/>
      <c r="C86" s="403"/>
      <c r="D86" s="646"/>
      <c r="E86" s="404"/>
      <c r="F86" s="405"/>
      <c r="G86" s="405"/>
      <c r="H86" s="405"/>
      <c r="I86" s="637" cm="1">
        <f t="array" ref="I86">IF($CI86=0,0,IFERROR(INDEX(MHR[],$CI86,MATCH($CA86,MHR!$B$4:$AY$4,0)),0))</f>
        <v>0</v>
      </c>
      <c r="J86" s="634">
        <f t="shared" si="240"/>
        <v>0</v>
      </c>
      <c r="K86" s="406"/>
      <c r="L86" s="407"/>
      <c r="M86" s="871"/>
      <c r="N86" s="407"/>
      <c r="O86" s="405"/>
      <c r="P86" s="645" cm="1">
        <f t="array" ref="P86">IF($K86=0,0,IFERROR(ROUNDUP(IF(ISNUMBER($K86),$K86,INDEX($D$1:$D86,$CD86)*INDEX(Premises!$A$13:$F$13,1,$CH86)/IF(OR($K86="T",$K86="D"),250,IF($K86="W",50,IF($K86="M",12,IF(OR($K86="HJ",$K86="HY"),2,IF(OR($K86="J",$K86="Y"),1,0)))))),0),0))</f>
        <v>0</v>
      </c>
      <c r="Q86" s="637" cm="1">
        <f t="array" ref="Q86">IF($K86=0,0,IFERROR(INDEX(Premises!$A$22:$F$22,1,$CH86)*100/INDEX(Premises!$A$16:$F$16,1,$CH86),0))</f>
        <v>0</v>
      </c>
      <c r="R86" s="634">
        <f t="shared" si="241"/>
        <v>0</v>
      </c>
      <c r="S86" s="408"/>
      <c r="T86" s="409"/>
      <c r="U86" s="637" cm="1">
        <f t="array" ref="U86">IF(COUNTBLANK($S86:$T86),0,
IF(AND(INDEX(MHR[Schichtmodell],$CI86)&lt;&gt;0,INDEX(MHR[Schichtmodell],$CI86)&lt;&gt;INDEX(Premises!$A$20:$F$20,1,$CH86)),ExchangeRate*
IF(OR($T86="M",$T86="U"),IF(INDEX(MHR[Schichtmodell],$CI86)=1,INDEX(LOC[M1S],INDEX(Premises!$A$18:$F$18,1,$CH86+1)),IF(INDEX(MHR[Schichtmodell],$CI86)=2,INDEX(LOC[M2S],INDEX(Premises!$A$18:$F$18,1,$CH86+1),IF(INDEX(MHR[Schichtmodell],$CI86)=3,INDEX(LOC[M3S],INDEX(Premises!$A$18:$F$18,1,$CH86+1)),0)))),
IF(INDEX(MHR[Schichtmodell],$CI86)=1,INDEX(LOC[F1S],INDEX(Premises!$A$18:$F$18,1,$CH86+1)),IF(INDEX(MHR[Schichtmodell],$CI86)=2,INDEX(LOC[F2S],INDEX(Premises!$A$18:$F$18,1,$CH86+1)),IF(INDEX(MHR[Schichtmodell],$CI86)=3,INDEX(LOC[F3S],INDEX(Premises!$A$18:$F$18,1,$CH86+1)),0)))),
IF(OR($T86="M",$T86="U"),INDEX(Premises!$A$21:$F$21,1,$CH86),
IF(OR($T86="F",$T86="S"),INDEX(Premises!$A$22:$F$22,1,$CH86),0)))*100/INDEX(Premises!$A$16:$F$16,1,$CH86))</f>
        <v>0</v>
      </c>
      <c r="V86" s="631">
        <f t="shared" si="242"/>
        <v>0</v>
      </c>
      <c r="W86" s="410"/>
      <c r="X86" s="403"/>
      <c r="Y86" s="411"/>
      <c r="Z86" s="412"/>
      <c r="AA86" s="628">
        <f t="shared" si="243"/>
        <v>0</v>
      </c>
      <c r="AB86" s="410"/>
      <c r="AC86" s="403"/>
      <c r="AD86" s="411"/>
      <c r="AE86" s="413"/>
      <c r="AF86" s="628">
        <f t="shared" si="244"/>
        <v>0</v>
      </c>
      <c r="AG86" s="629" cm="1">
        <f t="array" ref="AG86">IF(($J86+$V86+$AF86)=0,0,INDEX(Premises!$A$30:$F$30,1,$CH86)/100)</f>
        <v>0</v>
      </c>
      <c r="AH86" s="414"/>
      <c r="AI86" s="415"/>
      <c r="AJ86" s="416"/>
      <c r="AK86" s="630">
        <f t="shared" si="245"/>
        <v>0</v>
      </c>
      <c r="AL86" s="631">
        <f t="shared" si="246"/>
        <v>0</v>
      </c>
      <c r="AM86" s="632" cm="1">
        <f t="array" ref="AM86">IF($CI86=0,0,IFERROR(INDEX(MHR[],$CI86,MATCH($CA86,MHR!$B$4:$AY$4,0)+11),0))</f>
        <v>0</v>
      </c>
      <c r="AN86" s="633" cm="1">
        <f t="array" ref="AN86">IF(($J86+$V86)=0,0,IFERROR(IF(INDEX(Premises!$A$41:$F$41,1,$CH86)&lt;&gt;0,INDEX(Premises!$A$41:$F$41,1,$CH86)/100,(IFERROR(($J86/$I86)*$AM86,0)/($V86+$J86+$R86+$AL86))),0))</f>
        <v>0</v>
      </c>
      <c r="AO86" s="634">
        <f t="shared" si="247"/>
        <v>0</v>
      </c>
      <c r="AP86" s="635">
        <f t="shared" si="248"/>
        <v>0</v>
      </c>
      <c r="AQ86" s="410"/>
      <c r="AR86" s="409"/>
      <c r="AS86" s="636" cm="1">
        <f t="array" ref="AS86">IF($CJ86=0,0,IFERROR(INDEX(MAT[Einheit],$CJ86,1),0))</f>
        <v>0</v>
      </c>
      <c r="AT86" s="637" cm="1">
        <f t="array" ref="AT86">IF($CJ86=0,0,IFERROR(INDEX(MAT[Preis],$CJ86,1),0))</f>
        <v>0</v>
      </c>
      <c r="AU86" s="638">
        <f t="shared" si="249"/>
        <v>0</v>
      </c>
      <c r="AV86" s="639" cm="1">
        <f t="array" ref="AV86">IF($AU86&lt;=0,0,INDEX(Premises!$A$30:$F$30,1,$CH86)/100)</f>
        <v>0</v>
      </c>
      <c r="AW86" s="409"/>
      <c r="AX86" s="631">
        <f t="shared" si="250"/>
        <v>0</v>
      </c>
      <c r="AY86" s="640" cm="1">
        <f t="array" ref="AY86">IF($AT86&lt;=0,0,IFERROR(IF(INDEX(Premises!$A$42:$F$42,1,$CH86)&lt;&gt;0,INDEX(Premises!$A$42:$F$42,1,$CH86)/100,(INDEX(MAT[],$CJ86,MATCH($CA86,MAT!$B$4:$AE$4,0))/($AR86*$CK86*INDEX(Premises!$A$13:$F$13,1,$CH86))+INDEX(MAT[],$CJ86,MATCH($CA86,MAT!$B$4:$AE$4,0)+7))/$AT86),0))</f>
        <v>0</v>
      </c>
      <c r="AZ86" s="631">
        <f t="shared" si="251"/>
        <v>0</v>
      </c>
      <c r="BA86" s="635">
        <f t="shared" si="252"/>
        <v>0</v>
      </c>
      <c r="BB86" s="635">
        <f t="shared" si="253"/>
        <v>0</v>
      </c>
      <c r="BC86" s="639" cm="1">
        <f t="array" ref="BC86">IF($BB86&lt;=0,0,IF(BC$2=-1,0,INDEX(Premises!$A$32:$F$32,1,$CH86)/100))</f>
        <v>0</v>
      </c>
      <c r="BD86" s="631">
        <f t="shared" si="254"/>
        <v>0</v>
      </c>
      <c r="BE86" s="639" cm="1">
        <f t="array" ref="BE86">IF($BB86&lt;=0,0,IF(BE$2=-1,0,INDEX(Premises!$A$33:$F$33,1,$CH86)/100))</f>
        <v>0</v>
      </c>
      <c r="BF86" s="631">
        <f t="shared" si="255"/>
        <v>0</v>
      </c>
      <c r="BG86" s="639" cm="1">
        <f t="array" ref="BG86">IF($BB86&lt;=0,0,IF(BG$2=-1,0,INDEX(Premises!$A$31:$F$31,1,$CH86)/100))</f>
        <v>0</v>
      </c>
      <c r="BH86" s="631">
        <f t="shared" si="256"/>
        <v>0</v>
      </c>
      <c r="BI86" s="635">
        <f t="shared" si="257"/>
        <v>0</v>
      </c>
      <c r="BJ86" s="639" cm="1">
        <f t="array" ref="BJ86">IF($BB86&lt;=0,0,IF(BJ$2=-1,0,INDEX(Premises!$A$35:$F$35,1,$CH86)/100))</f>
        <v>0</v>
      </c>
      <c r="BK86" s="631">
        <f t="shared" si="258"/>
        <v>0</v>
      </c>
      <c r="BL86" s="639" cm="1">
        <f t="array" ref="BL86">IF($BB86&lt;=0,0,IF(BL$2=-1,0,INDEX(Premises!$A$36:$F$36,1,$CH86)/100))</f>
        <v>0</v>
      </c>
      <c r="BM86" s="631">
        <f t="shared" si="259"/>
        <v>0</v>
      </c>
      <c r="BN86" s="639" cm="1">
        <f t="array" ref="BN86">IF($BB86&lt;=0,0,IF(BN$2=-1,0,INDEX(Premises!$A$34:$F$34,1,$CH86)/100))</f>
        <v>0</v>
      </c>
      <c r="BO86" s="631">
        <f t="shared" si="260"/>
        <v>0</v>
      </c>
      <c r="BP86" s="639" cm="1">
        <f t="array" ref="BP86">IF($BI86=0,0,INDEX(Premises!$A$37:$F$37,1,$CH86)/100)</f>
        <v>0</v>
      </c>
      <c r="BQ86" s="409"/>
      <c r="BR86" s="631">
        <f t="shared" si="261"/>
        <v>0</v>
      </c>
      <c r="BS86" s="641">
        <f t="shared" si="262"/>
        <v>0</v>
      </c>
      <c r="BT86" s="641">
        <f t="shared" si="263"/>
        <v>0</v>
      </c>
      <c r="BU86" s="642">
        <f t="shared" si="264"/>
        <v>0</v>
      </c>
      <c r="BV86" s="417"/>
      <c r="BW86" s="418"/>
      <c r="BX86" s="418"/>
      <c r="BY86" s="419"/>
      <c r="BZ86" s="968"/>
      <c r="CA86" s="280" cm="1">
        <f t="array" ref="CA86">IF($BZ86&gt;0,VALUE(LEFT($BZ86,IF(ISERROR(FIND("-",$BZ86)),LEN($BZ86),FIND("-",$BZ86)-1))),INDEX($CA$1:$CA86,MAX(1,$CD86)))</f>
        <v>1</v>
      </c>
      <c r="CB86" s="280" cm="1">
        <f t="array" ref="CB86">IF($BT86=0,0,IF(LEN($BZ86)-LEN(SUBSTITUTE($BZ86,"-",""))&gt;1,
VALUE(MID($BZ86,FIND("-",$BZ86)+1,FIND("-",$BZ86,FIND("-",$BZ86)+1)-FIND("-",$BZ86)-1)),IF($BZ86&gt;0,0,INDEX($CB$1:$CB86,MAX(1,$CD86)))))</f>
        <v>0</v>
      </c>
      <c r="CC86" s="280" cm="1">
        <f t="array" ref="CC86">IF($BT86=0,0,IF(NOT(ISERROR(FIND("-",BZ86))),
VALUE(RIGHT($BZ86,LEN($BZ86)-IF(LEN($BZ86)-LEN(SUBSTITUTE($BZ86,"-",""))=1,FIND("-",$BZ86),FIND("-",$BZ86,FIND("-",$BZ86)+1)))),
IF($BZ86&gt;0,0,INDEX($CC$1:$CC86,MAX(1,$CD86)))))</f>
        <v>0</v>
      </c>
      <c r="CD86" s="393">
        <f>MATCH(0,$CE$1:$CE86,-1)</f>
        <v>80</v>
      </c>
      <c r="CE86" s="280"/>
      <c r="CF86" s="394"/>
      <c r="CG86" s="393" cm="1">
        <f t="array" ref="CG86">INDEX($CG$1:$CG86,$CD86)</f>
        <v>8</v>
      </c>
      <c r="CH86" s="280">
        <f>MATCH($CA86,Premises!$A$10:$F$10,0)</f>
        <v>4</v>
      </c>
      <c r="CI86" s="280">
        <f>IF(ISBLANK($E86),0,IFERROR(MATCH($E86,MHR[Bezeichnung],0),0))</f>
        <v>0</v>
      </c>
      <c r="CJ86" s="394">
        <f>IF(ISBLANK($AQ86),0,IFERROR(MATCH($AQ86,MAT[Bezeichnung],0),0))</f>
        <v>0</v>
      </c>
      <c r="CK86" s="280" cm="1">
        <f t="array" ref="CK86">INDEX($D$1:$D86,$CD86)</f>
        <v>1</v>
      </c>
      <c r="CL86" s="280"/>
      <c r="CM86" s="395"/>
      <c r="CN86" s="396" cm="1">
        <f t="array" ref="CN86">IF($CB86=0,0,IF($CB86=INDEX($CB$1:$CB86,$CD86),INDEX($CN$1:$CN86,$CD86),$CP86))</f>
        <v>0</v>
      </c>
      <c r="CO86" s="395"/>
      <c r="CP86" s="396" cm="1">
        <f t="array" ref="CP86">IF($CC86=0,0,INDEX($CP$1:$CP86,$CD86))</f>
        <v>0</v>
      </c>
      <c r="CQ86" s="397"/>
      <c r="CR86" s="398"/>
      <c r="CS86" s="398"/>
      <c r="CT86" s="970"/>
      <c r="CU86" s="2"/>
      <c r="CV86" s="647">
        <f t="shared" si="265"/>
        <v>0</v>
      </c>
      <c r="CW86" s="648">
        <f t="shared" si="266"/>
        <v>0</v>
      </c>
      <c r="CX86" s="648">
        <f t="shared" si="267"/>
        <v>0</v>
      </c>
      <c r="CY86" s="648">
        <f t="shared" si="268"/>
        <v>0</v>
      </c>
      <c r="CZ86" s="648">
        <f t="shared" si="269"/>
        <v>0</v>
      </c>
      <c r="DA86" s="648">
        <f t="shared" si="270"/>
        <v>0</v>
      </c>
      <c r="DB86" s="648">
        <f t="shared" si="271"/>
        <v>0</v>
      </c>
      <c r="DC86" s="649">
        <f t="shared" si="272"/>
        <v>0</v>
      </c>
      <c r="DD86" s="648">
        <f t="shared" si="273"/>
        <v>0</v>
      </c>
      <c r="DE86" s="648">
        <f t="shared" si="274"/>
        <v>0</v>
      </c>
      <c r="DF86" s="648">
        <f t="shared" si="275"/>
        <v>0</v>
      </c>
      <c r="DG86" s="649">
        <f t="shared" si="276"/>
        <v>0</v>
      </c>
      <c r="DH86" s="649">
        <f t="shared" si="277"/>
        <v>0</v>
      </c>
      <c r="DI86" s="648">
        <f t="shared" si="278"/>
        <v>0</v>
      </c>
      <c r="DJ86" s="648">
        <f t="shared" si="279"/>
        <v>0</v>
      </c>
      <c r="DK86" s="648">
        <f t="shared" si="280"/>
        <v>0</v>
      </c>
      <c r="DL86" s="648">
        <f t="shared" si="281"/>
        <v>0</v>
      </c>
      <c r="DM86" s="648">
        <f t="shared" si="282"/>
        <v>0</v>
      </c>
      <c r="DN86" s="648">
        <f t="shared" si="283"/>
        <v>0</v>
      </c>
      <c r="DO86" s="648">
        <f t="shared" si="284"/>
        <v>0</v>
      </c>
      <c r="DP86" s="651">
        <f t="shared" si="285"/>
        <v>0</v>
      </c>
      <c r="DQ86" s="951">
        <f>IF($CB86=0,0,$DP86*_xlfn.XLOOKUP($CB86,Premises!$A$10:$F$10,Premises!$A$30:$F$30)/100)</f>
        <v>0</v>
      </c>
      <c r="DR86" s="650">
        <f>IFERROR(SUM($DP86:$DQ86)*IF(INDEX(Premises!$A$42:$F$42,1,MATCH($CB86,Premises!$A$10:$F$10,0))&gt;0,INDEX(Premises!$A$42:$F$42,1,MATCH($CB86,Premises!$A$10:$F$10,0))%,$CN86),0)</f>
        <v>0</v>
      </c>
      <c r="DS86" s="650" cm="1">
        <f t="array" ref="DS86">IF($CB86=0,0,SUM($DP86:$DR86)*_xlfn.XLOOKUP($CB86,Premises!$A$10:$F$10,IF(INDEX(Settings[],MATCH(3001,Settings[ID],0),2)="B",Premises!$A$33:$F$33,Premises!$A$31:$F$31))/100)</f>
        <v>0</v>
      </c>
      <c r="DT86" s="650" cm="1">
        <f t="array" ref="DT86">IF($CB86=0,0,$DP86*_xlfn.XLOOKUP($CB86,Premises!$A$10:$F$10,IF(INDEX(Settings[],MATCH(3002,Settings[ID],0),2)="B",Premises!$A$36:$F$36,Premises!$A$34:$F$34))/100)</f>
        <v>0</v>
      </c>
      <c r="DU86" s="650">
        <f>IF($CB86=0,0,SUM($DP86:$DT86)*_xlfn.XLOOKUP($CB86,Premises!$A$10:$F$10,Premises!$A$37:$F$37)/100)</f>
        <v>0</v>
      </c>
      <c r="DV86" s="954">
        <f t="shared" si="286"/>
        <v>0</v>
      </c>
      <c r="DW86" s="951">
        <f>IF($CC86=0,0,$DV86*_xlfn.XLOOKUP($CC86,Premises!$A$10:$F$10,Premises!$A$30:$F$30)/100)</f>
        <v>0</v>
      </c>
      <c r="DX86" s="650">
        <f>IFERROR(SUM($DV86:$DW86)*IF(INDEX(Premises!$A$42:$F$42,1,MATCH($CC86,Premises!$A$10:$F$10,0))&gt;0,INDEX(Premises!$A$42:$F$42,1,MATCH($CC86,Premises!$A$10:$F$10,0))%,$CP86),0)</f>
        <v>0</v>
      </c>
      <c r="DY86" s="650" cm="1">
        <f t="array" ref="DY86">IF($CC86=0,0,SUM($DV86:$DX86)*_xlfn.XLOOKUP($CC86,Premises!$A$10:$F$10,IF(INDEX(Settings[],MATCH(3001,Settings[ID],0),2)="B",Premises!$A$33:$F$33,Premises!$A$31:$F$31))/100)</f>
        <v>0</v>
      </c>
      <c r="DZ86" s="650" cm="1">
        <f t="array" ref="DZ86">IF($CC86=0,0,$DV86*_xlfn.XLOOKUP($CC86,Premises!$A$10:$F$10,IF(INDEX(Settings[],MATCH(3002,Settings[ID],0),2)="B",Premises!$A$36:$F$36,Premises!$A$34:$F$34))/100)</f>
        <v>0</v>
      </c>
      <c r="EA86" s="650">
        <f>IF($CC86=0,0,SUM($DV86:$DZ86)*_xlfn.XLOOKUP($CC86,Premises!$A$10:$F$10,Premises!$A$37:$F$37)/100)</f>
        <v>0</v>
      </c>
      <c r="EB86" s="651">
        <f t="shared" si="287"/>
        <v>0</v>
      </c>
      <c r="EC86" s="805"/>
      <c r="ED86" s="1104"/>
      <c r="EE86" s="650"/>
      <c r="EF86" s="1110"/>
      <c r="EG86" s="1108"/>
      <c r="EH86" s="1108"/>
      <c r="EI86" s="1108"/>
      <c r="EJ86" s="1108"/>
      <c r="EK86" s="1108"/>
      <c r="EL86" s="1108"/>
      <c r="EM86" s="1110"/>
      <c r="EN86" s="1108"/>
      <c r="EO86" s="1108"/>
      <c r="EP86" s="1108"/>
      <c r="EQ86" s="1108"/>
      <c r="ER86" s="1110"/>
      <c r="ES86" s="1108"/>
      <c r="ET86" s="1108"/>
      <c r="EU86" s="1108"/>
      <c r="EV86" s="1108"/>
      <c r="EW86" s="1108"/>
      <c r="EX86" s="1111"/>
      <c r="EY86" s="2"/>
      <c r="EZ86" s="2"/>
      <c r="FA86" s="2"/>
      <c r="FB86" s="2"/>
      <c r="FC86" s="2"/>
      <c r="FD86" s="2"/>
      <c r="FE86" s="2"/>
      <c r="FF86" s="2"/>
      <c r="FG86" s="2"/>
      <c r="FH86" s="2"/>
      <c r="FI86" s="2"/>
      <c r="FJ86" s="420"/>
      <c r="FK86" s="421"/>
      <c r="FL86" s="422"/>
      <c r="FM86" s="970"/>
    </row>
    <row r="87" spans="1:169" s="13" customFormat="1" ht="12.75" customHeight="1">
      <c r="A87" s="221"/>
      <c r="B87" s="387" t="str">
        <f>BOM!$A$9</f>
        <v>01-01-03-02 Front Plastic Cover</v>
      </c>
      <c r="C87" s="388"/>
      <c r="D87" s="389" cm="1">
        <f t="array" ref="D87">IF($CG87=0,0,INDEX(BOM!$N:$N,$CG87))</f>
        <v>1</v>
      </c>
      <c r="E87" s="644" t="s">
        <v>664</v>
      </c>
      <c r="F87" s="644" t="s">
        <v>664</v>
      </c>
      <c r="G87" s="644" t="s">
        <v>664</v>
      </c>
      <c r="H87" s="644" t="s">
        <v>664</v>
      </c>
      <c r="I87" s="644" t="s">
        <v>664</v>
      </c>
      <c r="J87" s="644" t="s">
        <v>664</v>
      </c>
      <c r="K87" s="644" t="s">
        <v>664</v>
      </c>
      <c r="L87" s="644" t="s">
        <v>664</v>
      </c>
      <c r="M87" s="644" t="s">
        <v>664</v>
      </c>
      <c r="N87" s="644" t="s">
        <v>664</v>
      </c>
      <c r="O87" s="644" t="s">
        <v>664</v>
      </c>
      <c r="P87" s="644" t="s">
        <v>664</v>
      </c>
      <c r="Q87" s="644" t="s">
        <v>664</v>
      </c>
      <c r="R87" s="644" t="s">
        <v>664</v>
      </c>
      <c r="S87" s="644" t="s">
        <v>664</v>
      </c>
      <c r="T87" s="644" t="s">
        <v>664</v>
      </c>
      <c r="U87" s="644" t="s">
        <v>664</v>
      </c>
      <c r="V87" s="644" t="s">
        <v>664</v>
      </c>
      <c r="W87" s="644" t="s">
        <v>664</v>
      </c>
      <c r="X87" s="644" t="s">
        <v>664</v>
      </c>
      <c r="Y87" s="644" t="s">
        <v>664</v>
      </c>
      <c r="Z87" s="644" t="s">
        <v>664</v>
      </c>
      <c r="AA87" s="644" t="s">
        <v>664</v>
      </c>
      <c r="AB87" s="644" t="s">
        <v>664</v>
      </c>
      <c r="AC87" s="644" t="s">
        <v>664</v>
      </c>
      <c r="AD87" s="644" t="s">
        <v>664</v>
      </c>
      <c r="AE87" s="644" t="s">
        <v>664</v>
      </c>
      <c r="AF87" s="644" t="s">
        <v>664</v>
      </c>
      <c r="AG87" s="644" t="s">
        <v>664</v>
      </c>
      <c r="AH87" s="644" t="s">
        <v>664</v>
      </c>
      <c r="AI87" s="644" t="s">
        <v>664</v>
      </c>
      <c r="AJ87" s="644" t="s">
        <v>664</v>
      </c>
      <c r="AK87" s="644" t="s">
        <v>664</v>
      </c>
      <c r="AL87" s="644" t="s">
        <v>664</v>
      </c>
      <c r="AM87" s="644" t="s">
        <v>664</v>
      </c>
      <c r="AN87" s="644" t="s">
        <v>664</v>
      </c>
      <c r="AO87" s="644" t="s">
        <v>664</v>
      </c>
      <c r="AP87" s="644" t="s">
        <v>664</v>
      </c>
      <c r="AQ87" s="644" t="s">
        <v>664</v>
      </c>
      <c r="AR87" s="644" t="s">
        <v>664</v>
      </c>
      <c r="AS87" s="644" t="s">
        <v>664</v>
      </c>
      <c r="AT87" s="644" t="s">
        <v>664</v>
      </c>
      <c r="AU87" s="644" t="s">
        <v>664</v>
      </c>
      <c r="AV87" s="644" t="s">
        <v>664</v>
      </c>
      <c r="AW87" s="644" t="s">
        <v>664</v>
      </c>
      <c r="AX87" s="644" t="s">
        <v>664</v>
      </c>
      <c r="AY87" s="644" t="s">
        <v>664</v>
      </c>
      <c r="AZ87" s="644" t="s">
        <v>664</v>
      </c>
      <c r="BA87" s="644" t="s">
        <v>664</v>
      </c>
      <c r="BB87" s="644" t="s">
        <v>664</v>
      </c>
      <c r="BC87" s="644" t="s">
        <v>664</v>
      </c>
      <c r="BD87" s="644" t="s">
        <v>664</v>
      </c>
      <c r="BE87" s="644" t="s">
        <v>664</v>
      </c>
      <c r="BF87" s="644" t="s">
        <v>664</v>
      </c>
      <c r="BG87" s="644" t="s">
        <v>664</v>
      </c>
      <c r="BH87" s="644" t="s">
        <v>664</v>
      </c>
      <c r="BI87" s="644" t="s">
        <v>664</v>
      </c>
      <c r="BJ87" s="644" t="s">
        <v>664</v>
      </c>
      <c r="BK87" s="644" t="s">
        <v>664</v>
      </c>
      <c r="BL87" s="644" t="s">
        <v>664</v>
      </c>
      <c r="BM87" s="644" t="s">
        <v>664</v>
      </c>
      <c r="BN87" s="644" t="s">
        <v>664</v>
      </c>
      <c r="BO87" s="644" t="s">
        <v>664</v>
      </c>
      <c r="BP87" s="644" t="s">
        <v>664</v>
      </c>
      <c r="BQ87" s="644" t="s">
        <v>664</v>
      </c>
      <c r="BR87" s="644" t="s">
        <v>664</v>
      </c>
      <c r="BS87" s="920">
        <f>SUM(INDEX($BS:$BS,ROW()+1):INDEX($BS:$BS,$CE87))</f>
        <v>5.1398615715911616E-2</v>
      </c>
      <c r="BT87" s="920">
        <f>SUM(INDEX($BT:$BT,ROW()+1):INDEX($BT:$BT,$CE87))</f>
        <v>5.1398615715911616E-2</v>
      </c>
      <c r="BU87" s="644" t="s">
        <v>664</v>
      </c>
      <c r="BV87" s="643">
        <f>SUMPRODUCT($BS87:INDEX($BS:$BS,$CE87),$BU87:INDEX($BU:$BU,$CE87))</f>
        <v>5.1398615715911616E-2</v>
      </c>
      <c r="BW87" s="390">
        <f>$D87*$BV87</f>
        <v>5.1398615715911616E-2</v>
      </c>
      <c r="BX87" s="816" cm="1">
        <f t="array" ref="BX87">IF($CG87=0,0,IF(INDEX(BOM!$P:$P,$CG87)=0,0,
SUMPRODUCT($BW87:INDEX($BW:$BW,IFERROR(ROW()+MATCH($CL87,INDEX($CL:$CL,ROW()+1):INDEX($CL:$CL,MAX($CE:$CE)),0)-1,MAX($CE:$CE))),
($CL87:INDEX($CL:$CL,IFERROR(ROW()+MATCH($CL87,INDEX($CL:$CL,ROW()+1):INDEX($CL:$CL,MAX($CE:$CE)),0)-1,MAX($CE:$CE)))&gt;=$CL87)*1)
))</f>
        <v>0</v>
      </c>
      <c r="BY87" s="391"/>
      <c r="BZ87" s="392" cm="1">
        <f t="array" ref="BZ87">IF($CG87=0,0,INDEX(BOM!$M:$M,$CG87))</f>
        <v>1</v>
      </c>
      <c r="CA87" s="280">
        <f>IF($BZ87&gt;0,VALUE(LEFT($BZ87,IF(ISERROR(FIND("-",$BZ87)),LEN($BZ87),FIND("-",$BZ87)-1))),INDEX($BZ$1:BZ87,MATCH("",$A$1:A87,-1)))</f>
        <v>1</v>
      </c>
      <c r="CB87" s="280">
        <f>IF(LEN($BZ87)-LEN(SUBSTITUTE($BZ87,"-",))&gt;1,
VALUE(MID($BZ87,FIND("-",$BZ87)+1,FIND("-",$BZ87,FIND("-",$BZ87)+1)-FIND("-",$BZ87)-1)),0)</f>
        <v>0</v>
      </c>
      <c r="CC87" s="280">
        <f>IF(NOT(ISERROR(FIND("-",BZ87))),
VALUE(RIGHT($BZ87,LEN($BZ87)-IF(LEN($BZ87)-LEN(SUBSTITUTE($BZ87,"-",""))=1,FIND("-",$BZ87),FIND("-",$BZ87,FIND("-",$BZ87)+1)))),0)</f>
        <v>0</v>
      </c>
      <c r="CD87" s="393"/>
      <c r="CE87" s="280" cm="1">
        <f t="array" ref="CE87">ROW()+MATCH(TRUE,_xlfn.ISFORMULA(INDEX(BW:BW,ROW()+1):INDEX(BW:BW,ROW()+MaxNumberOfRowsPerBlock)),0)-1</f>
        <v>91</v>
      </c>
      <c r="CF87" s="394" cm="1">
        <f t="array" ref="CF87">IF(CL87=0,-1,IF(CL87=1,7,MAX(IF($CL$1:$CL87=CL87-1,ROW($CL$1:$CL87),0))))</f>
        <v>49</v>
      </c>
      <c r="CG87" s="393">
        <f>IFERROR(MATCH($B87,BOM!$A:$A,0),0)</f>
        <v>9</v>
      </c>
      <c r="CH87" s="280">
        <f>MATCH($CA87,Premises!$A$10:$F$10,0)</f>
        <v>4</v>
      </c>
      <c r="CI87" s="280"/>
      <c r="CJ87" s="394"/>
      <c r="CK87" s="280"/>
      <c r="CL87" s="280" cm="1">
        <f t="array" ref="CL87">IF($CG87=0,0,INDEX(BOM!$C:$C,$CG87))</f>
        <v>4</v>
      </c>
      <c r="CM87" s="395" cm="1">
        <f t="array" ref="CM87">IF($CG87=0,0,IF(OR($CF87&lt;0,AND(INDEX($CB:$CB,$CF87)=$CB87,INDEX($CC:$CC,$CF87)=$CC87)),0,IF(INDEX(BOM!$P:$P,$CG87)=0,$BT87,(SUMIF($CA87:INDEX($CA:$CA,IFERROR(ROW()+MATCH($CL87,INDEX($CL:$CL,ROW()+1):INDEX($CL:$CL,MAX($CE:$CE)),0)-1,MAX($CE:$CE))),$CA87,$BT87:INDEX($BT:$BT,IFERROR(ROW()+MATCH($CL87,INDEX($CL:$CL,ROW()+1):INDEX($CL:$CL,MAX($CE:$CE)),0)-1,MAX($CE:$CE))))+SUMIF($CB87:INDEX($CB:$CB,IFERROR(ROW()+MATCH($CL87,INDEX($CL:$CL,ROW()+1):INDEX($CL:$CL,MAX($CE:$CE)),0)-1,MAX($CE:$CE))),$CA87,$BT87:INDEX($BT:$BT,IFERROR(ROW()+MATCH($CL87,INDEX($CL:$CL,ROW()+1):INDEX($CL:$CL,MAX($CE:$CE)),0)-1,MAX($CE:$CE)))))/2)))</f>
        <v>0</v>
      </c>
      <c r="CN87" s="396" cm="1">
        <f t="array" ref="CN87">IFERROR(IF($CB87=0,0,IF($CM87=0,INDEX($CN$1:$CN87,$CF87),INDEX(IF($CM87&lt;0.2,Premises!$A$43:$F$43,IF($CM87&lt;5,Premises!$A$46:$F$46,Premises!$A$49:$F$49)),MATCH($CB87,Premises!$A$10:$F$10,0))/($CM87*INDEX(Premises!$A$13:$F$13,MATCH($CB87,Premises!$A$10:$F$10,0)))+INDEX(IF($CM87&lt;0.2,Premises!$A$44:$F$44,IF($CM87&lt;5,Premises!$A$47:$F$47,Premises!$A$50:$F$50)),MATCH($CB87,Premises!$A$10:$F$10,0))+INDEX(IF($CM87&lt;0.2,Premises!$A$45:$F$45,IF($CM87&lt;5,Premises!$A$48:$F$48,Premises!$A$51:$F$51)),MATCH($CB87,Premises!$A$10:$F$10,0))/$CM87)),0.01)</f>
        <v>0</v>
      </c>
      <c r="CO87" s="395" cm="1">
        <f t="array" ref="CO87">IF($CG87=0,0,IF(INDEX($CC:$CC,$CF87)=$CC87,0,$CM87*(1+IFERROR(INDEX(Premises!$A$52:$F$52,1,MATCH($CB87,Premises!$A$10:$F$10,0)),0)+$CN87)))</f>
        <v>0</v>
      </c>
      <c r="CP87" s="396" cm="1">
        <f t="array" ref="CP87">IFERROR(IF($CC87=0,0,IF($CO87=0,INDEX($CP$1:$CP87,$CF87),INDEX(IF($CO87&lt;0.2,Premises!$A$43:$F$43,IF($CO87&lt;5,Premises!$A$46:$F$46,Premises!$A$49:$F$49)),MATCH($CC87,Premises!$A$10:$F$10,0))/($CO87*INDEX(Premises!$A$13:$F$13,MATCH($CC87,Premises!$A$10:$F$10,0)))+INDEX(IF($CO87&lt;0.2,Premises!$A$44:$F$44,IF($CO87&lt;5,Premises!$A$47:$F$47,Premises!$A$50:$F$50)),MATCH($CC87,Premises!$A$10:$F$10,0))+INDEX(IF($CO87&lt;0.2,Premises!$A$45:$F$45,IF($CO87&lt;5,Premises!$A$48:$F$48,Premises!$A$51:$F$51)),MATCH($CC87,Premises!$A$10:$F$10,0))/$CO87)),0.01)</f>
        <v>0</v>
      </c>
      <c r="CQ87" s="397" cm="1">
        <f t="array" ref="CQ87">IF(AND($CM87=0,$CO87=0),0,INDEX(BOM!$O:$O,$CG87))</f>
        <v>0</v>
      </c>
      <c r="CR87" s="398" cm="1">
        <f t="array" ref="CR87">IF(OR($CM87=0,$CN87=0),0,ACOS(COS(RADIANS(90-INDEX(Premises!$A$66:$F$66,1,$CH87)))*COS(RADIANS(90-INDEX(Premises!$A$66:$F$66,1,MATCH($CB87,Premises!$A$10:$F$10,0))))
+SIN(RADIANS(90-INDEX(Premises!$A$66:$F$66,1,$CH87)))*SIN(RADIANS(90-INDEX(Premises!$A$66:$F$66,1,MATCH($CB87,Premises!$A$10:$F$10,0)))) * COS(RADIANS(INDEX(Premises!$A$67:$F$67,1,$CH87)-INDEX(Premises!$A$67:$F$67,1,MATCH($CB87,Premises!$A$10:$F$10,0)))))*6371)</f>
        <v>0</v>
      </c>
      <c r="CS87" s="398" cm="1">
        <f t="array" ref="CS87">IF(OR($CO87=0,$CP87=0),0,
IF($CR87=0,ACOS(COS(RADIANS(90-INDEX(Premises!$A$66:$F$66,1,$CH87)))*COS(RADIANS(90-INDEX(Premises!$A$66:$F$66,1,MATCH($CC87,Premises!$A$10:$F$10,0))))
+SIN(RADIANS(90-INDEX(Premises!$A$66:$F$66,1,$CH87)))*SIN(RADIANS(90-INDEX(Premises!$A$66:$F$66,1,MATCH($CC87,Premises!$A$10:$F$10,0))))*COS(RADIANS(INDEX(Premises!$A$67:$F$67,1,$CH87)-INDEX(Premises!$A$67:$F$67,1,MATCH($CC87,Premises!$A$10:$F$10,0)))))*6371,
ACOS(COS(RADIANS(90-INDEX(Premises!$A$66:$F$66,1,MATCH($CB87,Premises!$A$10:$F$10,0))))*COS(RADIANS(90-INDEX(Premises!$A$66:$F$66,1,MATCH($CC87,Premises!$A$10:$F$10,0))))
+SIN(RADIANS(90-INDEX(Premises!$A$66:$F$66,1,MATCH($CB87,Premises!$A$10:$F$10,0))))*SIN(RADIANS(90-INDEX(Premises!$A$66:$F$66,1,MATCH($CC87,Premises!$A$10:$F$10,0))))*COS(RADIANS(INDEX(Premises!$A$67:$F$67,1,MATCH($CB87,Premises!$A$10:$F$10,0))-INDEX(Premises!$A$67:$F$67,1,MATCH($CC87,Premises!$A$10:$F$10,0)))))*6371))</f>
        <v>0</v>
      </c>
      <c r="CT87" s="969"/>
      <c r="CU87" s="2"/>
      <c r="CV87" s="399">
        <f>SUM(INDEX(CV:CV,ROW()+1):INDEX(CV:CV,$CE87))</f>
        <v>7.1861180987433868E-3</v>
      </c>
      <c r="CW87" s="400">
        <f>SUM(INDEX(CW:CW,ROW()+1):INDEX(CW:CW,$CE87))</f>
        <v>3.0473929850934577E-3</v>
      </c>
      <c r="CX87" s="400">
        <f>SUM(INDEX(CX:CX,ROW()+1):INDEX(CX:CX,$CE87))</f>
        <v>2.5479375000000007E-3</v>
      </c>
      <c r="CY87" s="400">
        <f>SUM(INDEX(CY:CY,ROW()+1):INDEX(CY:CY,$CE87))</f>
        <v>0</v>
      </c>
      <c r="CZ87" s="400">
        <f>SUM(INDEX(CZ:CZ,ROW()+1):INDEX(CZ:CZ,$CE87))</f>
        <v>0</v>
      </c>
      <c r="DA87" s="400">
        <f>SUM(INDEX(DA:DA,ROW()+1):INDEX(DA:DA,$CE87))</f>
        <v>9.7340555987433867E-5</v>
      </c>
      <c r="DB87" s="400">
        <f>SUM(INDEX(DB:DB,ROW()+1):INDEX(DB:DB,$CE87))</f>
        <v>4.417351378804172E-3</v>
      </c>
      <c r="DC87" s="400">
        <f>SUM(INDEX(DC:DC,ROW()+1):INDEX(DC:DC,$CE87))</f>
        <v>1.7296140518628451E-2</v>
      </c>
      <c r="DD87" s="400">
        <f>SUM(INDEX(DD:DD,ROW()+1):INDEX(DD:DD,$CE87))</f>
        <v>2.0434999999999998E-2</v>
      </c>
      <c r="DE87" s="400">
        <f>SUM(INDEX(DE:DE,ROW()+1):INDEX(DE:DE,$CE87))</f>
        <v>2.0434999999999998E-4</v>
      </c>
      <c r="DF87" s="400">
        <f>SUM(INDEX(DF:DF,ROW()+1):INDEX(DF:DF,$CE87))</f>
        <v>5.755847514839629E-3</v>
      </c>
      <c r="DG87" s="400">
        <f>SUM(INDEX(DG:DG,ROW()+1):INDEX(DG:DG,$CE87))</f>
        <v>2.6395197514839625E-2</v>
      </c>
      <c r="DH87" s="400">
        <f>SUM(INDEX(DH:DH,ROW()+1):INDEX(DH:DH,$CE87))</f>
        <v>4.3691338033468072E-2</v>
      </c>
      <c r="DI87" s="400">
        <f>SUM(INDEX(DI:DI,ROW()+1):INDEX(DI:DI,$CE87))</f>
        <v>0</v>
      </c>
      <c r="DJ87" s="400">
        <f>SUM(INDEX(DJ:DJ,ROW()+1):INDEX(DJ:DJ,$CE87))</f>
        <v>0</v>
      </c>
      <c r="DK87" s="400">
        <f>SUM(INDEX(DK:DK,ROW()+1):INDEX(DK:DK,$CE87))</f>
        <v>5.4492496846850801E-3</v>
      </c>
      <c r="DL87" s="400">
        <f>SUM(INDEX(DL:DL,ROW()+1):INDEX(DL:DL,$CE87))</f>
        <v>0</v>
      </c>
      <c r="DM87" s="400">
        <f>SUM(INDEX(DM:DM,ROW()+1):INDEX(DM:DM,$CE87))</f>
        <v>0</v>
      </c>
      <c r="DN87" s="400">
        <f>SUM(INDEX(DN:DN,ROW()+1):INDEX(DN:DN,$CE87))</f>
        <v>2.258027997758461E-3</v>
      </c>
      <c r="DO87" s="400">
        <f>SUM(INDEX(DO:DO,ROW()+1):INDEX(DO:DO,$CE87))</f>
        <v>0</v>
      </c>
      <c r="DP87" s="400">
        <f>SUM(INDEX(DP:DP,ROW()+1):INDEX(DP:DP,$CE87))</f>
        <v>5.1398615715911616E-2</v>
      </c>
      <c r="DQ87" s="400">
        <f>SUM(INDEX(DQ:DQ,ROW()+1):INDEX(DQ:DQ,$CE87))</f>
        <v>0</v>
      </c>
      <c r="DR87" s="400">
        <f>SUM(INDEX(DR:DR,ROW()+1):INDEX(DR:DR,$CE87))</f>
        <v>0</v>
      </c>
      <c r="DS87" s="400">
        <f>SUM(INDEX(DS:DS,ROW()+1):INDEX(DS:DS,$CE87))</f>
        <v>0</v>
      </c>
      <c r="DT87" s="400">
        <f>SUM(INDEX(DT:DT,ROW()+1):INDEX(DT:DT,$CE87))</f>
        <v>0</v>
      </c>
      <c r="DU87" s="400">
        <f>SUM(INDEX(DU:DU,ROW()+1):INDEX(DU:DU,$CE87))</f>
        <v>0</v>
      </c>
      <c r="DV87" s="400">
        <f>SUM(INDEX(DV:DV,ROW()+1):INDEX(DV:DV,$CE87))</f>
        <v>5.1398615715911616E-2</v>
      </c>
      <c r="DW87" s="400">
        <f>SUM(INDEX(DW:DW,ROW()+1):INDEX(DW:DW,$CE87))</f>
        <v>0</v>
      </c>
      <c r="DX87" s="400">
        <f>SUM(INDEX(DX:DX,ROW()+1):INDEX(DX:DX,$CE87))</f>
        <v>0</v>
      </c>
      <c r="DY87" s="400">
        <f>SUM(INDEX(DY:DY,ROW()+1):INDEX(DY:DY,$CE87))</f>
        <v>0</v>
      </c>
      <c r="DZ87" s="400">
        <f>SUM(INDEX(DZ:DZ,ROW()+1):INDEX(DZ:DZ,$CE87))</f>
        <v>0</v>
      </c>
      <c r="EA87" s="400">
        <f>SUM(INDEX(EA:EA,ROW()+1):INDEX(EA:EA,$CE87))</f>
        <v>0</v>
      </c>
      <c r="EB87" s="401">
        <f>SUM(INDEX(EB:EB,ROW()+1):INDEX(EB:EB,$CE87))</f>
        <v>5.1398615715911616E-2</v>
      </c>
      <c r="EC87" s="805"/>
      <c r="ED87" s="399"/>
      <c r="EE87" s="400"/>
      <c r="EF87" s="1112"/>
      <c r="EG87" s="1112"/>
      <c r="EH87" s="1112"/>
      <c r="EI87" s="1112"/>
      <c r="EJ87" s="1112"/>
      <c r="EK87" s="1112"/>
      <c r="EL87" s="1112"/>
      <c r="EM87" s="1112"/>
      <c r="EN87" s="1112"/>
      <c r="EO87" s="1112"/>
      <c r="EP87" s="1112"/>
      <c r="EQ87" s="1112"/>
      <c r="ER87" s="1112"/>
      <c r="ES87" s="1112"/>
      <c r="ET87" s="1112"/>
      <c r="EU87" s="1112"/>
      <c r="EV87" s="1112"/>
      <c r="EW87" s="1112"/>
      <c r="EX87" s="1113"/>
      <c r="EY87" s="2"/>
      <c r="EZ87" s="2"/>
      <c r="FA87" s="2"/>
      <c r="FB87" s="2"/>
      <c r="FC87" s="2"/>
      <c r="FD87" s="2"/>
      <c r="FE87" s="2"/>
      <c r="FF87" s="2"/>
      <c r="FG87" s="2"/>
      <c r="FH87" s="2"/>
      <c r="FI87" s="2"/>
      <c r="FJ87" s="399"/>
      <c r="FK87" s="400"/>
      <c r="FL87" s="401"/>
      <c r="FM87" s="969"/>
    </row>
    <row r="88" spans="1:169" s="13" customFormat="1" ht="12.75" customHeight="1">
      <c r="A88" s="221"/>
      <c r="B88" s="402" t="s">
        <v>34</v>
      </c>
      <c r="C88" s="403"/>
      <c r="D88" s="646"/>
      <c r="E88" s="404"/>
      <c r="F88" s="405"/>
      <c r="G88" s="405"/>
      <c r="H88" s="405"/>
      <c r="I88" s="637" cm="1">
        <f t="array" ref="I88">IF($CI88=0,0,IFERROR(INDEX(MHR[],$CI88,MATCH($CA88,MHR!$B$4:$AY$4,0)),0))</f>
        <v>0</v>
      </c>
      <c r="J88" s="634">
        <f>IF(COUNTBLANK($E88:$H88),0,IFERROR($F88/$H88/IF($G88="s",3600,IF($G88="min",60,IF($G88="h",1,0)))*I88,0))</f>
        <v>0</v>
      </c>
      <c r="K88" s="406"/>
      <c r="L88" s="407"/>
      <c r="M88" s="871"/>
      <c r="N88" s="407"/>
      <c r="O88" s="405"/>
      <c r="P88" s="645" cm="1">
        <f t="array" ref="P88">IF($K88=0,0,IFERROR(ROUNDUP(IF(ISNUMBER($K88),$K88,INDEX($D$1:$D88,$CD88)*INDEX(Premises!$A$13:$F$13,1,$CH88)/IF(OR($K88="T",$K88="D"),250,IF($K88="W",50,IF($K88="M",12,IF(OR($K88="HJ",$K88="HY"),2,IF(OR($K88="J",$K88="Y"),1,0)))))),0),0))</f>
        <v>0</v>
      </c>
      <c r="Q88" s="637" cm="1">
        <f t="array" ref="Q88">IF($K88=0,0,IFERROR(INDEX(Premises!$A$22:$F$22,1,$CH88)*100/INDEX(Premises!$A$16:$F$16,1,$CH88),0))</f>
        <v>0</v>
      </c>
      <c r="R88" s="634">
        <f>IF($P88=0,0,IFERROR(($L88/60*($I88+$Q88*$M88)+($N88/60*($Q88*$O88)))/$P88,0))</f>
        <v>0</v>
      </c>
      <c r="S88" s="408"/>
      <c r="T88" s="409"/>
      <c r="U88" s="637" cm="1">
        <f t="array" ref="U88">IF(COUNTBLANK($S88:$T88),0,
IF(AND(INDEX(MHR[Schichtmodell],$CI88)&lt;&gt;0,INDEX(MHR[Schichtmodell],$CI88)&lt;&gt;INDEX(Premises!$A$20:$F$20,1,$CH88)),ExchangeRate*
IF(OR($T88="M",$T88="U"),IF(INDEX(MHR[Schichtmodell],$CI88)=1,INDEX(LOC[M1S],INDEX(Premises!$A$18:$F$18,1,$CH88+1)),IF(INDEX(MHR[Schichtmodell],$CI88)=2,INDEX(LOC[M2S],INDEX(Premises!$A$18:$F$18,1,$CH88+1),IF(INDEX(MHR[Schichtmodell],$CI88)=3,INDEX(LOC[M3S],INDEX(Premises!$A$18:$F$18,1,$CH88+1)),0)))),
IF(INDEX(MHR[Schichtmodell],$CI88)=1,INDEX(LOC[F1S],INDEX(Premises!$A$18:$F$18,1,$CH88+1)),IF(INDEX(MHR[Schichtmodell],$CI88)=2,INDEX(LOC[F2S],INDEX(Premises!$A$18:$F$18,1,$CH88+1)),IF(INDEX(MHR[Schichtmodell],$CI88)=3,INDEX(LOC[F3S],INDEX(Premises!$A$18:$F$18,1,$CH88+1)),0)))),
IF(OR($T88="M",$T88="U"),INDEX(Premises!$A$21:$F$21,1,$CH88),
IF(OR($T88="F",$T88="S"),INDEX(Premises!$A$22:$F$22,1,$CH88),0)))*100/INDEX(Premises!$A$16:$F$16,1,$CH88))</f>
        <v>0</v>
      </c>
      <c r="V88" s="631">
        <f>IF($U88=0,0,IFERROR($F88/$H88/IF($G88="s",3600,IF($G88="min",60,IF($G88="h",1,0)))*$S88*$U88,0))</f>
        <v>0</v>
      </c>
      <c r="W88" s="410"/>
      <c r="X88" s="403"/>
      <c r="Y88" s="411"/>
      <c r="Z88" s="412"/>
      <c r="AA88" s="628">
        <f>IFERROR($X88*$Z88/$Y88/MAX(1,$H88),0)</f>
        <v>0</v>
      </c>
      <c r="AB88" s="410"/>
      <c r="AC88" s="403"/>
      <c r="AD88" s="411"/>
      <c r="AE88" s="413"/>
      <c r="AF88" s="628">
        <f>IFERROR($AC88*$AE88/$AD88,0)</f>
        <v>0</v>
      </c>
      <c r="AG88" s="629" cm="1">
        <f t="array" ref="AG88">IF(($J88+$V88+$AF88)=0,0,INDEX(Premises!$A$30:$F$30,1,$CH88)/100)</f>
        <v>0</v>
      </c>
      <c r="AH88" s="414"/>
      <c r="AI88" s="415"/>
      <c r="AJ88" s="416"/>
      <c r="AK88" s="630">
        <f>IF(COUNTBLANK($AH88:$AI88),0,$AH88*$AI88*$AG88)</f>
        <v>0</v>
      </c>
      <c r="AL88" s="631">
        <f>($AK88+$AJ88*$AG88*(1-$AH88)+($J88+$V88+$AF88)*$AG88*(1-$AH88))</f>
        <v>0</v>
      </c>
      <c r="AM88" s="632" cm="1">
        <f t="array" ref="AM88">IF($CI88=0,0,IFERROR(INDEX(MHR[],$CI88,MATCH($CA88,MHR!$B$4:$AY$4,0)+11),0))</f>
        <v>0</v>
      </c>
      <c r="AN88" s="633" cm="1">
        <f t="array" ref="AN88">IF(($J88+$V88)=0,0,IFERROR(IF(INDEX(Premises!$A$41:$F$41,1,$CH88)&lt;&gt;0,INDEX(Premises!$A$41:$F$41,1,$CH88)/100,(IFERROR(($J88/$I88)*$AM88,0)/($V88+$J88+$R88+$AL88))),0))</f>
        <v>0</v>
      </c>
      <c r="AO88" s="634">
        <f>IF(($J88+$V88)=0,0,IF(IFERROR(($J88+$R88+$V88+$AL88)*$AN88,0)&lt;&gt;IFERROR(($J88/$I88)*$AM88,0),($J88+$R88+$V88+$AL88)*$AN88,IFERROR(($J88/$I88)*$AM88,0)))</f>
        <v>0</v>
      </c>
      <c r="AP88" s="635">
        <f>$V88+$J88+$R88+$AA88+$AF88+$AL88+$AO88</f>
        <v>0</v>
      </c>
      <c r="AQ88" s="410" t="s">
        <v>4318</v>
      </c>
      <c r="AR88" s="409">
        <f>BOM!G9</f>
        <v>6.7000000000000002E-3</v>
      </c>
      <c r="AS88" s="636" t="str" cm="1">
        <f t="array" ref="AS88">IF($CJ88=0,0,IFERROR(INDEX(MAT[Einheit],$CJ88,1),0))</f>
        <v>kg</v>
      </c>
      <c r="AT88" s="637" cm="1">
        <f t="array" ref="AT88">IF($CJ88=0,0,IFERROR(INDEX(MAT[Preis],$CJ88,1),0))</f>
        <v>3.05</v>
      </c>
      <c r="AU88" s="638">
        <f>$AR88*$AT88</f>
        <v>2.0434999999999998E-2</v>
      </c>
      <c r="AV88" s="639" cm="1">
        <f t="array" ref="AV88">IF($AU88&lt;=0,0,INDEX(Premises!$A$30:$F$30,1,$CH88)/100)</f>
        <v>0.01</v>
      </c>
      <c r="AW88" s="409"/>
      <c r="AX88" s="631">
        <f>IF($AV88=0,0,($AU88+$AW88)*$AV88)</f>
        <v>2.0434999999999998E-4</v>
      </c>
      <c r="AY88" s="640" cm="1">
        <f t="array" ref="AY88">IF($AT88&lt;=0,0,IFERROR(IF(INDEX(Premises!$A$42:$F$42,1,$CH88)&lt;&gt;0,INDEX(Premises!$A$42:$F$42,1,$CH88)/100,(INDEX(MAT[],$CJ88,MATCH($CA88,MAT!$B$4:$AE$4,0))/($AR88*$CK88*INDEX(Premises!$A$13:$F$13,1,$CH88))+INDEX(MAT[],$CJ88,MATCH($CA88,MAT!$B$4:$AE$4,0)+7))/$AT88),0))</f>
        <v>0.27887736362044491</v>
      </c>
      <c r="AZ88" s="631">
        <f>IF($AY88=0,0,($AU88+$AX88)*$AY88)</f>
        <v>5.755847514839629E-3</v>
      </c>
      <c r="BA88" s="635">
        <f>$AU88+$AX88+$AZ88</f>
        <v>2.6395197514839625E-2</v>
      </c>
      <c r="BB88" s="635">
        <f>$AP88+$BA88</f>
        <v>2.6395197514839625E-2</v>
      </c>
      <c r="BC88" s="639" cm="1">
        <f t="array" ref="BC88">IF($BB88&lt;=0,0,IF(BC$2=-1,0,INDEX(Premises!$A$32:$F$32,1,$CH88)/100))</f>
        <v>0</v>
      </c>
      <c r="BD88" s="631">
        <f>IF($AP88&lt;=0,0,($AP88-$AA88-$AL88)*$BC88)</f>
        <v>0</v>
      </c>
      <c r="BE88" s="639" cm="1">
        <f t="array" ref="BE88">IF($BB88&lt;=0,0,IF(BE$2=-1,0,INDEX(Premises!$A$33:$F$33,1,$CH88)/100))</f>
        <v>0</v>
      </c>
      <c r="BF88" s="631">
        <f>IF($BA88&lt;=0,0,$BA88*$BE88)</f>
        <v>0</v>
      </c>
      <c r="BG88" s="639" cm="1">
        <f t="array" ref="BG88">IF($BB88&lt;=0,0,IF(BG$2=-1,0,INDEX(Premises!$A$31:$F$31,1,$CH88)/100))</f>
        <v>0.125</v>
      </c>
      <c r="BH88" s="631">
        <f>(($AP88-$AA88-$AL88)+$BA88)*$BG88</f>
        <v>3.2993996893549531E-3</v>
      </c>
      <c r="BI88" s="635">
        <f>$BB88+$BD88+$BF88+$BH88</f>
        <v>2.9694597204194578E-2</v>
      </c>
      <c r="BJ88" s="639" cm="1">
        <f t="array" ref="BJ88">IF($BB88&lt;=0,0,IF(BJ$2=-1,0,INDEX(Premises!$A$35:$F$35,1,$CH88)/100))</f>
        <v>0</v>
      </c>
      <c r="BK88" s="631">
        <f>IF($AP88&lt;=0,0,($AP88-$AL88-$AA88)*$BJ88)</f>
        <v>0</v>
      </c>
      <c r="BL88" s="639" cm="1">
        <f t="array" ref="BL88">IF($BB88&lt;=0,0,IF(BL$2=-1,0,INDEX(Premises!$A$36:$F$36,1,$CH88)/100))</f>
        <v>0</v>
      </c>
      <c r="BM88" s="631">
        <f>IF($AU88&lt;=0,0,($AR88*$AT88)*$BL88)</f>
        <v>0</v>
      </c>
      <c r="BN88" s="639" cm="1">
        <f t="array" ref="BN88">IF($BB88&lt;=0,0,IF(BN$2=-1,0,INDEX(Premises!$A$34:$F$34,1,$CH88)/100))</f>
        <v>0.06</v>
      </c>
      <c r="BO88" s="631">
        <f>(($AP88-$AL88-$AA88)+($AR88*$AT88))*$BN88</f>
        <v>1.2260999999999999E-3</v>
      </c>
      <c r="BP88" s="639" cm="1">
        <f t="array" ref="BP88">IF($BI88=0,0,INDEX(Premises!$A$37:$F$37,1,$CH88)/100)</f>
        <v>0</v>
      </c>
      <c r="BQ88" s="409"/>
      <c r="BR88" s="631">
        <f>($BI88+$BK88+$BM88+$BO88)*$BP88+$BQ88</f>
        <v>0</v>
      </c>
      <c r="BS88" s="641">
        <f>BI88+BK88+BM88+BO88+BR88</f>
        <v>3.0920697204194578E-2</v>
      </c>
      <c r="BT88" s="641">
        <f>IF($BS88=0,0,$CK88*$BS88)</f>
        <v>3.0920697204194578E-2</v>
      </c>
      <c r="BU88" s="642">
        <f>IF($BT88=0,0,MAX(1,$EB88/$DP88))</f>
        <v>1</v>
      </c>
      <c r="BV88" s="417"/>
      <c r="BW88" s="418"/>
      <c r="BX88" s="418"/>
      <c r="BY88" s="419"/>
      <c r="BZ88" s="968"/>
      <c r="CA88" s="280" cm="1">
        <f t="array" ref="CA88">IF($BZ88&gt;0,VALUE(LEFT($BZ88,IF(ISERROR(FIND("-",$BZ88)),LEN($BZ88),FIND("-",$BZ88)-1))),INDEX($CA$1:$CA88,MAX(1,$CD88)))</f>
        <v>1</v>
      </c>
      <c r="CB88" s="280" cm="1">
        <f t="array" ref="CB88">IF($BT88=0,0,IF(LEN($BZ88)-LEN(SUBSTITUTE($BZ88,"-",""))&gt;1,
VALUE(MID($BZ88,FIND("-",$BZ88)+1,FIND("-",$BZ88,FIND("-",$BZ88)+1)-FIND("-",$BZ88)-1)),IF($BZ88&gt;0,0,INDEX($CB$1:$CB88,MAX(1,$CD88)))))</f>
        <v>0</v>
      </c>
      <c r="CC88" s="280" cm="1">
        <f t="array" ref="CC88">IF($BT88=0,0,IF(NOT(ISERROR(FIND("-",BZ88))),
VALUE(RIGHT($BZ88,LEN($BZ88)-IF(LEN($BZ88)-LEN(SUBSTITUTE($BZ88,"-",""))=1,FIND("-",$BZ88),FIND("-",$BZ88,FIND("-",$BZ88)+1)))),
IF($BZ88&gt;0,0,INDEX($CC$1:$CC88,MAX(1,$CD88)))))</f>
        <v>0</v>
      </c>
      <c r="CD88" s="393">
        <f>MATCH(0,$CE$1:$CE88,-1)</f>
        <v>87</v>
      </c>
      <c r="CE88" s="280"/>
      <c r="CF88" s="394"/>
      <c r="CG88" s="393" cm="1">
        <f t="array" ref="CG88">INDEX($CG$1:$CG88,$CD88)</f>
        <v>9</v>
      </c>
      <c r="CH88" s="280">
        <f>MATCH($CA88,Premises!$A$10:$F$10,0)</f>
        <v>4</v>
      </c>
      <c r="CI88" s="280">
        <f>IF(ISBLANK($E88),0,IFERROR(MATCH($E88,MHR[Bezeichnung],0),0))</f>
        <v>0</v>
      </c>
      <c r="CJ88" s="394">
        <f>IF(ISBLANK($AQ88),0,IFERROR(MATCH($AQ88,MAT[Bezeichnung],0),0))</f>
        <v>15</v>
      </c>
      <c r="CK88" s="280" cm="1">
        <f t="array" ref="CK88">INDEX($D$1:$D88,$CD88)</f>
        <v>1</v>
      </c>
      <c r="CL88" s="280"/>
      <c r="CM88" s="395"/>
      <c r="CN88" s="396" cm="1">
        <f t="array" ref="CN88">IF($CB88=0,0,IF($CB88=INDEX($CB$1:$CB88,$CD88),INDEX($CN$1:$CN88,$CD88),$CP88))</f>
        <v>0</v>
      </c>
      <c r="CO88" s="395"/>
      <c r="CP88" s="396" cm="1">
        <f t="array" ref="CP88">IF($CC88=0,0,INDEX($CP$1:$CP88,$CD88))</f>
        <v>0</v>
      </c>
      <c r="CQ88" s="397"/>
      <c r="CR88" s="398"/>
      <c r="CS88" s="398"/>
      <c r="CT88" s="970"/>
      <c r="CU88" s="2"/>
      <c r="CV88" s="647">
        <f>$J88*$CK88</f>
        <v>0</v>
      </c>
      <c r="CW88" s="648">
        <f>$R88*$CK88</f>
        <v>0</v>
      </c>
      <c r="CX88" s="648">
        <f>$V88*$CK88</f>
        <v>0</v>
      </c>
      <c r="CY88" s="648">
        <f>$AA88*$CK88</f>
        <v>0</v>
      </c>
      <c r="CZ88" s="648">
        <f>$AF88*$CK88</f>
        <v>0</v>
      </c>
      <c r="DA88" s="648">
        <f>$AL88*$CK88</f>
        <v>0</v>
      </c>
      <c r="DB88" s="648">
        <f>$AO88*$CK88</f>
        <v>0</v>
      </c>
      <c r="DC88" s="649">
        <f>$AP88*$CK88</f>
        <v>0</v>
      </c>
      <c r="DD88" s="648">
        <f>$AU88*$CK88</f>
        <v>2.0434999999999998E-2</v>
      </c>
      <c r="DE88" s="648">
        <f>$AX88*$CK88</f>
        <v>2.0434999999999998E-4</v>
      </c>
      <c r="DF88" s="648">
        <f>$AZ88*$CK88</f>
        <v>5.755847514839629E-3</v>
      </c>
      <c r="DG88" s="649">
        <f>$BA88*$CK88</f>
        <v>2.6395197514839625E-2</v>
      </c>
      <c r="DH88" s="649">
        <f>$BB88*$CK88</f>
        <v>2.6395197514839625E-2</v>
      </c>
      <c r="DI88" s="648">
        <f>$BD88*$CK88</f>
        <v>0</v>
      </c>
      <c r="DJ88" s="648">
        <f>$BF88*$CK88</f>
        <v>0</v>
      </c>
      <c r="DK88" s="648">
        <f>$BH88*$CK88</f>
        <v>3.2993996893549531E-3</v>
      </c>
      <c r="DL88" s="648">
        <f>$BK88*$CK88</f>
        <v>0</v>
      </c>
      <c r="DM88" s="648">
        <f>$BM88*$CK88</f>
        <v>0</v>
      </c>
      <c r="DN88" s="648">
        <f>$BO88*$CK88</f>
        <v>1.2260999999999999E-3</v>
      </c>
      <c r="DO88" s="648">
        <f>$BR88*$CK88</f>
        <v>0</v>
      </c>
      <c r="DP88" s="651">
        <f>$CK88*($BB88+$BD88+$BF88+$BH88+$BK88+$BM88+$BO88+$BR88)</f>
        <v>3.0920697204194578E-2</v>
      </c>
      <c r="DQ88" s="951">
        <f>IF($CB88=0,0,$DP88*_xlfn.XLOOKUP($CB88,Premises!$A$10:$F$10,Premises!$A$30:$F$30)/100)</f>
        <v>0</v>
      </c>
      <c r="DR88" s="650">
        <f>IFERROR(SUM($DP88:$DQ88)*IF(INDEX(Premises!$A$42:$F$42,1,MATCH($CB88,Premises!$A$10:$F$10,0))&gt;0,INDEX(Premises!$A$42:$F$42,1,MATCH($CB88,Premises!$A$10:$F$10,0))%,$CN88),0)</f>
        <v>0</v>
      </c>
      <c r="DS88" s="650" cm="1">
        <f t="array" ref="DS88">IF($CB88=0,0,SUM($DP88:$DR88)*_xlfn.XLOOKUP($CB88,Premises!$A$10:$F$10,IF(INDEX(Settings[],MATCH(3001,Settings[ID],0),2)="B",Premises!$A$33:$F$33,Premises!$A$31:$F$31))/100)</f>
        <v>0</v>
      </c>
      <c r="DT88" s="650" cm="1">
        <f t="array" ref="DT88">IF($CB88=0,0,$DP88*_xlfn.XLOOKUP($CB88,Premises!$A$10:$F$10,IF(INDEX(Settings[],MATCH(3002,Settings[ID],0),2)="B",Premises!$A$36:$F$36,Premises!$A$34:$F$34))/100)</f>
        <v>0</v>
      </c>
      <c r="DU88" s="650">
        <f>IF($CB88=0,0,SUM($DP88:$DT88)*_xlfn.XLOOKUP($CB88,Premises!$A$10:$F$10,Premises!$A$37:$F$37)/100)</f>
        <v>0</v>
      </c>
      <c r="DV88" s="954">
        <f>SUM($DP88:$DU88)</f>
        <v>3.0920697204194578E-2</v>
      </c>
      <c r="DW88" s="951">
        <f>IF($CC88=0,0,$DV88*_xlfn.XLOOKUP($CC88,Premises!$A$10:$F$10,Premises!$A$30:$F$30)/100)</f>
        <v>0</v>
      </c>
      <c r="DX88" s="650">
        <f>IFERROR(SUM($DV88:$DW88)*IF(INDEX(Premises!$A$42:$F$42,1,MATCH($CC88,Premises!$A$10:$F$10,0))&gt;0,INDEX(Premises!$A$42:$F$42,1,MATCH($CC88,Premises!$A$10:$F$10,0))%,$CP88),0)</f>
        <v>0</v>
      </c>
      <c r="DY88" s="650" cm="1">
        <f t="array" ref="DY88">IF($CC88=0,0,SUM($DV88:$DX88)*_xlfn.XLOOKUP($CC88,Premises!$A$10:$F$10,IF(INDEX(Settings[],MATCH(3001,Settings[ID],0),2)="B",Premises!$A$33:$F$33,Premises!$A$31:$F$31))/100)</f>
        <v>0</v>
      </c>
      <c r="DZ88" s="650" cm="1">
        <f t="array" ref="DZ88">IF($CC88=0,0,$DV88*_xlfn.XLOOKUP($CC88,Premises!$A$10:$F$10,IF(INDEX(Settings[],MATCH(3002,Settings[ID],0),2)="B",Premises!$A$36:$F$36,Premises!$A$34:$F$34))/100)</f>
        <v>0</v>
      </c>
      <c r="EA88" s="650">
        <f>IF($CC88=0,0,SUM($DV88:$DZ88)*_xlfn.XLOOKUP($CC88,Premises!$A$10:$F$10,Premises!$A$37:$F$37)/100)</f>
        <v>0</v>
      </c>
      <c r="EB88" s="651">
        <f>SUM($DV88:$EA88)</f>
        <v>3.0920697204194578E-2</v>
      </c>
      <c r="EC88" s="805"/>
      <c r="ED88" s="1104"/>
      <c r="EE88" s="650"/>
      <c r="EF88" s="1110"/>
      <c r="EG88" s="1108"/>
      <c r="EH88" s="1108"/>
      <c r="EI88" s="1108"/>
      <c r="EJ88" s="1108"/>
      <c r="EK88" s="1108"/>
      <c r="EL88" s="1108"/>
      <c r="EM88" s="1110"/>
      <c r="EN88" s="1108"/>
      <c r="EO88" s="1108"/>
      <c r="EP88" s="1108"/>
      <c r="EQ88" s="1108"/>
      <c r="ER88" s="1110"/>
      <c r="ES88" s="1108"/>
      <c r="ET88" s="1108"/>
      <c r="EU88" s="1108"/>
      <c r="EV88" s="1108"/>
      <c r="EW88" s="1108"/>
      <c r="EX88" s="1111"/>
      <c r="EY88" s="2"/>
      <c r="EZ88" s="2"/>
      <c r="FA88" s="2"/>
      <c r="FB88" s="2"/>
      <c r="FC88" s="2"/>
      <c r="FD88" s="2"/>
      <c r="FE88" s="2"/>
      <c r="FF88" s="2"/>
      <c r="FG88" s="2"/>
      <c r="FH88" s="2"/>
      <c r="FI88" s="2"/>
      <c r="FJ88" s="420"/>
      <c r="FK88" s="421"/>
      <c r="FL88" s="422"/>
      <c r="FM88" s="970"/>
    </row>
    <row r="89" spans="1:169" s="13" customFormat="1" ht="12.75" customHeight="1">
      <c r="A89" s="221"/>
      <c r="B89" s="402"/>
      <c r="C89" s="403"/>
      <c r="D89" s="646"/>
      <c r="E89" s="404"/>
      <c r="F89" s="405"/>
      <c r="G89" s="405"/>
      <c r="H89" s="405"/>
      <c r="I89" s="637" cm="1">
        <f t="array" ref="I89">IF($CI89=0,0,IFERROR(INDEX(MHR[],$CI89,MATCH($CA89,MHR!$B$4:$AY$4,0)),0))</f>
        <v>0</v>
      </c>
      <c r="J89" s="634">
        <f>IF(COUNTBLANK($E89:$H89),0,IFERROR($F89/$H89/IF($G89="s",3600,IF($G89="min",60,IF($G89="h",1,0)))*I89,0))</f>
        <v>0</v>
      </c>
      <c r="K89" s="406"/>
      <c r="L89" s="407"/>
      <c r="M89" s="871"/>
      <c r="N89" s="407"/>
      <c r="O89" s="405"/>
      <c r="P89" s="645" cm="1">
        <f t="array" ref="P89">IF($K89=0,0,IFERROR(ROUNDUP(IF(ISNUMBER($K89),$K89,INDEX($D$1:$D89,$CD89)*INDEX(Premises!$A$13:$F$13,1,$CH89)/IF(OR($K89="T",$K89="D"),250,IF($K89="W",50,IF($K89="M",12,IF(OR($K89="HJ",$K89="HY"),2,IF(OR($K89="J",$K89="Y"),1,0)))))),0),0))</f>
        <v>0</v>
      </c>
      <c r="Q89" s="637" cm="1">
        <f t="array" ref="Q89">IF($K89=0,0,IFERROR(INDEX(Premises!$A$22:$F$22,1,$CH89)*100/INDEX(Premises!$A$16:$F$16,1,$CH89),0))</f>
        <v>0</v>
      </c>
      <c r="R89" s="634">
        <f>IF($P89=0,0,IFERROR(($L89/60*($I89+$Q89*$M89)+($N89/60*($Q89*$O89)))/$P89,0))</f>
        <v>0</v>
      </c>
      <c r="S89" s="408"/>
      <c r="T89" s="409"/>
      <c r="U89" s="637" cm="1">
        <f t="array" ref="U89">IF(COUNTBLANK($S89:$T89),0,
IF(AND(INDEX(MHR[Schichtmodell],$CI89)&lt;&gt;0,INDEX(MHR[Schichtmodell],$CI89)&lt;&gt;INDEX(Premises!$A$20:$F$20,1,$CH89)),ExchangeRate*
IF(OR($T89="M",$T89="U"),IF(INDEX(MHR[Schichtmodell],$CI89)=1,INDEX(LOC[M1S],INDEX(Premises!$A$18:$F$18,1,$CH89+1)),IF(INDEX(MHR[Schichtmodell],$CI89)=2,INDEX(LOC[M2S],INDEX(Premises!$A$18:$F$18,1,$CH89+1),IF(INDEX(MHR[Schichtmodell],$CI89)=3,INDEX(LOC[M3S],INDEX(Premises!$A$18:$F$18,1,$CH89+1)),0)))),
IF(INDEX(MHR[Schichtmodell],$CI89)=1,INDEX(LOC[F1S],INDEX(Premises!$A$18:$F$18,1,$CH89+1)),IF(INDEX(MHR[Schichtmodell],$CI89)=2,INDEX(LOC[F2S],INDEX(Premises!$A$18:$F$18,1,$CH89+1)),IF(INDEX(MHR[Schichtmodell],$CI89)=3,INDEX(LOC[F3S],INDEX(Premises!$A$18:$F$18,1,$CH89+1)),0)))),
IF(OR($T89="M",$T89="U"),INDEX(Premises!$A$21:$F$21,1,$CH89),
IF(OR($T89="F",$T89="S"),INDEX(Premises!$A$22:$F$22,1,$CH89),0)))*100/INDEX(Premises!$A$16:$F$16,1,$CH89))</f>
        <v>0</v>
      </c>
      <c r="V89" s="631">
        <f>IF($U89=0,0,IFERROR($F89/$H89/IF($G89="s",3600,IF($G89="min",60,IF($G89="h",1,0)))*$S89*$U89,0))</f>
        <v>0</v>
      </c>
      <c r="W89" s="410"/>
      <c r="X89" s="403"/>
      <c r="Y89" s="411"/>
      <c r="Z89" s="412"/>
      <c r="AA89" s="628">
        <f>IFERROR($X89*$Z89/$Y89/MAX(1,$H89),0)</f>
        <v>0</v>
      </c>
      <c r="AB89" s="410"/>
      <c r="AC89" s="403"/>
      <c r="AD89" s="411"/>
      <c r="AE89" s="413"/>
      <c r="AF89" s="628">
        <f>IFERROR($AC89*$AE89/$AD89,0)</f>
        <v>0</v>
      </c>
      <c r="AG89" s="629" cm="1">
        <f t="array" ref="AG89">IF(($J89+$V89+$AF89)=0,0,INDEX(Premises!$A$30:$F$30,1,$CH89)/100)</f>
        <v>0</v>
      </c>
      <c r="AH89" s="414"/>
      <c r="AI89" s="415"/>
      <c r="AJ89" s="416"/>
      <c r="AK89" s="630">
        <f>IF(COUNTBLANK($AH89:$AI89),0,$AH89*$AI89*$AG89)</f>
        <v>0</v>
      </c>
      <c r="AL89" s="631">
        <f>($AK89+$AJ89*$AG89*(1-$AH89)+($J89+$V89+$AF89)*$AG89*(1-$AH89))</f>
        <v>0</v>
      </c>
      <c r="AM89" s="632" cm="1">
        <f t="array" ref="AM89">IF($CI89=0,0,IFERROR(INDEX(MHR[],$CI89,MATCH($CA89,MHR!$B$4:$AY$4,0)+11),0))</f>
        <v>0</v>
      </c>
      <c r="AN89" s="633" cm="1">
        <f t="array" ref="AN89">IF(($J89+$V89)=0,0,IFERROR(IF(INDEX(Premises!$A$41:$F$41,1,$CH89)&lt;&gt;0,INDEX(Premises!$A$41:$F$41,1,$CH89)/100,(IFERROR(($J89/$I89)*$AM89,0)/($V89+$J89+$R89+$AL89))),0))</f>
        <v>0</v>
      </c>
      <c r="AO89" s="634">
        <f>IF(($J89+$V89)=0,0,IF(IFERROR(($J89+$R89+$V89+$AL89)*$AN89,0)&lt;&gt;IFERROR(($J89/$I89)*$AM89,0),($J89+$R89+$V89+$AL89)*$AN89,IFERROR(($J89/$I89)*$AM89,0)))</f>
        <v>0</v>
      </c>
      <c r="AP89" s="635">
        <f>$V89+$J89+$R89+$AA89+$AF89+$AL89+$AO89</f>
        <v>0</v>
      </c>
      <c r="AQ89" s="410"/>
      <c r="AR89" s="409"/>
      <c r="AS89" s="636" cm="1">
        <f t="array" ref="AS89">IF($CJ89=0,0,IFERROR(INDEX(MAT[Einheit],$CJ89,1),0))</f>
        <v>0</v>
      </c>
      <c r="AT89" s="637" cm="1">
        <f t="array" ref="AT89">IF($CJ89=0,0,IFERROR(INDEX(MAT[Preis],$CJ89,1),0))</f>
        <v>0</v>
      </c>
      <c r="AU89" s="638">
        <f>$AR89*$AT89</f>
        <v>0</v>
      </c>
      <c r="AV89" s="639" cm="1">
        <f t="array" ref="AV89">IF($AU89&lt;=0,0,INDEX(Premises!$A$30:$F$30,1,$CH89)/100)</f>
        <v>0</v>
      </c>
      <c r="AW89" s="409"/>
      <c r="AX89" s="631">
        <f>IF($AV89=0,0,($AU89+$AW89)*$AV89)</f>
        <v>0</v>
      </c>
      <c r="AY89" s="640" cm="1">
        <f t="array" ref="AY89">IF($AT89&lt;=0,0,IFERROR(IF(INDEX(Premises!$A$42:$F$42,1,$CH89)&lt;&gt;0,INDEX(Premises!$A$42:$F$42,1,$CH89)/100,(INDEX(MAT[],$CJ89,MATCH($CA89,MAT!$B$4:$AE$4,0))/($AR89*$CK89*INDEX(Premises!$A$13:$F$13,1,$CH89))+INDEX(MAT[],$CJ89,MATCH($CA89,MAT!$B$4:$AE$4,0)+7))/$AT89),0))</f>
        <v>0</v>
      </c>
      <c r="AZ89" s="631">
        <f>IF($AY89=0,0,($AU89+$AX89)*$AY89)</f>
        <v>0</v>
      </c>
      <c r="BA89" s="635">
        <f>$AU89+$AX89+$AZ89</f>
        <v>0</v>
      </c>
      <c r="BB89" s="635">
        <f>$AP89+$BA89</f>
        <v>0</v>
      </c>
      <c r="BC89" s="639" cm="1">
        <f t="array" ref="BC89">IF($BB89&lt;=0,0,IF(BC$2=-1,0,INDEX(Premises!$A$32:$F$32,1,$CH89)/100))</f>
        <v>0</v>
      </c>
      <c r="BD89" s="631">
        <f>IF($AP89&lt;=0,0,($AP89-$AA89-$AL89)*$BC89)</f>
        <v>0</v>
      </c>
      <c r="BE89" s="639" cm="1">
        <f t="array" ref="BE89">IF($BB89&lt;=0,0,IF(BE$2=-1,0,INDEX(Premises!$A$33:$F$33,1,$CH89)/100))</f>
        <v>0</v>
      </c>
      <c r="BF89" s="631">
        <f>IF($BA89&lt;=0,0,$BA89*$BE89)</f>
        <v>0</v>
      </c>
      <c r="BG89" s="639" cm="1">
        <f t="array" ref="BG89">IF($BB89&lt;=0,0,IF(BG$2=-1,0,INDEX(Premises!$A$31:$F$31,1,$CH89)/100))</f>
        <v>0</v>
      </c>
      <c r="BH89" s="631">
        <f>(($AP89-$AA89-$AL89)+$BA89)*$BG89</f>
        <v>0</v>
      </c>
      <c r="BI89" s="635">
        <f>$BB89+$BD89+$BF89+$BH89</f>
        <v>0</v>
      </c>
      <c r="BJ89" s="639" cm="1">
        <f t="array" ref="BJ89">IF($BB89&lt;=0,0,IF(BJ$2=-1,0,INDEX(Premises!$A$35:$F$35,1,$CH89)/100))</f>
        <v>0</v>
      </c>
      <c r="BK89" s="631">
        <f>IF($AP89&lt;=0,0,($AP89-$AL89-$AA89)*$BJ89)</f>
        <v>0</v>
      </c>
      <c r="BL89" s="639" cm="1">
        <f t="array" ref="BL89">IF($BB89&lt;=0,0,IF(BL$2=-1,0,INDEX(Premises!$A$36:$F$36,1,$CH89)/100))</f>
        <v>0</v>
      </c>
      <c r="BM89" s="631">
        <f>IF($AU89&lt;=0,0,($AR89*$AT89)*$BL89)</f>
        <v>0</v>
      </c>
      <c r="BN89" s="639" cm="1">
        <f t="array" ref="BN89">IF($BB89&lt;=0,0,IF(BN$2=-1,0,INDEX(Premises!$A$34:$F$34,1,$CH89)/100))</f>
        <v>0</v>
      </c>
      <c r="BO89" s="631">
        <f>(($AP89-$AL89-$AA89)+($AR89*$AT89))*$BN89</f>
        <v>0</v>
      </c>
      <c r="BP89" s="639" cm="1">
        <f t="array" ref="BP89">IF($BI89=0,0,INDEX(Premises!$A$37:$F$37,1,$CH89)/100)</f>
        <v>0</v>
      </c>
      <c r="BQ89" s="409"/>
      <c r="BR89" s="631">
        <f>($BI89+$BK89+$BM89+$BO89)*$BP89+$BQ89</f>
        <v>0</v>
      </c>
      <c r="BS89" s="641">
        <f>BI89+BK89+BM89+BO89+BR89</f>
        <v>0</v>
      </c>
      <c r="BT89" s="641">
        <f>IF($BS89=0,0,$CK89*$BS89)</f>
        <v>0</v>
      </c>
      <c r="BU89" s="642">
        <f>IF($BT89=0,0,MAX(1,$EB89/$DP89))</f>
        <v>0</v>
      </c>
      <c r="BV89" s="417"/>
      <c r="BW89" s="418"/>
      <c r="BX89" s="418"/>
      <c r="BY89" s="419"/>
      <c r="BZ89" s="968"/>
      <c r="CA89" s="280" cm="1">
        <f t="array" ref="CA89">IF($BZ89&gt;0,VALUE(LEFT($BZ89,IF(ISERROR(FIND("-",$BZ89)),LEN($BZ89),FIND("-",$BZ89)-1))),INDEX($CA$1:$CA89,MAX(1,$CD89)))</f>
        <v>1</v>
      </c>
      <c r="CB89" s="280" cm="1">
        <f t="array" ref="CB89">IF($BT89=0,0,IF(LEN($BZ89)-LEN(SUBSTITUTE($BZ89,"-",""))&gt;1,
VALUE(MID($BZ89,FIND("-",$BZ89)+1,FIND("-",$BZ89,FIND("-",$BZ89)+1)-FIND("-",$BZ89)-1)),IF($BZ89&gt;0,0,INDEX($CB$1:$CB89,MAX(1,$CD89)))))</f>
        <v>0</v>
      </c>
      <c r="CC89" s="280" cm="1">
        <f t="array" ref="CC89">IF($BT89=0,0,IF(NOT(ISERROR(FIND("-",BZ89))),
VALUE(RIGHT($BZ89,LEN($BZ89)-IF(LEN($BZ89)-LEN(SUBSTITUTE($BZ89,"-",""))=1,FIND("-",$BZ89),FIND("-",$BZ89,FIND("-",$BZ89)+1)))),
IF($BZ89&gt;0,0,INDEX($CC$1:$CC89,MAX(1,$CD89)))))</f>
        <v>0</v>
      </c>
      <c r="CD89" s="393">
        <f>MATCH(0,$CE$1:$CE89,-1)</f>
        <v>87</v>
      </c>
      <c r="CE89" s="280"/>
      <c r="CF89" s="394"/>
      <c r="CG89" s="393" cm="1">
        <f t="array" ref="CG89">INDEX($CG$1:$CG89,$CD89)</f>
        <v>9</v>
      </c>
      <c r="CH89" s="280">
        <f>MATCH($CA89,Premises!$A$10:$F$10,0)</f>
        <v>4</v>
      </c>
      <c r="CI89" s="280">
        <f>IF(ISBLANK($E89),0,IFERROR(MATCH($E89,MHR[Bezeichnung],0),0))</f>
        <v>0</v>
      </c>
      <c r="CJ89" s="394">
        <f>IF(ISBLANK($AQ89),0,IFERROR(MATCH($AQ89,MAT[Bezeichnung],0),0))</f>
        <v>0</v>
      </c>
      <c r="CK89" s="280" cm="1">
        <f t="array" ref="CK89">INDEX($D$1:$D89,$CD89)</f>
        <v>1</v>
      </c>
      <c r="CL89" s="280"/>
      <c r="CM89" s="395"/>
      <c r="CN89" s="396" cm="1">
        <f t="array" ref="CN89">IF($CB89=0,0,IF($CB89=INDEX($CB$1:$CB89,$CD89),INDEX($CN$1:$CN89,$CD89),$CP89))</f>
        <v>0</v>
      </c>
      <c r="CO89" s="395"/>
      <c r="CP89" s="396" cm="1">
        <f t="array" ref="CP89">IF($CC89=0,0,INDEX($CP$1:$CP89,$CD89))</f>
        <v>0</v>
      </c>
      <c r="CQ89" s="397"/>
      <c r="CR89" s="398"/>
      <c r="CS89" s="398"/>
      <c r="CT89" s="970"/>
      <c r="CU89" s="2"/>
      <c r="CV89" s="647">
        <f>$J89*$CK89</f>
        <v>0</v>
      </c>
      <c r="CW89" s="648">
        <f>$R89*$CK89</f>
        <v>0</v>
      </c>
      <c r="CX89" s="648">
        <f>$V89*$CK89</f>
        <v>0</v>
      </c>
      <c r="CY89" s="648">
        <f>$AA89*$CK89</f>
        <v>0</v>
      </c>
      <c r="CZ89" s="648">
        <f>$AF89*$CK89</f>
        <v>0</v>
      </c>
      <c r="DA89" s="648">
        <f>$AL89*$CK89</f>
        <v>0</v>
      </c>
      <c r="DB89" s="648">
        <f>$AO89*$CK89</f>
        <v>0</v>
      </c>
      <c r="DC89" s="649">
        <f>$AP89*$CK89</f>
        <v>0</v>
      </c>
      <c r="DD89" s="648">
        <f>$AU89*$CK89</f>
        <v>0</v>
      </c>
      <c r="DE89" s="648">
        <f>$AX89*$CK89</f>
        <v>0</v>
      </c>
      <c r="DF89" s="648">
        <f>$AZ89*$CK89</f>
        <v>0</v>
      </c>
      <c r="DG89" s="649">
        <f>$BA89*$CK89</f>
        <v>0</v>
      </c>
      <c r="DH89" s="649">
        <f>$BB89*$CK89</f>
        <v>0</v>
      </c>
      <c r="DI89" s="648">
        <f>$BD89*$CK89</f>
        <v>0</v>
      </c>
      <c r="DJ89" s="648">
        <f>$BF89*$CK89</f>
        <v>0</v>
      </c>
      <c r="DK89" s="648">
        <f>$BH89*$CK89</f>
        <v>0</v>
      </c>
      <c r="DL89" s="648">
        <f>$BK89*$CK89</f>
        <v>0</v>
      </c>
      <c r="DM89" s="648">
        <f>$BM89*$CK89</f>
        <v>0</v>
      </c>
      <c r="DN89" s="648">
        <f>$BO89*$CK89</f>
        <v>0</v>
      </c>
      <c r="DO89" s="648">
        <f>$BR89*$CK89</f>
        <v>0</v>
      </c>
      <c r="DP89" s="651">
        <f>$CK89*($BB89+$BD89+$BF89+$BH89+$BK89+$BM89+$BO89+$BR89)</f>
        <v>0</v>
      </c>
      <c r="DQ89" s="951">
        <f>IF($CB89=0,0,$DP89*_xlfn.XLOOKUP($CB89,Premises!$A$10:$F$10,Premises!$A$30:$F$30)/100)</f>
        <v>0</v>
      </c>
      <c r="DR89" s="650">
        <f>IFERROR(SUM($DP89:$DQ89)*IF(INDEX(Premises!$A$42:$F$42,1,MATCH($CB89,Premises!$A$10:$F$10,0))&gt;0,INDEX(Premises!$A$42:$F$42,1,MATCH($CB89,Premises!$A$10:$F$10,0))%,$CN89),0)</f>
        <v>0</v>
      </c>
      <c r="DS89" s="650" cm="1">
        <f t="array" ref="DS89">IF($CB89=0,0,SUM($DP89:$DR89)*_xlfn.XLOOKUP($CB89,Premises!$A$10:$F$10,IF(INDEX(Settings[],MATCH(3001,Settings[ID],0),2)="B",Premises!$A$33:$F$33,Premises!$A$31:$F$31))/100)</f>
        <v>0</v>
      </c>
      <c r="DT89" s="650" cm="1">
        <f t="array" ref="DT89">IF($CB89=0,0,$DP89*_xlfn.XLOOKUP($CB89,Premises!$A$10:$F$10,IF(INDEX(Settings[],MATCH(3002,Settings[ID],0),2)="B",Premises!$A$36:$F$36,Premises!$A$34:$F$34))/100)</f>
        <v>0</v>
      </c>
      <c r="DU89" s="650">
        <f>IF($CB89=0,0,SUM($DP89:$DT89)*_xlfn.XLOOKUP($CB89,Premises!$A$10:$F$10,Premises!$A$37:$F$37)/100)</f>
        <v>0</v>
      </c>
      <c r="DV89" s="954">
        <f>SUM($DP89:$DU89)</f>
        <v>0</v>
      </c>
      <c r="DW89" s="951">
        <f>IF($CC89=0,0,$DV89*_xlfn.XLOOKUP($CC89,Premises!$A$10:$F$10,Premises!$A$30:$F$30)/100)</f>
        <v>0</v>
      </c>
      <c r="DX89" s="650">
        <f>IFERROR(SUM($DV89:$DW89)*IF(INDEX(Premises!$A$42:$F$42,1,MATCH($CC89,Premises!$A$10:$F$10,0))&gt;0,INDEX(Premises!$A$42:$F$42,1,MATCH($CC89,Premises!$A$10:$F$10,0))%,$CP89),0)</f>
        <v>0</v>
      </c>
      <c r="DY89" s="650" cm="1">
        <f t="array" ref="DY89">IF($CC89=0,0,SUM($DV89:$DX89)*_xlfn.XLOOKUP($CC89,Premises!$A$10:$F$10,IF(INDEX(Settings[],MATCH(3001,Settings[ID],0),2)="B",Premises!$A$33:$F$33,Premises!$A$31:$F$31))/100)</f>
        <v>0</v>
      </c>
      <c r="DZ89" s="650" cm="1">
        <f t="array" ref="DZ89">IF($CC89=0,0,$DV89*_xlfn.XLOOKUP($CC89,Premises!$A$10:$F$10,IF(INDEX(Settings[],MATCH(3002,Settings[ID],0),2)="B",Premises!$A$36:$F$36,Premises!$A$34:$F$34))/100)</f>
        <v>0</v>
      </c>
      <c r="EA89" s="650">
        <f>IF($CC89=0,0,SUM($DV89:$DZ89)*_xlfn.XLOOKUP($CC89,Premises!$A$10:$F$10,Premises!$A$37:$F$37)/100)</f>
        <v>0</v>
      </c>
      <c r="EB89" s="651">
        <f>SUM($DV89:$EA89)</f>
        <v>0</v>
      </c>
      <c r="EC89" s="805"/>
      <c r="ED89" s="1104"/>
      <c r="EE89" s="650"/>
      <c r="EF89" s="1110"/>
      <c r="EG89" s="1108"/>
      <c r="EH89" s="1108"/>
      <c r="EI89" s="1108"/>
      <c r="EJ89" s="1108"/>
      <c r="EK89" s="1108"/>
      <c r="EL89" s="1108"/>
      <c r="EM89" s="1110"/>
      <c r="EN89" s="1108"/>
      <c r="EO89" s="1108"/>
      <c r="EP89" s="1108"/>
      <c r="EQ89" s="1108"/>
      <c r="ER89" s="1110"/>
      <c r="ES89" s="1108"/>
      <c r="ET89" s="1108"/>
      <c r="EU89" s="1108"/>
      <c r="EV89" s="1108"/>
      <c r="EW89" s="1108"/>
      <c r="EX89" s="1111"/>
      <c r="EY89" s="2"/>
      <c r="EZ89" s="2"/>
      <c r="FA89" s="2"/>
      <c r="FB89" s="2"/>
      <c r="FC89" s="2"/>
      <c r="FD89" s="2"/>
      <c r="FE89" s="2"/>
      <c r="FF89" s="2"/>
      <c r="FG89" s="2"/>
      <c r="FH89" s="2"/>
      <c r="FI89" s="2"/>
      <c r="FJ89" s="420"/>
      <c r="FK89" s="421"/>
      <c r="FL89" s="422"/>
      <c r="FM89" s="970"/>
    </row>
    <row r="90" spans="1:169" s="13" customFormat="1" ht="12.75" customHeight="1">
      <c r="A90" s="221"/>
      <c r="B90" s="402" t="s">
        <v>4313</v>
      </c>
      <c r="C90" s="403"/>
      <c r="D90" s="646"/>
      <c r="E90" s="404" t="s">
        <v>4314</v>
      </c>
      <c r="F90" s="405">
        <f>15.24</f>
        <v>15.24</v>
      </c>
      <c r="G90" s="405" t="s">
        <v>93</v>
      </c>
      <c r="H90" s="405">
        <v>2</v>
      </c>
      <c r="I90" s="637" cm="1">
        <f t="array" ref="I90">IF($CI90=0,0,IFERROR(INDEX(MHR[],$CI90,MATCH($CA90,MHR!$B$4:$AY$4,0)),0))</f>
        <v>3.3950164246031744</v>
      </c>
      <c r="J90" s="634">
        <f>IF(COUNTBLANK($E90:$H90),0,IFERROR($F90/$H90/IF($G90="s",3600,IF($G90="min",60,IF($G90="h",1,0)))*I90,0))</f>
        <v>7.1861180987433868E-3</v>
      </c>
      <c r="K90" s="406" t="s">
        <v>49</v>
      </c>
      <c r="L90" s="407">
        <v>30</v>
      </c>
      <c r="M90" s="871">
        <v>1</v>
      </c>
      <c r="N90" s="407"/>
      <c r="O90" s="405"/>
      <c r="P90" s="645" cm="1">
        <f t="array" ref="P90">IF($K90=0,0,IFERROR(ROUNDUP(IF(ISNUMBER($K90),$K90,INDEX($D$1:$D90,$CD90)*INDEX(Premises!$A$13:$F$13,1,$CH90)/IF(OR($K90="T",$K90="D"),250,IF($K90="W",50,IF($K90="M",12,IF(OR($K90="HJ",$K90="HY"),2,IF(OR($K90="J",$K90="Y"),1,0)))))),0),0))</f>
        <v>3334</v>
      </c>
      <c r="Q90" s="637" cm="1">
        <f t="array" ref="Q90">IF($K90=0,0,IFERROR(INDEX(Premises!$A$22:$F$22,1,$CH90)*100/INDEX(Premises!$A$16:$F$16,1,$CH90),0))</f>
        <v>16.925000000000001</v>
      </c>
      <c r="R90" s="634">
        <f>IF($P90=0,0,IFERROR(($L90/60*($I90+$Q90*$M90)+($N90/60*($Q90*$O90)))/$P90,0))</f>
        <v>3.0473929850934577E-3</v>
      </c>
      <c r="S90" s="408">
        <v>0.1</v>
      </c>
      <c r="T90" s="409" t="s">
        <v>275</v>
      </c>
      <c r="U90" s="637" cm="1">
        <f t="array" ref="U90">IF(COUNTBLANK($S90:$T90),0,
IF(AND(INDEX(MHR[Schichtmodell],$CI90)&lt;&gt;0,INDEX(MHR[Schichtmodell],$CI90)&lt;&gt;INDEX(Premises!$A$20:$F$20,1,$CH90)),ExchangeRate*
IF(OR($T90="M",$T90="U"),IF(INDEX(MHR[Schichtmodell],$CI90)=1,INDEX(LOC[M1S],INDEX(Premises!$A$18:$F$18,1,$CH90+1)),IF(INDEX(MHR[Schichtmodell],$CI90)=2,INDEX(LOC[M2S],INDEX(Premises!$A$18:$F$18,1,$CH90+1),IF(INDEX(MHR[Schichtmodell],$CI90)=3,INDEX(LOC[M3S],INDEX(Premises!$A$18:$F$18,1,$CH90+1)),0)))),
IF(INDEX(MHR[Schichtmodell],$CI90)=1,INDEX(LOC[F1S],INDEX(Premises!$A$18:$F$18,1,$CH90+1)),IF(INDEX(MHR[Schichtmodell],$CI90)=2,INDEX(LOC[F2S],INDEX(Premises!$A$18:$F$18,1,$CH90+1)),IF(INDEX(MHR[Schichtmodell],$CI90)=3,INDEX(LOC[F3S],INDEX(Premises!$A$18:$F$18,1,$CH90+1)),0)))),
IF(OR($T90="M",$T90="U"),INDEX(Premises!$A$21:$F$21,1,$CH90),
IF(OR($T90="F",$T90="S"),INDEX(Premises!$A$22:$F$22,1,$CH90),0)))*100/INDEX(Premises!$A$16:$F$16,1,$CH90))</f>
        <v>12.037500000000001</v>
      </c>
      <c r="V90" s="631">
        <f>IF($U90=0,0,IFERROR($F90/$H90/IF($G90="s",3600,IF($G90="min",60,IF($G90="h",1,0)))*$S90*$U90,0))</f>
        <v>2.5479375000000007E-3</v>
      </c>
      <c r="W90" s="410"/>
      <c r="X90" s="403"/>
      <c r="Y90" s="411"/>
      <c r="Z90" s="412"/>
      <c r="AA90" s="628">
        <f>IFERROR($X90*$Z90/$Y90/MAX(1,$H90),0)</f>
        <v>0</v>
      </c>
      <c r="AB90" s="410"/>
      <c r="AC90" s="403"/>
      <c r="AD90" s="411"/>
      <c r="AE90" s="413"/>
      <c r="AF90" s="628">
        <f>IFERROR($AC90*$AE90/$AD90,0)</f>
        <v>0</v>
      </c>
      <c r="AG90" s="629" cm="1">
        <f t="array" ref="AG90">IF(($J90+$V90+$AF90)=0,0,INDEX(Premises!$A$30:$F$30,1,$CH90)/100)</f>
        <v>0.01</v>
      </c>
      <c r="AH90" s="414"/>
      <c r="AI90" s="415"/>
      <c r="AJ90" s="416"/>
      <c r="AK90" s="630">
        <f>IF(COUNTBLANK($AH90:$AI90),0,$AH90*$AI90*$AG90)</f>
        <v>0</v>
      </c>
      <c r="AL90" s="631">
        <f>($AK90+$AJ90*$AG90*(1-$AH90)+($J90+$V90+$AF90)*$AG90*(1-$AH90))</f>
        <v>9.7340555987433867E-5</v>
      </c>
      <c r="AM90" s="632" cm="1">
        <f t="array" ref="AM90">IF($CI90=0,0,IFERROR(INDEX(MHR[],$CI90,MATCH($CA90,MHR!$B$4:$AY$4,0)+11),0))</f>
        <v>2.0869376592775613</v>
      </c>
      <c r="AN90" s="633" cm="1">
        <f t="array" ref="AN90">IF(($J90+$V90)=0,0,IFERROR(IF(INDEX(Premises!$A$41:$F$41,1,$CH90)&lt;&gt;0,INDEX(Premises!$A$41:$F$41,1,$CH90)/100,(IFERROR(($J90/$I90)*$AM90,0)/($V90+$J90+$R90+$AL90))),0))</f>
        <v>0.34299430876965531</v>
      </c>
      <c r="AO90" s="634">
        <f>IF(($J90+$V90)=0,0,IF(IFERROR(($J90+$R90+$V90+$AL90)*$AN90,0)&lt;&gt;IFERROR(($J90/$I90)*$AM90,0),($J90+$R90+$V90+$AL90)*$AN90,IFERROR(($J90/$I90)*$AM90,0)))</f>
        <v>4.417351378804172E-3</v>
      </c>
      <c r="AP90" s="635">
        <f>$V90+$J90+$R90+$AA90+$AF90+$AL90+$AO90</f>
        <v>1.7296140518628451E-2</v>
      </c>
      <c r="AQ90" s="410"/>
      <c r="AR90" s="409"/>
      <c r="AS90" s="636" cm="1">
        <f t="array" ref="AS90">IF($CJ90=0,0,IFERROR(INDEX(MAT[Einheit],$CJ90,1),0))</f>
        <v>0</v>
      </c>
      <c r="AT90" s="637" cm="1">
        <f t="array" ref="AT90">IF($CJ90=0,0,IFERROR(INDEX(MAT[Preis],$CJ90,1),0))</f>
        <v>0</v>
      </c>
      <c r="AU90" s="638">
        <f>$AR90*$AT90</f>
        <v>0</v>
      </c>
      <c r="AV90" s="639" cm="1">
        <f t="array" ref="AV90">IF($AU90&lt;=0,0,INDEX(Premises!$A$30:$F$30,1,$CH90)/100)</f>
        <v>0</v>
      </c>
      <c r="AW90" s="409"/>
      <c r="AX90" s="631">
        <f>IF($AV90=0,0,($AU90+$AW90)*$AV90)</f>
        <v>0</v>
      </c>
      <c r="AY90" s="640" cm="1">
        <f t="array" ref="AY90">IF($AT90&lt;=0,0,IFERROR(IF(INDEX(Premises!$A$42:$F$42,1,$CH90)&lt;&gt;0,INDEX(Premises!$A$42:$F$42,1,$CH90)/100,(INDEX(MAT[],$CJ90,MATCH($CA90,MAT!$B$4:$AE$4,0))/($AR90*$CK90*INDEX(Premises!$A$13:$F$13,1,$CH90))+INDEX(MAT[],$CJ90,MATCH($CA90,MAT!$B$4:$AE$4,0)+7))/$AT90),0))</f>
        <v>0</v>
      </c>
      <c r="AZ90" s="631">
        <f>IF($AY90=0,0,($AU90+$AX90)*$AY90)</f>
        <v>0</v>
      </c>
      <c r="BA90" s="635">
        <f>$AU90+$AX90+$AZ90</f>
        <v>0</v>
      </c>
      <c r="BB90" s="635">
        <f>$AP90+$BA90</f>
        <v>1.7296140518628451E-2</v>
      </c>
      <c r="BC90" s="639" cm="1">
        <f t="array" ref="BC90">IF($BB90&lt;=0,0,IF(BC$2=-1,0,INDEX(Premises!$A$32:$F$32,1,$CH90)/100))</f>
        <v>0</v>
      </c>
      <c r="BD90" s="631">
        <f>IF($AP90&lt;=0,0,($AP90-$AA90-$AL90)*$BC90)</f>
        <v>0</v>
      </c>
      <c r="BE90" s="639" cm="1">
        <f t="array" ref="BE90">IF($BB90&lt;=0,0,IF(BE$2=-1,0,INDEX(Premises!$A$33:$F$33,1,$CH90)/100))</f>
        <v>0</v>
      </c>
      <c r="BF90" s="631">
        <f>IF($BA90&lt;=0,0,$BA90*$BE90)</f>
        <v>0</v>
      </c>
      <c r="BG90" s="639" cm="1">
        <f t="array" ref="BG90">IF($BB90&lt;=0,0,IF(BG$2=-1,0,INDEX(Premises!$A$31:$F$31,1,$CH90)/100))</f>
        <v>0.125</v>
      </c>
      <c r="BH90" s="631">
        <f>(($AP90-$AA90-$AL90)+$BA90)*$BG90</f>
        <v>2.149849995330127E-3</v>
      </c>
      <c r="BI90" s="635">
        <f>$BB90+$BD90+$BF90+$BH90</f>
        <v>1.9445990513958577E-2</v>
      </c>
      <c r="BJ90" s="639" cm="1">
        <f t="array" ref="BJ90">IF($BB90&lt;=0,0,IF(BJ$2=-1,0,INDEX(Premises!$A$35:$F$35,1,$CH90)/100))</f>
        <v>0</v>
      </c>
      <c r="BK90" s="631">
        <f>IF($AP90&lt;=0,0,($AP90-$AL90-$AA90)*$BJ90)</f>
        <v>0</v>
      </c>
      <c r="BL90" s="639" cm="1">
        <f t="array" ref="BL90">IF($BB90&lt;=0,0,IF(BL$2=-1,0,INDEX(Premises!$A$36:$F$36,1,$CH90)/100))</f>
        <v>0</v>
      </c>
      <c r="BM90" s="631">
        <f>IF($AU90&lt;=0,0,($AR90*$AT90)*$BL90)</f>
        <v>0</v>
      </c>
      <c r="BN90" s="639" cm="1">
        <f t="array" ref="BN90">IF($BB90&lt;=0,0,IF(BN$2=-1,0,INDEX(Premises!$A$34:$F$34,1,$CH90)/100))</f>
        <v>0.06</v>
      </c>
      <c r="BO90" s="631">
        <f>(($AP90-$AL90-$AA90)+($AR90*$AT90))*$BN90</f>
        <v>1.0319279977584609E-3</v>
      </c>
      <c r="BP90" s="639" cm="1">
        <f t="array" ref="BP90">IF($BI90=0,0,INDEX(Premises!$A$37:$F$37,1,$CH90)/100)</f>
        <v>0</v>
      </c>
      <c r="BQ90" s="409"/>
      <c r="BR90" s="631">
        <f>($BI90+$BK90+$BM90+$BO90)*$BP90+$BQ90</f>
        <v>0</v>
      </c>
      <c r="BS90" s="641">
        <f>BI90+BK90+BM90+BO90+BR90</f>
        <v>2.0477918511717038E-2</v>
      </c>
      <c r="BT90" s="641">
        <f>IF($BS90=0,0,$CK90*$BS90)</f>
        <v>2.0477918511717038E-2</v>
      </c>
      <c r="BU90" s="642">
        <f>IF($BT90=0,0,MAX(1,$EB90/$DP90))</f>
        <v>1</v>
      </c>
      <c r="BV90" s="417"/>
      <c r="BW90" s="418"/>
      <c r="BX90" s="418"/>
      <c r="BY90" s="419"/>
      <c r="BZ90" s="968"/>
      <c r="CA90" s="280" cm="1">
        <f t="array" ref="CA90">IF($BZ90&gt;0,VALUE(LEFT($BZ90,IF(ISERROR(FIND("-",$BZ90)),LEN($BZ90),FIND("-",$BZ90)-1))),INDEX($CA$1:$CA90,MAX(1,$CD90)))</f>
        <v>1</v>
      </c>
      <c r="CB90" s="280" cm="1">
        <f t="array" ref="CB90">IF($BT90=0,0,IF(LEN($BZ90)-LEN(SUBSTITUTE($BZ90,"-",""))&gt;1,
VALUE(MID($BZ90,FIND("-",$BZ90)+1,FIND("-",$BZ90,FIND("-",$BZ90)+1)-FIND("-",$BZ90)-1)),IF($BZ90&gt;0,0,INDEX($CB$1:$CB90,MAX(1,$CD90)))))</f>
        <v>0</v>
      </c>
      <c r="CC90" s="280" cm="1">
        <f t="array" ref="CC90">IF($BT90=0,0,IF(NOT(ISERROR(FIND("-",BZ90))),
VALUE(RIGHT($BZ90,LEN($BZ90)-IF(LEN($BZ90)-LEN(SUBSTITUTE($BZ90,"-",""))=1,FIND("-",$BZ90),FIND("-",$BZ90,FIND("-",$BZ90)+1)))),
IF($BZ90&gt;0,0,INDEX($CC$1:$CC90,MAX(1,$CD90)))))</f>
        <v>0</v>
      </c>
      <c r="CD90" s="393">
        <f>MATCH(0,$CE$1:$CE90,-1)</f>
        <v>87</v>
      </c>
      <c r="CE90" s="280"/>
      <c r="CF90" s="394"/>
      <c r="CG90" s="393" cm="1">
        <f t="array" ref="CG90">INDEX($CG$1:$CG90,$CD90)</f>
        <v>9</v>
      </c>
      <c r="CH90" s="280">
        <f>MATCH($CA90,Premises!$A$10:$F$10,0)</f>
        <v>4</v>
      </c>
      <c r="CI90" s="280">
        <f>IF(ISBLANK($E90),0,IFERROR(MATCH($E90,MHR[Bezeichnung],0),0))</f>
        <v>1</v>
      </c>
      <c r="CJ90" s="394">
        <f>IF(ISBLANK($AQ90),0,IFERROR(MATCH($AQ90,MAT[Bezeichnung],0),0))</f>
        <v>0</v>
      </c>
      <c r="CK90" s="280" cm="1">
        <f t="array" ref="CK90">INDEX($D$1:$D90,$CD90)</f>
        <v>1</v>
      </c>
      <c r="CL90" s="280"/>
      <c r="CM90" s="395"/>
      <c r="CN90" s="396" cm="1">
        <f t="array" ref="CN90">IF($CB90=0,0,IF($CB90=INDEX($CB$1:$CB90,$CD90),INDEX($CN$1:$CN90,$CD90),$CP90))</f>
        <v>0</v>
      </c>
      <c r="CO90" s="395"/>
      <c r="CP90" s="396" cm="1">
        <f t="array" ref="CP90">IF($CC90=0,0,INDEX($CP$1:$CP90,$CD90))</f>
        <v>0</v>
      </c>
      <c r="CQ90" s="397"/>
      <c r="CR90" s="398"/>
      <c r="CS90" s="398"/>
      <c r="CT90" s="970"/>
      <c r="CU90" s="2"/>
      <c r="CV90" s="647">
        <f>$J90*$CK90</f>
        <v>7.1861180987433868E-3</v>
      </c>
      <c r="CW90" s="648">
        <f>$R90*$CK90</f>
        <v>3.0473929850934577E-3</v>
      </c>
      <c r="CX90" s="648">
        <f>$V90*$CK90</f>
        <v>2.5479375000000007E-3</v>
      </c>
      <c r="CY90" s="648">
        <f>$AA90*$CK90</f>
        <v>0</v>
      </c>
      <c r="CZ90" s="648">
        <f>$AF90*$CK90</f>
        <v>0</v>
      </c>
      <c r="DA90" s="648">
        <f>$AL90*$CK90</f>
        <v>9.7340555987433867E-5</v>
      </c>
      <c r="DB90" s="648">
        <f>$AO90*$CK90</f>
        <v>4.417351378804172E-3</v>
      </c>
      <c r="DC90" s="649">
        <f>$AP90*$CK90</f>
        <v>1.7296140518628451E-2</v>
      </c>
      <c r="DD90" s="648">
        <f>$AU90*$CK90</f>
        <v>0</v>
      </c>
      <c r="DE90" s="648">
        <f>$AX90*$CK90</f>
        <v>0</v>
      </c>
      <c r="DF90" s="648">
        <f>$AZ90*$CK90</f>
        <v>0</v>
      </c>
      <c r="DG90" s="649">
        <f>$BA90*$CK90</f>
        <v>0</v>
      </c>
      <c r="DH90" s="649">
        <f>$BB90*$CK90</f>
        <v>1.7296140518628451E-2</v>
      </c>
      <c r="DI90" s="648">
        <f>$BD90*$CK90</f>
        <v>0</v>
      </c>
      <c r="DJ90" s="648">
        <f>$BF90*$CK90</f>
        <v>0</v>
      </c>
      <c r="DK90" s="648">
        <f>$BH90*$CK90</f>
        <v>2.149849995330127E-3</v>
      </c>
      <c r="DL90" s="648">
        <f>$BK90*$CK90</f>
        <v>0</v>
      </c>
      <c r="DM90" s="648">
        <f>$BM90*$CK90</f>
        <v>0</v>
      </c>
      <c r="DN90" s="648">
        <f>$BO90*$CK90</f>
        <v>1.0319279977584609E-3</v>
      </c>
      <c r="DO90" s="648">
        <f>$BR90*$CK90</f>
        <v>0</v>
      </c>
      <c r="DP90" s="651">
        <f>$CK90*($BB90+$BD90+$BF90+$BH90+$BK90+$BM90+$BO90+$BR90)</f>
        <v>2.0477918511717038E-2</v>
      </c>
      <c r="DQ90" s="951">
        <f>IF($CB90=0,0,$DP90*_xlfn.XLOOKUP($CB90,Premises!$A$10:$F$10,Premises!$A$30:$F$30)/100)</f>
        <v>0</v>
      </c>
      <c r="DR90" s="650">
        <f>IFERROR(SUM($DP90:$DQ90)*IF(INDEX(Premises!$A$42:$F$42,1,MATCH($CB90,Premises!$A$10:$F$10,0))&gt;0,INDEX(Premises!$A$42:$F$42,1,MATCH($CB90,Premises!$A$10:$F$10,0))%,$CN90),0)</f>
        <v>0</v>
      </c>
      <c r="DS90" s="650" cm="1">
        <f t="array" ref="DS90">IF($CB90=0,0,SUM($DP90:$DR90)*_xlfn.XLOOKUP($CB90,Premises!$A$10:$F$10,IF(INDEX(Settings[],MATCH(3001,Settings[ID],0),2)="B",Premises!$A$33:$F$33,Premises!$A$31:$F$31))/100)</f>
        <v>0</v>
      </c>
      <c r="DT90" s="650" cm="1">
        <f t="array" ref="DT90">IF($CB90=0,0,$DP90*_xlfn.XLOOKUP($CB90,Premises!$A$10:$F$10,IF(INDEX(Settings[],MATCH(3002,Settings[ID],0),2)="B",Premises!$A$36:$F$36,Premises!$A$34:$F$34))/100)</f>
        <v>0</v>
      </c>
      <c r="DU90" s="650">
        <f>IF($CB90=0,0,SUM($DP90:$DT90)*_xlfn.XLOOKUP($CB90,Premises!$A$10:$F$10,Premises!$A$37:$F$37)/100)</f>
        <v>0</v>
      </c>
      <c r="DV90" s="954">
        <f>SUM($DP90:$DU90)</f>
        <v>2.0477918511717038E-2</v>
      </c>
      <c r="DW90" s="951">
        <f>IF($CC90=0,0,$DV90*_xlfn.XLOOKUP($CC90,Premises!$A$10:$F$10,Premises!$A$30:$F$30)/100)</f>
        <v>0</v>
      </c>
      <c r="DX90" s="650">
        <f>IFERROR(SUM($DV90:$DW90)*IF(INDEX(Premises!$A$42:$F$42,1,MATCH($CC90,Premises!$A$10:$F$10,0))&gt;0,INDEX(Premises!$A$42:$F$42,1,MATCH($CC90,Premises!$A$10:$F$10,0))%,$CP90),0)</f>
        <v>0</v>
      </c>
      <c r="DY90" s="650" cm="1">
        <f t="array" ref="DY90">IF($CC90=0,0,SUM($DV90:$DX90)*_xlfn.XLOOKUP($CC90,Premises!$A$10:$F$10,IF(INDEX(Settings[],MATCH(3001,Settings[ID],0),2)="B",Premises!$A$33:$F$33,Premises!$A$31:$F$31))/100)</f>
        <v>0</v>
      </c>
      <c r="DZ90" s="650" cm="1">
        <f t="array" ref="DZ90">IF($CC90=0,0,$DV90*_xlfn.XLOOKUP($CC90,Premises!$A$10:$F$10,IF(INDEX(Settings[],MATCH(3002,Settings[ID],0),2)="B",Premises!$A$36:$F$36,Premises!$A$34:$F$34))/100)</f>
        <v>0</v>
      </c>
      <c r="EA90" s="650">
        <f>IF($CC90=0,0,SUM($DV90:$DZ90)*_xlfn.XLOOKUP($CC90,Premises!$A$10:$F$10,Premises!$A$37:$F$37)/100)</f>
        <v>0</v>
      </c>
      <c r="EB90" s="651">
        <f>SUM($DV90:$EA90)</f>
        <v>2.0477918511717038E-2</v>
      </c>
      <c r="EC90" s="805"/>
      <c r="ED90" s="1104"/>
      <c r="EE90" s="650"/>
      <c r="EF90" s="1110"/>
      <c r="EG90" s="1108"/>
      <c r="EH90" s="1108"/>
      <c r="EI90" s="1108"/>
      <c r="EJ90" s="1108"/>
      <c r="EK90" s="1108"/>
      <c r="EL90" s="1108"/>
      <c r="EM90" s="1110"/>
      <c r="EN90" s="1108"/>
      <c r="EO90" s="1108"/>
      <c r="EP90" s="1108"/>
      <c r="EQ90" s="1108"/>
      <c r="ER90" s="1110"/>
      <c r="ES90" s="1108"/>
      <c r="ET90" s="1108"/>
      <c r="EU90" s="1108"/>
      <c r="EV90" s="1108"/>
      <c r="EW90" s="1108"/>
      <c r="EX90" s="1111"/>
      <c r="EY90" s="2"/>
      <c r="EZ90" s="2"/>
      <c r="FA90" s="2"/>
      <c r="FB90" s="2"/>
      <c r="FC90" s="2"/>
      <c r="FD90" s="2"/>
      <c r="FE90" s="2"/>
      <c r="FF90" s="2"/>
      <c r="FG90" s="2"/>
      <c r="FH90" s="2"/>
      <c r="FI90" s="2"/>
      <c r="FJ90" s="420"/>
      <c r="FK90" s="421"/>
      <c r="FL90" s="422"/>
      <c r="FM90" s="970"/>
    </row>
    <row r="91" spans="1:169" s="13" customFormat="1" ht="12.75" customHeight="1">
      <c r="A91" s="221"/>
      <c r="B91" s="402"/>
      <c r="C91" s="403"/>
      <c r="D91" s="646"/>
      <c r="E91" s="404"/>
      <c r="F91" s="405"/>
      <c r="G91" s="405"/>
      <c r="H91" s="405"/>
      <c r="I91" s="637" cm="1">
        <f t="array" ref="I91">IF($CI91=0,0,IFERROR(INDEX(MHR[],$CI91,MATCH($CA91,MHR!$B$4:$AY$4,0)),0))</f>
        <v>0</v>
      </c>
      <c r="J91" s="634">
        <f>IF(COUNTBLANK($E91:$H91),0,IFERROR($F91/$H91/IF($G91="s",3600,IF($G91="min",60,IF($G91="h",1,0)))*I91,0))</f>
        <v>0</v>
      </c>
      <c r="K91" s="406"/>
      <c r="L91" s="407"/>
      <c r="M91" s="871"/>
      <c r="N91" s="407"/>
      <c r="O91" s="405"/>
      <c r="P91" s="645" cm="1">
        <f t="array" ref="P91">IF($K91=0,0,IFERROR(ROUNDUP(IF(ISNUMBER($K91),$K91,INDEX($D$1:$D91,$CD91)*INDEX(Premises!$A$13:$F$13,1,$CH91)/IF(OR($K91="T",$K91="D"),250,IF($K91="W",50,IF($K91="M",12,IF(OR($K91="HJ",$K91="HY"),2,IF(OR($K91="J",$K91="Y"),1,0)))))),0),0))</f>
        <v>0</v>
      </c>
      <c r="Q91" s="637" cm="1">
        <f t="array" ref="Q91">IF($K91=0,0,IFERROR(INDEX(Premises!$A$22:$F$22,1,$CH91)*100/INDEX(Premises!$A$16:$F$16,1,$CH91),0))</f>
        <v>0</v>
      </c>
      <c r="R91" s="634">
        <f>IF($P91=0,0,IFERROR(($L91/60*($I91+$Q91*$M91)+($N91/60*($Q91*$O91)))/$P91,0))</f>
        <v>0</v>
      </c>
      <c r="S91" s="408"/>
      <c r="T91" s="409"/>
      <c r="U91" s="637" cm="1">
        <f t="array" ref="U91">IF(COUNTBLANK($S91:$T91),0,
IF(AND(INDEX(MHR[Schichtmodell],$CI91)&lt;&gt;0,INDEX(MHR[Schichtmodell],$CI91)&lt;&gt;INDEX(Premises!$A$20:$F$20,1,$CH91)),ExchangeRate*
IF(OR($T91="M",$T91="U"),IF(INDEX(MHR[Schichtmodell],$CI91)=1,INDEX(LOC[M1S],INDEX(Premises!$A$18:$F$18,1,$CH91+1)),IF(INDEX(MHR[Schichtmodell],$CI91)=2,INDEX(LOC[M2S],INDEX(Premises!$A$18:$F$18,1,$CH91+1),IF(INDEX(MHR[Schichtmodell],$CI91)=3,INDEX(LOC[M3S],INDEX(Premises!$A$18:$F$18,1,$CH91+1)),0)))),
IF(INDEX(MHR[Schichtmodell],$CI91)=1,INDEX(LOC[F1S],INDEX(Premises!$A$18:$F$18,1,$CH91+1)),IF(INDEX(MHR[Schichtmodell],$CI91)=2,INDEX(LOC[F2S],INDEX(Premises!$A$18:$F$18,1,$CH91+1)),IF(INDEX(MHR[Schichtmodell],$CI91)=3,INDEX(LOC[F3S],INDEX(Premises!$A$18:$F$18,1,$CH91+1)),0)))),
IF(OR($T91="M",$T91="U"),INDEX(Premises!$A$21:$F$21,1,$CH91),
IF(OR($T91="F",$T91="S"),INDEX(Premises!$A$22:$F$22,1,$CH91),0)))*100/INDEX(Premises!$A$16:$F$16,1,$CH91))</f>
        <v>0</v>
      </c>
      <c r="V91" s="631">
        <f>IF($U91=0,0,IFERROR($F91/$H91/IF($G91="s",3600,IF($G91="min",60,IF($G91="h",1,0)))*$S91*$U91,0))</f>
        <v>0</v>
      </c>
      <c r="W91" s="410"/>
      <c r="X91" s="403"/>
      <c r="Y91" s="411"/>
      <c r="Z91" s="412"/>
      <c r="AA91" s="628">
        <f>IFERROR($X91*$Z91/$Y91/MAX(1,$H91),0)</f>
        <v>0</v>
      </c>
      <c r="AB91" s="410"/>
      <c r="AC91" s="403"/>
      <c r="AD91" s="411"/>
      <c r="AE91" s="413"/>
      <c r="AF91" s="628">
        <f>IFERROR($AC91*$AE91/$AD91,0)</f>
        <v>0</v>
      </c>
      <c r="AG91" s="629" cm="1">
        <f t="array" ref="AG91">IF(($J91+$V91+$AF91)=0,0,INDEX(Premises!$A$30:$F$30,1,$CH91)/100)</f>
        <v>0</v>
      </c>
      <c r="AH91" s="414"/>
      <c r="AI91" s="415"/>
      <c r="AJ91" s="416"/>
      <c r="AK91" s="630">
        <f>IF(COUNTBLANK($AH91:$AI91),0,$AH91*$AI91*$AG91)</f>
        <v>0</v>
      </c>
      <c r="AL91" s="631">
        <f>($AK91+$AJ91*$AG91*(1-$AH91)+($J91+$V91+$AF91)*$AG91*(1-$AH91))</f>
        <v>0</v>
      </c>
      <c r="AM91" s="632" cm="1">
        <f t="array" ref="AM91">IF($CI91=0,0,IFERROR(INDEX(MHR[],$CI91,MATCH($CA91,MHR!$B$4:$AY$4,0)+11),0))</f>
        <v>0</v>
      </c>
      <c r="AN91" s="633" cm="1">
        <f t="array" ref="AN91">IF(($J91+$V91)=0,0,IFERROR(IF(INDEX(Premises!$A$41:$F$41,1,$CH91)&lt;&gt;0,INDEX(Premises!$A$41:$F$41,1,$CH91)/100,(IFERROR(($J91/$I91)*$AM91,0)/($V91+$J91+$R91+$AL91))),0))</f>
        <v>0</v>
      </c>
      <c r="AO91" s="634">
        <f>IF(($J91+$V91)=0,0,IF(IFERROR(($J91+$R91+$V91+$AL91)*$AN91,0)&lt;&gt;IFERROR(($J91/$I91)*$AM91,0),($J91+$R91+$V91+$AL91)*$AN91,IFERROR(($J91/$I91)*$AM91,0)))</f>
        <v>0</v>
      </c>
      <c r="AP91" s="635">
        <f>$V91+$J91+$R91+$AA91+$AF91+$AL91+$AO91</f>
        <v>0</v>
      </c>
      <c r="AQ91" s="410"/>
      <c r="AR91" s="409"/>
      <c r="AS91" s="636" cm="1">
        <f t="array" ref="AS91">IF($CJ91=0,0,IFERROR(INDEX(MAT[Einheit],$CJ91,1),0))</f>
        <v>0</v>
      </c>
      <c r="AT91" s="637" cm="1">
        <f t="array" ref="AT91">IF($CJ91=0,0,IFERROR(INDEX(MAT[Preis],$CJ91,1),0))</f>
        <v>0</v>
      </c>
      <c r="AU91" s="638">
        <f>$AR91*$AT91</f>
        <v>0</v>
      </c>
      <c r="AV91" s="639" cm="1">
        <f t="array" ref="AV91">IF($AU91&lt;=0,0,INDEX(Premises!$A$30:$F$30,1,$CH91)/100)</f>
        <v>0</v>
      </c>
      <c r="AW91" s="409"/>
      <c r="AX91" s="631">
        <f>IF($AV91=0,0,($AU91+$AW91)*$AV91)</f>
        <v>0</v>
      </c>
      <c r="AY91" s="640" cm="1">
        <f t="array" ref="AY91">IF($AT91&lt;=0,0,IFERROR(IF(INDEX(Premises!$A$42:$F$42,1,$CH91)&lt;&gt;0,INDEX(Premises!$A$42:$F$42,1,$CH91)/100,(INDEX(MAT[],$CJ91,MATCH($CA91,MAT!$B$4:$AE$4,0))/($AR91*$CK91*INDEX(Premises!$A$13:$F$13,1,$CH91))+INDEX(MAT[],$CJ91,MATCH($CA91,MAT!$B$4:$AE$4,0)+7))/$AT91),0))</f>
        <v>0</v>
      </c>
      <c r="AZ91" s="631">
        <f>IF($AY91=0,0,($AU91+$AX91)*$AY91)</f>
        <v>0</v>
      </c>
      <c r="BA91" s="635">
        <f>$AU91+$AX91+$AZ91</f>
        <v>0</v>
      </c>
      <c r="BB91" s="635">
        <f>$AP91+$BA91</f>
        <v>0</v>
      </c>
      <c r="BC91" s="639" cm="1">
        <f t="array" ref="BC91">IF($BB91&lt;=0,0,IF(BC$2=-1,0,INDEX(Premises!$A$32:$F$32,1,$CH91)/100))</f>
        <v>0</v>
      </c>
      <c r="BD91" s="631">
        <f>IF($AP91&lt;=0,0,($AP91-$AA91-$AL91)*$BC91)</f>
        <v>0</v>
      </c>
      <c r="BE91" s="639" cm="1">
        <f t="array" ref="BE91">IF($BB91&lt;=0,0,IF(BE$2=-1,0,INDEX(Premises!$A$33:$F$33,1,$CH91)/100))</f>
        <v>0</v>
      </c>
      <c r="BF91" s="631">
        <f>IF($BA91&lt;=0,0,$BA91*$BE91)</f>
        <v>0</v>
      </c>
      <c r="BG91" s="639" cm="1">
        <f t="array" ref="BG91">IF($BB91&lt;=0,0,IF(BG$2=-1,0,INDEX(Premises!$A$31:$F$31,1,$CH91)/100))</f>
        <v>0</v>
      </c>
      <c r="BH91" s="631">
        <f>(($AP91-$AA91-$AL91)+$BA91)*$BG91</f>
        <v>0</v>
      </c>
      <c r="BI91" s="635">
        <f>$BB91+$BD91+$BF91+$BH91</f>
        <v>0</v>
      </c>
      <c r="BJ91" s="639" cm="1">
        <f t="array" ref="BJ91">IF($BB91&lt;=0,0,IF(BJ$2=-1,0,INDEX(Premises!$A$35:$F$35,1,$CH91)/100))</f>
        <v>0</v>
      </c>
      <c r="BK91" s="631">
        <f>IF($AP91&lt;=0,0,($AP91-$AL91-$AA91)*$BJ91)</f>
        <v>0</v>
      </c>
      <c r="BL91" s="639" cm="1">
        <f t="array" ref="BL91">IF($BB91&lt;=0,0,IF(BL$2=-1,0,INDEX(Premises!$A$36:$F$36,1,$CH91)/100))</f>
        <v>0</v>
      </c>
      <c r="BM91" s="631">
        <f>IF($AU91&lt;=0,0,($AR91*$AT91)*$BL91)</f>
        <v>0</v>
      </c>
      <c r="BN91" s="639" cm="1">
        <f t="array" ref="BN91">IF($BB91&lt;=0,0,IF(BN$2=-1,0,INDEX(Premises!$A$34:$F$34,1,$CH91)/100))</f>
        <v>0</v>
      </c>
      <c r="BO91" s="631">
        <f>(($AP91-$AL91-$AA91)+($AR91*$AT91))*$BN91</f>
        <v>0</v>
      </c>
      <c r="BP91" s="639" cm="1">
        <f t="array" ref="BP91">IF($BI91=0,0,INDEX(Premises!$A$37:$F$37,1,$CH91)/100)</f>
        <v>0</v>
      </c>
      <c r="BQ91" s="409"/>
      <c r="BR91" s="631">
        <f>($BI91+$BK91+$BM91+$BO91)*$BP91+$BQ91</f>
        <v>0</v>
      </c>
      <c r="BS91" s="641">
        <f>BI91+BK91+BM91+BO91+BR91</f>
        <v>0</v>
      </c>
      <c r="BT91" s="641">
        <f>IF($BS91=0,0,$CK91*$BS91)</f>
        <v>0</v>
      </c>
      <c r="BU91" s="642">
        <f>IF($BT91=0,0,MAX(1,$EB91/$DP91))</f>
        <v>0</v>
      </c>
      <c r="BV91" s="417"/>
      <c r="BW91" s="418"/>
      <c r="BX91" s="418"/>
      <c r="BY91" s="419"/>
      <c r="BZ91" s="968"/>
      <c r="CA91" s="280" cm="1">
        <f t="array" ref="CA91">IF($BZ91&gt;0,VALUE(LEFT($BZ91,IF(ISERROR(FIND("-",$BZ91)),LEN($BZ91),FIND("-",$BZ91)-1))),INDEX($CA$1:$CA91,MAX(1,$CD91)))</f>
        <v>1</v>
      </c>
      <c r="CB91" s="280" cm="1">
        <f t="array" ref="CB91">IF($BT91=0,0,IF(LEN($BZ91)-LEN(SUBSTITUTE($BZ91,"-",""))&gt;1,
VALUE(MID($BZ91,FIND("-",$BZ91)+1,FIND("-",$BZ91,FIND("-",$BZ91)+1)-FIND("-",$BZ91)-1)),IF($BZ91&gt;0,0,INDEX($CB$1:$CB91,MAX(1,$CD91)))))</f>
        <v>0</v>
      </c>
      <c r="CC91" s="280" cm="1">
        <f t="array" ref="CC91">IF($BT91=0,0,IF(NOT(ISERROR(FIND("-",BZ91))),
VALUE(RIGHT($BZ91,LEN($BZ91)-IF(LEN($BZ91)-LEN(SUBSTITUTE($BZ91,"-",""))=1,FIND("-",$BZ91),FIND("-",$BZ91,FIND("-",$BZ91)+1)))),
IF($BZ91&gt;0,0,INDEX($CC$1:$CC91,MAX(1,$CD91)))))</f>
        <v>0</v>
      </c>
      <c r="CD91" s="393">
        <f>MATCH(0,$CE$1:$CE91,-1)</f>
        <v>87</v>
      </c>
      <c r="CE91" s="280"/>
      <c r="CF91" s="394"/>
      <c r="CG91" s="393" cm="1">
        <f t="array" ref="CG91">INDEX($CG$1:$CG91,$CD91)</f>
        <v>9</v>
      </c>
      <c r="CH91" s="280">
        <f>MATCH($CA91,Premises!$A$10:$F$10,0)</f>
        <v>4</v>
      </c>
      <c r="CI91" s="280">
        <f>IF(ISBLANK($E91),0,IFERROR(MATCH($E91,MHR[Bezeichnung],0),0))</f>
        <v>0</v>
      </c>
      <c r="CJ91" s="394">
        <f>IF(ISBLANK($AQ91),0,IFERROR(MATCH($AQ91,MAT[Bezeichnung],0),0))</f>
        <v>0</v>
      </c>
      <c r="CK91" s="280" cm="1">
        <f t="array" ref="CK91">INDEX($D$1:$D91,$CD91)</f>
        <v>1</v>
      </c>
      <c r="CL91" s="280"/>
      <c r="CM91" s="395"/>
      <c r="CN91" s="396" cm="1">
        <f t="array" ref="CN91">IF($CB91=0,0,IF($CB91=INDEX($CB$1:$CB91,$CD91),INDEX($CN$1:$CN91,$CD91),$CP91))</f>
        <v>0</v>
      </c>
      <c r="CO91" s="395"/>
      <c r="CP91" s="396" cm="1">
        <f t="array" ref="CP91">IF($CC91=0,0,INDEX($CP$1:$CP91,$CD91))</f>
        <v>0</v>
      </c>
      <c r="CQ91" s="397"/>
      <c r="CR91" s="398"/>
      <c r="CS91" s="398"/>
      <c r="CT91" s="970"/>
      <c r="CU91" s="2"/>
      <c r="CV91" s="647">
        <f>$J91*$CK91</f>
        <v>0</v>
      </c>
      <c r="CW91" s="648">
        <f>$R91*$CK91</f>
        <v>0</v>
      </c>
      <c r="CX91" s="648">
        <f>$V91*$CK91</f>
        <v>0</v>
      </c>
      <c r="CY91" s="648">
        <f>$AA91*$CK91</f>
        <v>0</v>
      </c>
      <c r="CZ91" s="648">
        <f>$AF91*$CK91</f>
        <v>0</v>
      </c>
      <c r="DA91" s="648">
        <f>$AL91*$CK91</f>
        <v>0</v>
      </c>
      <c r="DB91" s="648">
        <f>$AO91*$CK91</f>
        <v>0</v>
      </c>
      <c r="DC91" s="649">
        <f>$AP91*$CK91</f>
        <v>0</v>
      </c>
      <c r="DD91" s="648">
        <f>$AU91*$CK91</f>
        <v>0</v>
      </c>
      <c r="DE91" s="648">
        <f>$AX91*$CK91</f>
        <v>0</v>
      </c>
      <c r="DF91" s="648">
        <f>$AZ91*$CK91</f>
        <v>0</v>
      </c>
      <c r="DG91" s="649">
        <f>$BA91*$CK91</f>
        <v>0</v>
      </c>
      <c r="DH91" s="649">
        <f>$BB91*$CK91</f>
        <v>0</v>
      </c>
      <c r="DI91" s="648">
        <f>$BD91*$CK91</f>
        <v>0</v>
      </c>
      <c r="DJ91" s="648">
        <f>$BF91*$CK91</f>
        <v>0</v>
      </c>
      <c r="DK91" s="648">
        <f>$BH91*$CK91</f>
        <v>0</v>
      </c>
      <c r="DL91" s="648">
        <f>$BK91*$CK91</f>
        <v>0</v>
      </c>
      <c r="DM91" s="648">
        <f>$BM91*$CK91</f>
        <v>0</v>
      </c>
      <c r="DN91" s="648">
        <f>$BO91*$CK91</f>
        <v>0</v>
      </c>
      <c r="DO91" s="648">
        <f>$BR91*$CK91</f>
        <v>0</v>
      </c>
      <c r="DP91" s="651">
        <f>$CK91*($BB91+$BD91+$BF91+$BH91+$BK91+$BM91+$BO91+$BR91)</f>
        <v>0</v>
      </c>
      <c r="DQ91" s="951">
        <f>IF($CB91=0,0,$DP91*_xlfn.XLOOKUP($CB91,Premises!$A$10:$F$10,Premises!$A$30:$F$30)/100)</f>
        <v>0</v>
      </c>
      <c r="DR91" s="650">
        <f>IFERROR(SUM($DP91:$DQ91)*IF(INDEX(Premises!$A$42:$F$42,1,MATCH($CB91,Premises!$A$10:$F$10,0))&gt;0,INDEX(Premises!$A$42:$F$42,1,MATCH($CB91,Premises!$A$10:$F$10,0))%,$CN91),0)</f>
        <v>0</v>
      </c>
      <c r="DS91" s="650" cm="1">
        <f t="array" ref="DS91">IF($CB91=0,0,SUM($DP91:$DR91)*_xlfn.XLOOKUP($CB91,Premises!$A$10:$F$10,IF(INDEX(Settings[],MATCH(3001,Settings[ID],0),2)="B",Premises!$A$33:$F$33,Premises!$A$31:$F$31))/100)</f>
        <v>0</v>
      </c>
      <c r="DT91" s="650" cm="1">
        <f t="array" ref="DT91">IF($CB91=0,0,$DP91*_xlfn.XLOOKUP($CB91,Premises!$A$10:$F$10,IF(INDEX(Settings[],MATCH(3002,Settings[ID],0),2)="B",Premises!$A$36:$F$36,Premises!$A$34:$F$34))/100)</f>
        <v>0</v>
      </c>
      <c r="DU91" s="650">
        <f>IF($CB91=0,0,SUM($DP91:$DT91)*_xlfn.XLOOKUP($CB91,Premises!$A$10:$F$10,Premises!$A$37:$F$37)/100)</f>
        <v>0</v>
      </c>
      <c r="DV91" s="954">
        <f>SUM($DP91:$DU91)</f>
        <v>0</v>
      </c>
      <c r="DW91" s="951">
        <f>IF($CC91=0,0,$DV91*_xlfn.XLOOKUP($CC91,Premises!$A$10:$F$10,Premises!$A$30:$F$30)/100)</f>
        <v>0</v>
      </c>
      <c r="DX91" s="650">
        <f>IFERROR(SUM($DV91:$DW91)*IF(INDEX(Premises!$A$42:$F$42,1,MATCH($CC91,Premises!$A$10:$F$10,0))&gt;0,INDEX(Premises!$A$42:$F$42,1,MATCH($CC91,Premises!$A$10:$F$10,0))%,$CP91),0)</f>
        <v>0</v>
      </c>
      <c r="DY91" s="650" cm="1">
        <f t="array" ref="DY91">IF($CC91=0,0,SUM($DV91:$DX91)*_xlfn.XLOOKUP($CC91,Premises!$A$10:$F$10,IF(INDEX(Settings[],MATCH(3001,Settings[ID],0),2)="B",Premises!$A$33:$F$33,Premises!$A$31:$F$31))/100)</f>
        <v>0</v>
      </c>
      <c r="DZ91" s="650" cm="1">
        <f t="array" ref="DZ91">IF($CC91=0,0,$DV91*_xlfn.XLOOKUP($CC91,Premises!$A$10:$F$10,IF(INDEX(Settings[],MATCH(3002,Settings[ID],0),2)="B",Premises!$A$36:$F$36,Premises!$A$34:$F$34))/100)</f>
        <v>0</v>
      </c>
      <c r="EA91" s="650">
        <f>IF($CC91=0,0,SUM($DV91:$DZ91)*_xlfn.XLOOKUP($CC91,Premises!$A$10:$F$10,Premises!$A$37:$F$37)/100)</f>
        <v>0</v>
      </c>
      <c r="EB91" s="651">
        <f>SUM($DV91:$EA91)</f>
        <v>0</v>
      </c>
      <c r="EC91" s="805"/>
      <c r="ED91" s="1104"/>
      <c r="EE91" s="650"/>
      <c r="EF91" s="1110"/>
      <c r="EG91" s="1108"/>
      <c r="EH91" s="1108"/>
      <c r="EI91" s="1108"/>
      <c r="EJ91" s="1108"/>
      <c r="EK91" s="1108"/>
      <c r="EL91" s="1108"/>
      <c r="EM91" s="1110"/>
      <c r="EN91" s="1108"/>
      <c r="EO91" s="1108"/>
      <c r="EP91" s="1108"/>
      <c r="EQ91" s="1108"/>
      <c r="ER91" s="1110"/>
      <c r="ES91" s="1108"/>
      <c r="ET91" s="1108"/>
      <c r="EU91" s="1108"/>
      <c r="EV91" s="1108"/>
      <c r="EW91" s="1108"/>
      <c r="EX91" s="1111"/>
      <c r="EY91" s="2"/>
      <c r="EZ91" s="2"/>
      <c r="FA91" s="2"/>
      <c r="FB91" s="2"/>
      <c r="FC91" s="2"/>
      <c r="FD91" s="2"/>
      <c r="FE91" s="2"/>
      <c r="FF91" s="2"/>
      <c r="FG91" s="2"/>
      <c r="FH91" s="2"/>
      <c r="FI91" s="2"/>
      <c r="FJ91" s="420"/>
      <c r="FK91" s="421"/>
      <c r="FL91" s="422"/>
      <c r="FM91" s="970"/>
    </row>
    <row r="92" spans="1:169" s="13" customFormat="1" ht="12.75" customHeight="1">
      <c r="A92" s="221"/>
      <c r="B92" s="387" t="str">
        <f>BOM!$A$10</f>
        <v>01-01-03-03 Display</v>
      </c>
      <c r="C92" s="388"/>
      <c r="D92" s="389" cm="1">
        <f t="array" ref="D92">IF($CG92=0,0,INDEX(BOM!$N:$N,$CG92))</f>
        <v>1</v>
      </c>
      <c r="E92" s="644" t="s">
        <v>664</v>
      </c>
      <c r="F92" s="644" t="s">
        <v>664</v>
      </c>
      <c r="G92" s="644" t="s">
        <v>664</v>
      </c>
      <c r="H92" s="644" t="s">
        <v>664</v>
      </c>
      <c r="I92" s="644" t="s">
        <v>664</v>
      </c>
      <c r="J92" s="644" t="s">
        <v>664</v>
      </c>
      <c r="K92" s="644" t="s">
        <v>664</v>
      </c>
      <c r="L92" s="644" t="s">
        <v>664</v>
      </c>
      <c r="M92" s="644" t="s">
        <v>664</v>
      </c>
      <c r="N92" s="644" t="s">
        <v>664</v>
      </c>
      <c r="O92" s="644" t="s">
        <v>664</v>
      </c>
      <c r="P92" s="644" t="s">
        <v>664</v>
      </c>
      <c r="Q92" s="644" t="s">
        <v>664</v>
      </c>
      <c r="R92" s="644" t="s">
        <v>664</v>
      </c>
      <c r="S92" s="644" t="s">
        <v>664</v>
      </c>
      <c r="T92" s="644" t="s">
        <v>664</v>
      </c>
      <c r="U92" s="644" t="s">
        <v>664</v>
      </c>
      <c r="V92" s="644" t="s">
        <v>664</v>
      </c>
      <c r="W92" s="644" t="s">
        <v>664</v>
      </c>
      <c r="X92" s="644" t="s">
        <v>664</v>
      </c>
      <c r="Y92" s="644" t="s">
        <v>664</v>
      </c>
      <c r="Z92" s="644" t="s">
        <v>664</v>
      </c>
      <c r="AA92" s="644" t="s">
        <v>664</v>
      </c>
      <c r="AB92" s="644" t="s">
        <v>664</v>
      </c>
      <c r="AC92" s="644" t="s">
        <v>664</v>
      </c>
      <c r="AD92" s="644" t="s">
        <v>664</v>
      </c>
      <c r="AE92" s="644" t="s">
        <v>664</v>
      </c>
      <c r="AF92" s="644" t="s">
        <v>664</v>
      </c>
      <c r="AG92" s="644" t="s">
        <v>664</v>
      </c>
      <c r="AH92" s="644" t="s">
        <v>664</v>
      </c>
      <c r="AI92" s="644" t="s">
        <v>664</v>
      </c>
      <c r="AJ92" s="644" t="s">
        <v>664</v>
      </c>
      <c r="AK92" s="644" t="s">
        <v>664</v>
      </c>
      <c r="AL92" s="644" t="s">
        <v>664</v>
      </c>
      <c r="AM92" s="644" t="s">
        <v>664</v>
      </c>
      <c r="AN92" s="644" t="s">
        <v>664</v>
      </c>
      <c r="AO92" s="644" t="s">
        <v>664</v>
      </c>
      <c r="AP92" s="644" t="s">
        <v>664</v>
      </c>
      <c r="AQ92" s="644" t="s">
        <v>664</v>
      </c>
      <c r="AR92" s="644" t="s">
        <v>664</v>
      </c>
      <c r="AS92" s="644" t="s">
        <v>664</v>
      </c>
      <c r="AT92" s="644" t="s">
        <v>664</v>
      </c>
      <c r="AU92" s="644" t="s">
        <v>664</v>
      </c>
      <c r="AV92" s="644" t="s">
        <v>664</v>
      </c>
      <c r="AW92" s="644" t="s">
        <v>664</v>
      </c>
      <c r="AX92" s="644" t="s">
        <v>664</v>
      </c>
      <c r="AY92" s="644" t="s">
        <v>664</v>
      </c>
      <c r="AZ92" s="644" t="s">
        <v>664</v>
      </c>
      <c r="BA92" s="644" t="s">
        <v>664</v>
      </c>
      <c r="BB92" s="644" t="s">
        <v>664</v>
      </c>
      <c r="BC92" s="644" t="s">
        <v>664</v>
      </c>
      <c r="BD92" s="644" t="s">
        <v>664</v>
      </c>
      <c r="BE92" s="644" t="s">
        <v>664</v>
      </c>
      <c r="BF92" s="644" t="s">
        <v>664</v>
      </c>
      <c r="BG92" s="644" t="s">
        <v>664</v>
      </c>
      <c r="BH92" s="644" t="s">
        <v>664</v>
      </c>
      <c r="BI92" s="644" t="s">
        <v>664</v>
      </c>
      <c r="BJ92" s="644" t="s">
        <v>664</v>
      </c>
      <c r="BK92" s="644" t="s">
        <v>664</v>
      </c>
      <c r="BL92" s="644" t="s">
        <v>664</v>
      </c>
      <c r="BM92" s="644" t="s">
        <v>664</v>
      </c>
      <c r="BN92" s="644" t="s">
        <v>664</v>
      </c>
      <c r="BO92" s="644" t="s">
        <v>664</v>
      </c>
      <c r="BP92" s="644" t="s">
        <v>664</v>
      </c>
      <c r="BQ92" s="644" t="s">
        <v>664</v>
      </c>
      <c r="BR92" s="644" t="s">
        <v>664</v>
      </c>
      <c r="BS92" s="920">
        <f>SUM(INDEX($BS:$BS,ROW()+1):INDEX($BS:$BS,$CE92))</f>
        <v>2.8199988574059085</v>
      </c>
      <c r="BT92" s="920">
        <f>SUM(INDEX($BT:$BT,ROW()+1):INDEX($BT:$BT,$CE92))</f>
        <v>2.8199988574059085</v>
      </c>
      <c r="BU92" s="644" t="s">
        <v>664</v>
      </c>
      <c r="BV92" s="643">
        <f>SUMPRODUCT($BS92:INDEX($BS:$BS,$CE92),$BU92:INDEX($BU:$BU,$CE92))</f>
        <v>2.8199988574059085</v>
      </c>
      <c r="BW92" s="390">
        <f>$D92*$BV92</f>
        <v>2.8199988574059085</v>
      </c>
      <c r="BX92" s="816" cm="1">
        <f t="array" ref="BX92">IF($CG92=0,0,IF(INDEX(BOM!$P:$P,$CG92)=0,0,
SUMPRODUCT($BW92:INDEX($BW:$BW,IFERROR(ROW()+MATCH($CL92,INDEX($CL:$CL,ROW()+1):INDEX($CL:$CL,MAX($CE:$CE)),0)-1,MAX($CE:$CE))),
($CL92:INDEX($CL:$CL,IFERROR(ROW()+MATCH($CL92,INDEX($CL:$CL,ROW()+1):INDEX($CL:$CL,MAX($CE:$CE)),0)-1,MAX($CE:$CE)))&gt;=$CL92)*1)
))</f>
        <v>0</v>
      </c>
      <c r="BY92" s="391"/>
      <c r="BZ92" s="392" cm="1">
        <f t="array" ref="BZ92">IF($CG92=0,0,INDEX(BOM!$M:$M,$CG92))</f>
        <v>1</v>
      </c>
      <c r="CA92" s="280">
        <f>IF($BZ92&gt;0,VALUE(LEFT($BZ92,IF(ISERROR(FIND("-",$BZ92)),LEN($BZ92),FIND("-",$BZ92)-1))),INDEX($BZ$1:BZ92,MATCH("",$A$1:A92,-1)))</f>
        <v>1</v>
      </c>
      <c r="CB92" s="280">
        <f>IF(LEN($BZ92)-LEN(SUBSTITUTE($BZ92,"-",))&gt;1,
VALUE(MID($BZ92,FIND("-",$BZ92)+1,FIND("-",$BZ92,FIND("-",$BZ92)+1)-FIND("-",$BZ92)-1)),0)</f>
        <v>0</v>
      </c>
      <c r="CC92" s="280">
        <f>IF(NOT(ISERROR(FIND("-",BZ92))),
VALUE(RIGHT($BZ92,LEN($BZ92)-IF(LEN($BZ92)-LEN(SUBSTITUTE($BZ92,"-",""))=1,FIND("-",$BZ92),FIND("-",$BZ92,FIND("-",$BZ92)+1)))),0)</f>
        <v>0</v>
      </c>
      <c r="CD92" s="393"/>
      <c r="CE92" s="280" cm="1">
        <f t="array" ref="CE92">ROW()+MATCH(TRUE,_xlfn.ISFORMULA(INDEX(BW:BW,ROW()+1):INDEX(BW:BW,ROW()+MaxNumberOfRowsPerBlock)),0)-1</f>
        <v>97</v>
      </c>
      <c r="CF92" s="394" cm="1">
        <f t="array" ref="CF92">IF(CL92=0,-1,IF(CL92=1,7,MAX(IF($CL$1:$CL92=CL92-1,ROW($CL$1:$CL92),0))))</f>
        <v>49</v>
      </c>
      <c r="CG92" s="393">
        <f>IFERROR(MATCH($B92,BOM!$A:$A,0),0)</f>
        <v>10</v>
      </c>
      <c r="CH92" s="280">
        <f>MATCH($CA92,Premises!$A$10:$F$10,0)</f>
        <v>4</v>
      </c>
      <c r="CI92" s="280"/>
      <c r="CJ92" s="394"/>
      <c r="CK92" s="280"/>
      <c r="CL92" s="280" cm="1">
        <f t="array" ref="CL92">IF($CG92=0,0,INDEX(BOM!$C:$C,$CG92))</f>
        <v>4</v>
      </c>
      <c r="CM92" s="395" cm="1">
        <f t="array" ref="CM92">IF($CG92=0,0,IF(OR($CF92&lt;0,AND(INDEX($CB:$CB,$CF92)=$CB92,INDEX($CC:$CC,$CF92)=$CC92)),0,IF(INDEX(BOM!$P:$P,$CG92)=0,$BT92,(SUMIF($CA92:INDEX($CA:$CA,IFERROR(ROW()+MATCH($CL92,INDEX($CL:$CL,ROW()+1):INDEX($CL:$CL,MAX($CE:$CE)),0)-1,MAX($CE:$CE))),$CA92,$BT92:INDEX($BT:$BT,IFERROR(ROW()+MATCH($CL92,INDEX($CL:$CL,ROW()+1):INDEX($CL:$CL,MAX($CE:$CE)),0)-1,MAX($CE:$CE))))+SUMIF($CB92:INDEX($CB:$CB,IFERROR(ROW()+MATCH($CL92,INDEX($CL:$CL,ROW()+1):INDEX($CL:$CL,MAX($CE:$CE)),0)-1,MAX($CE:$CE))),$CA92,$BT92:INDEX($BT:$BT,IFERROR(ROW()+MATCH($CL92,INDEX($CL:$CL,ROW()+1):INDEX($CL:$CL,MAX($CE:$CE)),0)-1,MAX($CE:$CE)))))/2)))</f>
        <v>0</v>
      </c>
      <c r="CN92" s="396" cm="1">
        <f t="array" ref="CN92">IFERROR(IF($CB92=0,0,IF($CM92=0,INDEX($CN$1:$CN92,$CF92),INDEX(IF($CM92&lt;0.2,Premises!$A$43:$F$43,IF($CM92&lt;5,Premises!$A$46:$F$46,Premises!$A$49:$F$49)),MATCH($CB92,Premises!$A$10:$F$10,0))/($CM92*INDEX(Premises!$A$13:$F$13,MATCH($CB92,Premises!$A$10:$F$10,0)))+INDEX(IF($CM92&lt;0.2,Premises!$A$44:$F$44,IF($CM92&lt;5,Premises!$A$47:$F$47,Premises!$A$50:$F$50)),MATCH($CB92,Premises!$A$10:$F$10,0))+INDEX(IF($CM92&lt;0.2,Premises!$A$45:$F$45,IF($CM92&lt;5,Premises!$A$48:$F$48,Premises!$A$51:$F$51)),MATCH($CB92,Premises!$A$10:$F$10,0))/$CM92)),0.01)</f>
        <v>0</v>
      </c>
      <c r="CO92" s="395" cm="1">
        <f t="array" ref="CO92">IF($CG92=0,0,IF(INDEX($CC:$CC,$CF92)=$CC92,0,$CM92*(1+IFERROR(INDEX(Premises!$A$52:$F$52,1,MATCH($CB92,Premises!$A$10:$F$10,0)),0)+$CN92)))</f>
        <v>0</v>
      </c>
      <c r="CP92" s="396" cm="1">
        <f t="array" ref="CP92">IFERROR(IF($CC92=0,0,IF($CO92=0,INDEX($CP$1:$CP92,$CF92),INDEX(IF($CO92&lt;0.2,Premises!$A$43:$F$43,IF($CO92&lt;5,Premises!$A$46:$F$46,Premises!$A$49:$F$49)),MATCH($CC92,Premises!$A$10:$F$10,0))/($CO92*INDEX(Premises!$A$13:$F$13,MATCH($CC92,Premises!$A$10:$F$10,0)))+INDEX(IF($CO92&lt;0.2,Premises!$A$44:$F$44,IF($CO92&lt;5,Premises!$A$47:$F$47,Premises!$A$50:$F$50)),MATCH($CC92,Premises!$A$10:$F$10,0))+INDEX(IF($CO92&lt;0.2,Premises!$A$45:$F$45,IF($CO92&lt;5,Premises!$A$48:$F$48,Premises!$A$51:$F$51)),MATCH($CC92,Premises!$A$10:$F$10,0))/$CO92)),0.01)</f>
        <v>0</v>
      </c>
      <c r="CQ92" s="397" cm="1">
        <f t="array" ref="CQ92">IF(AND($CM92=0,$CO92=0),0,INDEX(BOM!$O:$O,$CG92))</f>
        <v>0</v>
      </c>
      <c r="CR92" s="398" cm="1">
        <f t="array" ref="CR92">IF(OR($CM92=0,$CN92=0),0,ACOS(COS(RADIANS(90-INDEX(Premises!$A$66:$F$66,1,$CH92)))*COS(RADIANS(90-INDEX(Premises!$A$66:$F$66,1,MATCH($CB92,Premises!$A$10:$F$10,0))))
+SIN(RADIANS(90-INDEX(Premises!$A$66:$F$66,1,$CH92)))*SIN(RADIANS(90-INDEX(Premises!$A$66:$F$66,1,MATCH($CB92,Premises!$A$10:$F$10,0)))) * COS(RADIANS(INDEX(Premises!$A$67:$F$67,1,$CH92)-INDEX(Premises!$A$67:$F$67,1,MATCH($CB92,Premises!$A$10:$F$10,0)))))*6371)</f>
        <v>0</v>
      </c>
      <c r="CS92" s="398" cm="1">
        <f t="array" ref="CS92">IF(OR($CO92=0,$CP92=0),0,
IF($CR92=0,ACOS(COS(RADIANS(90-INDEX(Premises!$A$66:$F$66,1,$CH92)))*COS(RADIANS(90-INDEX(Premises!$A$66:$F$66,1,MATCH($CC92,Premises!$A$10:$F$10,0))))
+SIN(RADIANS(90-INDEX(Premises!$A$66:$F$66,1,$CH92)))*SIN(RADIANS(90-INDEX(Premises!$A$66:$F$66,1,MATCH($CC92,Premises!$A$10:$F$10,0))))*COS(RADIANS(INDEX(Premises!$A$67:$F$67,1,$CH92)-INDEX(Premises!$A$67:$F$67,1,MATCH($CC92,Premises!$A$10:$F$10,0)))))*6371,
ACOS(COS(RADIANS(90-INDEX(Premises!$A$66:$F$66,1,MATCH($CB92,Premises!$A$10:$F$10,0))))*COS(RADIANS(90-INDEX(Premises!$A$66:$F$66,1,MATCH($CC92,Premises!$A$10:$F$10,0))))
+SIN(RADIANS(90-INDEX(Premises!$A$66:$F$66,1,MATCH($CB92,Premises!$A$10:$F$10,0))))*SIN(RADIANS(90-INDEX(Premises!$A$66:$F$66,1,MATCH($CC92,Premises!$A$10:$F$10,0))))*COS(RADIANS(INDEX(Premises!$A$67:$F$67,1,MATCH($CB92,Premises!$A$10:$F$10,0))-INDEX(Premises!$A$67:$F$67,1,MATCH($CC92,Premises!$A$10:$F$10,0)))))*6371))</f>
        <v>0</v>
      </c>
      <c r="CT92" s="969"/>
      <c r="CU92" s="2"/>
      <c r="CV92" s="399">
        <f>SUM(INDEX(CV:CV,ROW()+1):INDEX(CV:CV,$CE92))</f>
        <v>0</v>
      </c>
      <c r="CW92" s="400">
        <f>SUM(INDEX(CW:CW,ROW()+1):INDEX(CW:CW,$CE92))</f>
        <v>0</v>
      </c>
      <c r="CX92" s="400">
        <f>SUM(INDEX(CX:CX,ROW()+1):INDEX(CX:CX,$CE92))</f>
        <v>0</v>
      </c>
      <c r="CY92" s="400">
        <f>SUM(INDEX(CY:CY,ROW()+1):INDEX(CY:CY,$CE92))</f>
        <v>0</v>
      </c>
      <c r="CZ92" s="400">
        <f>SUM(INDEX(CZ:CZ,ROW()+1):INDEX(CZ:CZ,$CE92))</f>
        <v>0</v>
      </c>
      <c r="DA92" s="400">
        <f>SUM(INDEX(DA:DA,ROW()+1):INDEX(DA:DA,$CE92))</f>
        <v>0</v>
      </c>
      <c r="DB92" s="400">
        <f>SUM(INDEX(DB:DB,ROW()+1):INDEX(DB:DB,$CE92))</f>
        <v>0</v>
      </c>
      <c r="DC92" s="400">
        <f>SUM(INDEX(DC:DC,ROW()+1):INDEX(DC:DC,$CE92))</f>
        <v>0</v>
      </c>
      <c r="DD92" s="400">
        <f>SUM(INDEX(DD:DD,ROW()+1):INDEX(DD:DD,$CE92))</f>
        <v>2.34</v>
      </c>
      <c r="DE92" s="400">
        <f>SUM(INDEX(DE:DE,ROW()+1):INDEX(DE:DE,$CE92))</f>
        <v>2.3400000000000001E-2</v>
      </c>
      <c r="DF92" s="400">
        <f>SUM(INDEX(DF:DF,ROW()+1):INDEX(DF:DF,$CE92))</f>
        <v>1.8465651027473953E-2</v>
      </c>
      <c r="DG92" s="400">
        <f>SUM(INDEX(DG:DG,ROW()+1):INDEX(DG:DG,$CE92))</f>
        <v>2.3818656510274741</v>
      </c>
      <c r="DH92" s="400">
        <f>SUM(INDEX(DH:DH,ROW()+1):INDEX(DH:DH,$CE92))</f>
        <v>2.3818656510274741</v>
      </c>
      <c r="DI92" s="400">
        <f>SUM(INDEX(DI:DI,ROW()+1):INDEX(DI:DI,$CE92))</f>
        <v>0</v>
      </c>
      <c r="DJ92" s="400">
        <f>SUM(INDEX(DJ:DJ,ROW()+1):INDEX(DJ:DJ,$CE92))</f>
        <v>0</v>
      </c>
      <c r="DK92" s="400">
        <f>SUM(INDEX(DK:DK,ROW()+1):INDEX(DK:DK,$CE92))</f>
        <v>0.29773320637843426</v>
      </c>
      <c r="DL92" s="400">
        <f>SUM(INDEX(DL:DL,ROW()+1):INDEX(DL:DL,$CE92))</f>
        <v>0</v>
      </c>
      <c r="DM92" s="400">
        <f>SUM(INDEX(DM:DM,ROW()+1):INDEX(DM:DM,$CE92))</f>
        <v>0</v>
      </c>
      <c r="DN92" s="400">
        <f>SUM(INDEX(DN:DN,ROW()+1):INDEX(DN:DN,$CE92))</f>
        <v>0.1404</v>
      </c>
      <c r="DO92" s="400">
        <f>SUM(INDEX(DO:DO,ROW()+1):INDEX(DO:DO,$CE92))</f>
        <v>0</v>
      </c>
      <c r="DP92" s="400">
        <f>SUM(INDEX(DP:DP,ROW()+1):INDEX(DP:DP,$CE92))</f>
        <v>2.8199988574059085</v>
      </c>
      <c r="DQ92" s="400">
        <f>SUM(INDEX(DQ:DQ,ROW()+1):INDEX(DQ:DQ,$CE92))</f>
        <v>0</v>
      </c>
      <c r="DR92" s="400">
        <f>SUM(INDEX(DR:DR,ROW()+1):INDEX(DR:DR,$CE92))</f>
        <v>0</v>
      </c>
      <c r="DS92" s="400">
        <f>SUM(INDEX(DS:DS,ROW()+1):INDEX(DS:DS,$CE92))</f>
        <v>0</v>
      </c>
      <c r="DT92" s="400">
        <f>SUM(INDEX(DT:DT,ROW()+1):INDEX(DT:DT,$CE92))</f>
        <v>0</v>
      </c>
      <c r="DU92" s="400">
        <f>SUM(INDEX(DU:DU,ROW()+1):INDEX(DU:DU,$CE92))</f>
        <v>0</v>
      </c>
      <c r="DV92" s="400">
        <f>SUM(INDEX(DV:DV,ROW()+1):INDEX(DV:DV,$CE92))</f>
        <v>2.8199988574059085</v>
      </c>
      <c r="DW92" s="400">
        <f>SUM(INDEX(DW:DW,ROW()+1):INDEX(DW:DW,$CE92))</f>
        <v>0</v>
      </c>
      <c r="DX92" s="400">
        <f>SUM(INDEX(DX:DX,ROW()+1):INDEX(DX:DX,$CE92))</f>
        <v>0</v>
      </c>
      <c r="DY92" s="400">
        <f>SUM(INDEX(DY:DY,ROW()+1):INDEX(DY:DY,$CE92))</f>
        <v>0</v>
      </c>
      <c r="DZ92" s="400">
        <f>SUM(INDEX(DZ:DZ,ROW()+1):INDEX(DZ:DZ,$CE92))</f>
        <v>0</v>
      </c>
      <c r="EA92" s="400">
        <f>SUM(INDEX(EA:EA,ROW()+1):INDEX(EA:EA,$CE92))</f>
        <v>0</v>
      </c>
      <c r="EB92" s="401">
        <f>SUM(INDEX(EB:EB,ROW()+1):INDEX(EB:EB,$CE92))</f>
        <v>2.8199988574059085</v>
      </c>
      <c r="EC92" s="805"/>
      <c r="ED92" s="399"/>
      <c r="EE92" s="400"/>
      <c r="EF92" s="1112"/>
      <c r="EG92" s="1112"/>
      <c r="EH92" s="1112"/>
      <c r="EI92" s="1112"/>
      <c r="EJ92" s="1112"/>
      <c r="EK92" s="1112"/>
      <c r="EL92" s="1112"/>
      <c r="EM92" s="1112"/>
      <c r="EN92" s="1112"/>
      <c r="EO92" s="1112"/>
      <c r="EP92" s="1112"/>
      <c r="EQ92" s="1112"/>
      <c r="ER92" s="1112"/>
      <c r="ES92" s="1112"/>
      <c r="ET92" s="1112"/>
      <c r="EU92" s="1112"/>
      <c r="EV92" s="1112"/>
      <c r="EW92" s="1112"/>
      <c r="EX92" s="1113"/>
      <c r="EY92" s="2"/>
      <c r="EZ92" s="2"/>
      <c r="FA92" s="2"/>
      <c r="FB92" s="2"/>
      <c r="FC92" s="2"/>
      <c r="FD92" s="2"/>
      <c r="FE92" s="2"/>
      <c r="FF92" s="2"/>
      <c r="FG92" s="2"/>
      <c r="FH92" s="2"/>
      <c r="FI92" s="2"/>
      <c r="FJ92" s="399"/>
      <c r="FK92" s="400"/>
      <c r="FL92" s="401"/>
      <c r="FM92" s="969"/>
    </row>
    <row r="93" spans="1:169" s="13" customFormat="1" ht="12.75" customHeight="1">
      <c r="A93" s="221"/>
      <c r="B93" s="402" t="s">
        <v>34</v>
      </c>
      <c r="C93" s="403"/>
      <c r="D93" s="646"/>
      <c r="E93" s="404"/>
      <c r="F93" s="405"/>
      <c r="G93" s="405"/>
      <c r="H93" s="405"/>
      <c r="I93" s="637" cm="1">
        <f t="array" ref="I93">IF($CI93=0,0,IFERROR(INDEX(MHR[],$CI93,MATCH($CA93,MHR!$B$4:$AY$4,0)),0))</f>
        <v>0</v>
      </c>
      <c r="J93" s="634">
        <f>IF(COUNTBLANK($E93:$H93),0,IFERROR($F93/$H93/IF($G93="s",3600,IF($G93="min",60,IF($G93="h",1,0)))*I93,0))</f>
        <v>0</v>
      </c>
      <c r="K93" s="406"/>
      <c r="L93" s="407"/>
      <c r="M93" s="871"/>
      <c r="N93" s="407"/>
      <c r="O93" s="405"/>
      <c r="P93" s="645" cm="1">
        <f t="array" ref="P93">IF($K93=0,0,IFERROR(ROUNDUP(IF(ISNUMBER($K93),$K93,INDEX($D$1:$D93,$CD93)*INDEX(Premises!$A$13:$F$13,1,$CH93)/IF(OR($K93="T",$K93="D"),250,IF($K93="W",50,IF($K93="M",12,IF(OR($K93="HJ",$K93="HY"),2,IF(OR($K93="J",$K93="Y"),1,0)))))),0),0))</f>
        <v>0</v>
      </c>
      <c r="Q93" s="637" cm="1">
        <f t="array" ref="Q93">IF($K93=0,0,IFERROR(INDEX(Premises!$A$22:$F$22,1,$CH93)*100/INDEX(Premises!$A$16:$F$16,1,$CH93),0))</f>
        <v>0</v>
      </c>
      <c r="R93" s="634">
        <f>IF($P93=0,0,IFERROR(($L93/60*($I93+$Q93*$M93)+($N93/60*($Q93*$O93)))/$P93,0))</f>
        <v>0</v>
      </c>
      <c r="S93" s="408"/>
      <c r="T93" s="409"/>
      <c r="U93" s="637" cm="1">
        <f t="array" ref="U93">IF(COUNTBLANK($S93:$T93),0,
IF(AND(INDEX(MHR[Schichtmodell],$CI93)&lt;&gt;0,INDEX(MHR[Schichtmodell],$CI93)&lt;&gt;INDEX(Premises!$A$20:$F$20,1,$CH93)),ExchangeRate*
IF(OR($T93="M",$T93="U"),IF(INDEX(MHR[Schichtmodell],$CI93)=1,INDEX(LOC[M1S],INDEX(Premises!$A$18:$F$18,1,$CH93+1)),IF(INDEX(MHR[Schichtmodell],$CI93)=2,INDEX(LOC[M2S],INDEX(Premises!$A$18:$F$18,1,$CH93+1),IF(INDEX(MHR[Schichtmodell],$CI93)=3,INDEX(LOC[M3S],INDEX(Premises!$A$18:$F$18,1,$CH93+1)),0)))),
IF(INDEX(MHR[Schichtmodell],$CI93)=1,INDEX(LOC[F1S],INDEX(Premises!$A$18:$F$18,1,$CH93+1)),IF(INDEX(MHR[Schichtmodell],$CI93)=2,INDEX(LOC[F2S],INDEX(Premises!$A$18:$F$18,1,$CH93+1)),IF(INDEX(MHR[Schichtmodell],$CI93)=3,INDEX(LOC[F3S],INDEX(Premises!$A$18:$F$18,1,$CH93+1)),0)))),
IF(OR($T93="M",$T93="U"),INDEX(Premises!$A$21:$F$21,1,$CH93),
IF(OR($T93="F",$T93="S"),INDEX(Premises!$A$22:$F$22,1,$CH93),0)))*100/INDEX(Premises!$A$16:$F$16,1,$CH93))</f>
        <v>0</v>
      </c>
      <c r="V93" s="631">
        <f>IF($U93=0,0,IFERROR($F93/$H93/IF($G93="s",3600,IF($G93="min",60,IF($G93="h",1,0)))*$S93*$U93,0))</f>
        <v>0</v>
      </c>
      <c r="W93" s="410"/>
      <c r="X93" s="403"/>
      <c r="Y93" s="411"/>
      <c r="Z93" s="412"/>
      <c r="AA93" s="628">
        <f>IFERROR($X93*$Z93/$Y93/MAX(1,$H93),0)</f>
        <v>0</v>
      </c>
      <c r="AB93" s="410"/>
      <c r="AC93" s="403"/>
      <c r="AD93" s="411"/>
      <c r="AE93" s="413"/>
      <c r="AF93" s="628">
        <f>IFERROR($AC93*$AE93/$AD93,0)</f>
        <v>0</v>
      </c>
      <c r="AG93" s="629" cm="1">
        <f t="array" ref="AG93">IF(($J93+$V93+$AF93)=0,0,INDEX(Premises!$A$30:$F$30,1,$CH93)/100)</f>
        <v>0</v>
      </c>
      <c r="AH93" s="414"/>
      <c r="AI93" s="415"/>
      <c r="AJ93" s="416"/>
      <c r="AK93" s="630">
        <f>IF(COUNTBLANK($AH93:$AI93),0,$AH93*$AI93*$AG93)</f>
        <v>0</v>
      </c>
      <c r="AL93" s="631">
        <f>($AK93+$AJ93*$AG93*(1-$AH93)+($J93+$V93+$AF93)*$AG93*(1-$AH93))</f>
        <v>0</v>
      </c>
      <c r="AM93" s="632" cm="1">
        <f t="array" ref="AM93">IF($CI93=0,0,IFERROR(INDEX(MHR[],$CI93,MATCH($CA93,MHR!$B$4:$AY$4,0)+11),0))</f>
        <v>0</v>
      </c>
      <c r="AN93" s="633" cm="1">
        <f t="array" ref="AN93">IF(($J93+$V93)=0,0,IFERROR(IF(INDEX(Premises!$A$41:$F$41,1,$CH93)&lt;&gt;0,INDEX(Premises!$A$41:$F$41,1,$CH93)/100,(IFERROR(($J93/$I93)*$AM93,0)/($V93+$J93+$R93+$AL93))),0))</f>
        <v>0</v>
      </c>
      <c r="AO93" s="634">
        <f>IF(($J93+$V93)=0,0,IF(IFERROR(($J93+$R93+$V93+$AL93)*$AN93,0)&lt;&gt;IFERROR(($J93/$I93)*$AM93,0),($J93+$R93+$V93+$AL93)*$AN93,IFERROR(($J93/$I93)*$AM93,0)))</f>
        <v>0</v>
      </c>
      <c r="AP93" s="635">
        <f>$V93+$J93+$R93+$AA93+$AF93+$AL93+$AO93</f>
        <v>0</v>
      </c>
      <c r="AQ93" s="410" t="s">
        <v>4377</v>
      </c>
      <c r="AR93" s="409">
        <v>1</v>
      </c>
      <c r="AS93" s="636" cm="1">
        <f t="array" ref="AS93">IF($CJ93=0,0,IFERROR(INDEX(MAT[Einheit],$CJ93,1),0))</f>
        <v>0</v>
      </c>
      <c r="AT93" s="637" cm="1">
        <f t="array" ref="AT93">IF($CJ93=0,0,IFERROR(INDEX(MAT[Preis],$CJ93,1),0))</f>
        <v>2.34</v>
      </c>
      <c r="AU93" s="638">
        <f>$AR93*$AT93</f>
        <v>2.34</v>
      </c>
      <c r="AV93" s="639" cm="1">
        <f t="array" ref="AV93">IF($AU93&lt;=0,0,INDEX(Premises!$A$30:$F$30,1,$CH93)/100)</f>
        <v>0.01</v>
      </c>
      <c r="AW93" s="409"/>
      <c r="AX93" s="631">
        <f>IF($AV93=0,0,($AU93+$AW93)*$AV93)</f>
        <v>2.3400000000000001E-2</v>
      </c>
      <c r="AY93" s="640" cm="1">
        <f t="array" ref="AY93">IF($AT93&lt;=0,0,IFERROR(IF(INDEX(Premises!$A$42:$F$42,1,$CH93)&lt;&gt;0,INDEX(Premises!$A$42:$F$42,1,$CH93)/100,(INDEX(MAT[],$CJ93,MATCH($CA93,MAT!$B$4:$AE$4,0))/($AR93*$CK93*INDEX(Premises!$A$13:$F$13,1,$CH93))+INDEX(MAT[],$CJ93,MATCH($CA93,MAT!$B$4:$AE$4,0)+7))/$AT93),0))</f>
        <v>7.8131721365295569E-3</v>
      </c>
      <c r="AZ93" s="631">
        <f>IF($AY93=0,0,($AU93+$AX93)*$AY93)</f>
        <v>1.8465651027473953E-2</v>
      </c>
      <c r="BA93" s="635">
        <f>$AU93+$AX93+$AZ93</f>
        <v>2.3818656510274741</v>
      </c>
      <c r="BB93" s="635">
        <f>$AP93+$BA93</f>
        <v>2.3818656510274741</v>
      </c>
      <c r="BC93" s="639" cm="1">
        <f t="array" ref="BC93">IF($BB93&lt;=0,0,IF(BC$2=-1,0,INDEX(Premises!$A$32:$F$32,1,$CH93)/100))</f>
        <v>0</v>
      </c>
      <c r="BD93" s="631">
        <f>IF($AP93&lt;=0,0,($AP93-$AA93-$AL93)*$BC93)</f>
        <v>0</v>
      </c>
      <c r="BE93" s="639" cm="1">
        <f t="array" ref="BE93">IF($BB93&lt;=0,0,IF(BE$2=-1,0,INDEX(Premises!$A$33:$F$33,1,$CH93)/100))</f>
        <v>0</v>
      </c>
      <c r="BF93" s="631">
        <f>IF($BA93&lt;=0,0,$BA93*$BE93)</f>
        <v>0</v>
      </c>
      <c r="BG93" s="639" cm="1">
        <f t="array" ref="BG93">IF($BB93&lt;=0,0,IF(BG$2=-1,0,INDEX(Premises!$A$31:$F$31,1,$CH93)/100))</f>
        <v>0.125</v>
      </c>
      <c r="BH93" s="631">
        <f>(($AP93-$AA93-$AL93)+$BA93)*$BG93</f>
        <v>0.29773320637843426</v>
      </c>
      <c r="BI93" s="635">
        <f>$BB93+$BD93+$BF93+$BH93</f>
        <v>2.6795988574059084</v>
      </c>
      <c r="BJ93" s="639" cm="1">
        <f t="array" ref="BJ93">IF($BB93&lt;=0,0,IF(BJ$2=-1,0,INDEX(Premises!$A$35:$F$35,1,$CH93)/100))</f>
        <v>0</v>
      </c>
      <c r="BK93" s="631">
        <f>IF($AP93&lt;=0,0,($AP93-$AL93-$AA93)*$BJ93)</f>
        <v>0</v>
      </c>
      <c r="BL93" s="639" cm="1">
        <f t="array" ref="BL93">IF($BB93&lt;=0,0,IF(BL$2=-1,0,INDEX(Premises!$A$36:$F$36,1,$CH93)/100))</f>
        <v>0</v>
      </c>
      <c r="BM93" s="631">
        <f>IF($AU93&lt;=0,0,($AR93*$AT93)*$BL93)</f>
        <v>0</v>
      </c>
      <c r="BN93" s="639" cm="1">
        <f t="array" ref="BN93">IF($BB93&lt;=0,0,IF(BN$2=-1,0,INDEX(Premises!$A$34:$F$34,1,$CH93)/100))</f>
        <v>0.06</v>
      </c>
      <c r="BO93" s="631">
        <f>(($AP93-$AL93-$AA93)+($AR93*$AT93))*$BN93</f>
        <v>0.1404</v>
      </c>
      <c r="BP93" s="639" cm="1">
        <f t="array" ref="BP93">IF($BI93=0,0,INDEX(Premises!$A$37:$F$37,1,$CH93)/100)</f>
        <v>0</v>
      </c>
      <c r="BQ93" s="409"/>
      <c r="BR93" s="631">
        <f>($BI93+$BK93+$BM93+$BO93)*$BP93+$BQ93</f>
        <v>0</v>
      </c>
      <c r="BS93" s="641">
        <f>BI93+BK93+BM93+BO93+BR93</f>
        <v>2.8199988574059085</v>
      </c>
      <c r="BT93" s="641">
        <f>IF($BS93=0,0,$CK93*$BS93)</f>
        <v>2.8199988574059085</v>
      </c>
      <c r="BU93" s="642">
        <f>IF($BT93=0,0,MAX(1,$EB93/$DP93))</f>
        <v>1</v>
      </c>
      <c r="BV93" s="417"/>
      <c r="BW93" s="418"/>
      <c r="BX93" s="418"/>
      <c r="BY93" s="419"/>
      <c r="BZ93" s="968"/>
      <c r="CA93" s="280" cm="1">
        <f t="array" ref="CA93">IF($BZ93&gt;0,VALUE(LEFT($BZ93,IF(ISERROR(FIND("-",$BZ93)),LEN($BZ93),FIND("-",$BZ93)-1))),INDEX($CA$1:$CA93,MAX(1,$CD93)))</f>
        <v>1</v>
      </c>
      <c r="CB93" s="280" cm="1">
        <f t="array" ref="CB93">IF($BT93=0,0,IF(LEN($BZ93)-LEN(SUBSTITUTE($BZ93,"-",""))&gt;1,
VALUE(MID($BZ93,FIND("-",$BZ93)+1,FIND("-",$BZ93,FIND("-",$BZ93)+1)-FIND("-",$BZ93)-1)),IF($BZ93&gt;0,0,INDEX($CB$1:$CB93,MAX(1,$CD93)))))</f>
        <v>0</v>
      </c>
      <c r="CC93" s="280" cm="1">
        <f t="array" ref="CC93">IF($BT93=0,0,IF(NOT(ISERROR(FIND("-",BZ93))),
VALUE(RIGHT($BZ93,LEN($BZ93)-IF(LEN($BZ93)-LEN(SUBSTITUTE($BZ93,"-",""))=1,FIND("-",$BZ93),FIND("-",$BZ93,FIND("-",$BZ93)+1)))),
IF($BZ93&gt;0,0,INDEX($CC$1:$CC93,MAX(1,$CD93)))))</f>
        <v>0</v>
      </c>
      <c r="CD93" s="393">
        <f>MATCH(0,$CE$1:$CE93,-1)</f>
        <v>92</v>
      </c>
      <c r="CE93" s="280"/>
      <c r="CF93" s="394"/>
      <c r="CG93" s="393" cm="1">
        <f t="array" ref="CG93">INDEX($CG$1:$CG93,$CD93)</f>
        <v>10</v>
      </c>
      <c r="CH93" s="280">
        <f>MATCH($CA93,Premises!$A$10:$F$10,0)</f>
        <v>4</v>
      </c>
      <c r="CI93" s="280">
        <f>IF(ISBLANK($E93),0,IFERROR(MATCH($E93,MHR[Bezeichnung],0),0))</f>
        <v>0</v>
      </c>
      <c r="CJ93" s="394">
        <f>IF(ISBLANK($AQ93),0,IFERROR(MATCH($AQ93,MAT[Bezeichnung],0),0))</f>
        <v>18</v>
      </c>
      <c r="CK93" s="280" cm="1">
        <f t="array" ref="CK93">INDEX($D$1:$D93,$CD93)</f>
        <v>1</v>
      </c>
      <c r="CL93" s="280"/>
      <c r="CM93" s="395"/>
      <c r="CN93" s="396" cm="1">
        <f t="array" ref="CN93">IF($CB93=0,0,IF($CB93=INDEX($CB$1:$CB93,$CD93),INDEX($CN$1:$CN93,$CD93),$CP93))</f>
        <v>0</v>
      </c>
      <c r="CO93" s="395"/>
      <c r="CP93" s="396" cm="1">
        <f t="array" ref="CP93">IF($CC93=0,0,INDEX($CP$1:$CP93,$CD93))</f>
        <v>0</v>
      </c>
      <c r="CQ93" s="397"/>
      <c r="CR93" s="398"/>
      <c r="CS93" s="398"/>
      <c r="CT93" s="970"/>
      <c r="CU93" s="2"/>
      <c r="CV93" s="647">
        <f>$J93*$CK93</f>
        <v>0</v>
      </c>
      <c r="CW93" s="648">
        <f>$R93*$CK93</f>
        <v>0</v>
      </c>
      <c r="CX93" s="648">
        <f>$V93*$CK93</f>
        <v>0</v>
      </c>
      <c r="CY93" s="648">
        <f>$AA93*$CK93</f>
        <v>0</v>
      </c>
      <c r="CZ93" s="648">
        <f>$AF93*$CK93</f>
        <v>0</v>
      </c>
      <c r="DA93" s="648">
        <f>$AL93*$CK93</f>
        <v>0</v>
      </c>
      <c r="DB93" s="648">
        <f>$AO93*$CK93</f>
        <v>0</v>
      </c>
      <c r="DC93" s="649">
        <f>$AP93*$CK93</f>
        <v>0</v>
      </c>
      <c r="DD93" s="648">
        <f>$AU93*$CK93</f>
        <v>2.34</v>
      </c>
      <c r="DE93" s="648">
        <f>$AX93*$CK93</f>
        <v>2.3400000000000001E-2</v>
      </c>
      <c r="DF93" s="648">
        <f>$AZ93*$CK93</f>
        <v>1.8465651027473953E-2</v>
      </c>
      <c r="DG93" s="649">
        <f>$BA93*$CK93</f>
        <v>2.3818656510274741</v>
      </c>
      <c r="DH93" s="649">
        <f>$BB93*$CK93</f>
        <v>2.3818656510274741</v>
      </c>
      <c r="DI93" s="648">
        <f>$BD93*$CK93</f>
        <v>0</v>
      </c>
      <c r="DJ93" s="648">
        <f>$BF93*$CK93</f>
        <v>0</v>
      </c>
      <c r="DK93" s="648">
        <f>$BH93*$CK93</f>
        <v>0.29773320637843426</v>
      </c>
      <c r="DL93" s="648">
        <f>$BK93*$CK93</f>
        <v>0</v>
      </c>
      <c r="DM93" s="648">
        <f>$BM93*$CK93</f>
        <v>0</v>
      </c>
      <c r="DN93" s="648">
        <f>$BO93*$CK93</f>
        <v>0.1404</v>
      </c>
      <c r="DO93" s="648">
        <f>$BR93*$CK93</f>
        <v>0</v>
      </c>
      <c r="DP93" s="651">
        <f>$CK93*($BB93+$BD93+$BF93+$BH93+$BK93+$BM93+$BO93+$BR93)</f>
        <v>2.8199988574059085</v>
      </c>
      <c r="DQ93" s="951">
        <f>IF($CB93=0,0,$DP93*_xlfn.XLOOKUP($CB93,Premises!$A$10:$F$10,Premises!$A$30:$F$30)/100)</f>
        <v>0</v>
      </c>
      <c r="DR93" s="650">
        <f>IFERROR(SUM($DP93:$DQ93)*IF(INDEX(Premises!$A$42:$F$42,1,MATCH($CB93,Premises!$A$10:$F$10,0))&gt;0,INDEX(Premises!$A$42:$F$42,1,MATCH($CB93,Premises!$A$10:$F$10,0))%,$CN93),0)</f>
        <v>0</v>
      </c>
      <c r="DS93" s="650" cm="1">
        <f t="array" ref="DS93">IF($CB93=0,0,SUM($DP93:$DR93)*_xlfn.XLOOKUP($CB93,Premises!$A$10:$F$10,IF(INDEX(Settings[],MATCH(3001,Settings[ID],0),2)="B",Premises!$A$33:$F$33,Premises!$A$31:$F$31))/100)</f>
        <v>0</v>
      </c>
      <c r="DT93" s="650" cm="1">
        <f t="array" ref="DT93">IF($CB93=0,0,$DP93*_xlfn.XLOOKUP($CB93,Premises!$A$10:$F$10,IF(INDEX(Settings[],MATCH(3002,Settings[ID],0),2)="B",Premises!$A$36:$F$36,Premises!$A$34:$F$34))/100)</f>
        <v>0</v>
      </c>
      <c r="DU93" s="650">
        <f>IF($CB93=0,0,SUM($DP93:$DT93)*_xlfn.XLOOKUP($CB93,Premises!$A$10:$F$10,Premises!$A$37:$F$37)/100)</f>
        <v>0</v>
      </c>
      <c r="DV93" s="954">
        <f>SUM($DP93:$DU93)</f>
        <v>2.8199988574059085</v>
      </c>
      <c r="DW93" s="951">
        <f>IF($CC93=0,0,$DV93*_xlfn.XLOOKUP($CC93,Premises!$A$10:$F$10,Premises!$A$30:$F$30)/100)</f>
        <v>0</v>
      </c>
      <c r="DX93" s="650">
        <f>IFERROR(SUM($DV93:$DW93)*IF(INDEX(Premises!$A$42:$F$42,1,MATCH($CC93,Premises!$A$10:$F$10,0))&gt;0,INDEX(Premises!$A$42:$F$42,1,MATCH($CC93,Premises!$A$10:$F$10,0))%,$CP93),0)</f>
        <v>0</v>
      </c>
      <c r="DY93" s="650" cm="1">
        <f t="array" ref="DY93">IF($CC93=0,0,SUM($DV93:$DX93)*_xlfn.XLOOKUP($CC93,Premises!$A$10:$F$10,IF(INDEX(Settings[],MATCH(3001,Settings[ID],0),2)="B",Premises!$A$33:$F$33,Premises!$A$31:$F$31))/100)</f>
        <v>0</v>
      </c>
      <c r="DZ93" s="650" cm="1">
        <f t="array" ref="DZ93">IF($CC93=0,0,$DV93*_xlfn.XLOOKUP($CC93,Premises!$A$10:$F$10,IF(INDEX(Settings[],MATCH(3002,Settings[ID],0),2)="B",Premises!$A$36:$F$36,Premises!$A$34:$F$34))/100)</f>
        <v>0</v>
      </c>
      <c r="EA93" s="650">
        <f>IF($CC93=0,0,SUM($DV93:$DZ93)*_xlfn.XLOOKUP($CC93,Premises!$A$10:$F$10,Premises!$A$37:$F$37)/100)</f>
        <v>0</v>
      </c>
      <c r="EB93" s="651">
        <f>SUM($DV93:$EA93)</f>
        <v>2.8199988574059085</v>
      </c>
      <c r="EC93" s="805"/>
      <c r="ED93" s="1104"/>
      <c r="EE93" s="650"/>
      <c r="EF93" s="1110"/>
      <c r="EG93" s="1108"/>
      <c r="EH93" s="1108"/>
      <c r="EI93" s="1108"/>
      <c r="EJ93" s="1108"/>
      <c r="EK93" s="1108"/>
      <c r="EL93" s="1108"/>
      <c r="EM93" s="1110"/>
      <c r="EN93" s="1108"/>
      <c r="EO93" s="1108"/>
      <c r="EP93" s="1108"/>
      <c r="EQ93" s="1108"/>
      <c r="ER93" s="1110"/>
      <c r="ES93" s="1108"/>
      <c r="ET93" s="1108"/>
      <c r="EU93" s="1108"/>
      <c r="EV93" s="1108"/>
      <c r="EW93" s="1108"/>
      <c r="EX93" s="1111"/>
      <c r="EY93" s="2"/>
      <c r="EZ93" s="2"/>
      <c r="FA93" s="2"/>
      <c r="FB93" s="2"/>
      <c r="FC93" s="2"/>
      <c r="FD93" s="2"/>
      <c r="FE93" s="2"/>
      <c r="FF93" s="2"/>
      <c r="FG93" s="2"/>
      <c r="FH93" s="2"/>
      <c r="FI93" s="2"/>
      <c r="FJ93" s="420"/>
      <c r="FK93" s="421"/>
      <c r="FL93" s="422"/>
      <c r="FM93" s="970"/>
    </row>
    <row r="94" spans="1:169" s="13" customFormat="1" ht="12.75" customHeight="1">
      <c r="A94" s="221"/>
      <c r="B94" s="402"/>
      <c r="C94" s="403"/>
      <c r="D94" s="646"/>
      <c r="E94" s="404"/>
      <c r="F94" s="405"/>
      <c r="G94" s="405"/>
      <c r="H94" s="405"/>
      <c r="I94" s="637" cm="1">
        <f t="array" ref="I94">IF($CI94=0,0,IFERROR(INDEX(MHR[],$CI94,MATCH($CA94,MHR!$B$4:$AY$4,0)),0))</f>
        <v>0</v>
      </c>
      <c r="J94" s="634">
        <f>IF(COUNTBLANK($E94:$H94),0,IFERROR($F94/$H94/IF($G94="s",3600,IF($G94="min",60,IF($G94="h",1,0)))*I94,0))</f>
        <v>0</v>
      </c>
      <c r="K94" s="406"/>
      <c r="L94" s="407"/>
      <c r="M94" s="871"/>
      <c r="N94" s="407"/>
      <c r="O94" s="405"/>
      <c r="P94" s="645" cm="1">
        <f t="array" ref="P94">IF($K94=0,0,IFERROR(ROUNDUP(IF(ISNUMBER($K94),$K94,INDEX($D$1:$D94,$CD94)*INDEX(Premises!$A$13:$F$13,1,$CH94)/IF(OR($K94="T",$K94="D"),250,IF($K94="W",50,IF($K94="M",12,IF(OR($K94="HJ",$K94="HY"),2,IF(OR($K94="J",$K94="Y"),1,0)))))),0),0))</f>
        <v>0</v>
      </c>
      <c r="Q94" s="637" cm="1">
        <f t="array" ref="Q94">IF($K94=0,0,IFERROR(INDEX(Premises!$A$22:$F$22,1,$CH94)*100/INDEX(Premises!$A$16:$F$16,1,$CH94),0))</f>
        <v>0</v>
      </c>
      <c r="R94" s="634">
        <f>IF($P94=0,0,IFERROR(($L94/60*($I94+$Q94*$M94)+($N94/60*($Q94*$O94)))/$P94,0))</f>
        <v>0</v>
      </c>
      <c r="S94" s="408"/>
      <c r="T94" s="409"/>
      <c r="U94" s="637" cm="1">
        <f t="array" ref="U94">IF(COUNTBLANK($S94:$T94),0,
IF(AND(INDEX(MHR[Schichtmodell],$CI94)&lt;&gt;0,INDEX(MHR[Schichtmodell],$CI94)&lt;&gt;INDEX(Premises!$A$20:$F$20,1,$CH94)),ExchangeRate*
IF(OR($T94="M",$T94="U"),IF(INDEX(MHR[Schichtmodell],$CI94)=1,INDEX(LOC[M1S],INDEX(Premises!$A$18:$F$18,1,$CH94+1)),IF(INDEX(MHR[Schichtmodell],$CI94)=2,INDEX(LOC[M2S],INDEX(Premises!$A$18:$F$18,1,$CH94+1),IF(INDEX(MHR[Schichtmodell],$CI94)=3,INDEX(LOC[M3S],INDEX(Premises!$A$18:$F$18,1,$CH94+1)),0)))),
IF(INDEX(MHR[Schichtmodell],$CI94)=1,INDEX(LOC[F1S],INDEX(Premises!$A$18:$F$18,1,$CH94+1)),IF(INDEX(MHR[Schichtmodell],$CI94)=2,INDEX(LOC[F2S],INDEX(Premises!$A$18:$F$18,1,$CH94+1)),IF(INDEX(MHR[Schichtmodell],$CI94)=3,INDEX(LOC[F3S],INDEX(Premises!$A$18:$F$18,1,$CH94+1)),0)))),
IF(OR($T94="M",$T94="U"),INDEX(Premises!$A$21:$F$21,1,$CH94),
IF(OR($T94="F",$T94="S"),INDEX(Premises!$A$22:$F$22,1,$CH94),0)))*100/INDEX(Premises!$A$16:$F$16,1,$CH94))</f>
        <v>0</v>
      </c>
      <c r="V94" s="631">
        <f>IF($U94=0,0,IFERROR($F94/$H94/IF($G94="s",3600,IF($G94="min",60,IF($G94="h",1,0)))*$S94*$U94,0))</f>
        <v>0</v>
      </c>
      <c r="W94" s="410"/>
      <c r="X94" s="403"/>
      <c r="Y94" s="411"/>
      <c r="Z94" s="412"/>
      <c r="AA94" s="628">
        <f>IFERROR($X94*$Z94/$Y94/MAX(1,$H94),0)</f>
        <v>0</v>
      </c>
      <c r="AB94" s="410"/>
      <c r="AC94" s="403"/>
      <c r="AD94" s="411"/>
      <c r="AE94" s="413"/>
      <c r="AF94" s="628">
        <f>IFERROR($AC94*$AE94/$AD94,0)</f>
        <v>0</v>
      </c>
      <c r="AG94" s="629" cm="1">
        <f t="array" ref="AG94">IF(($J94+$V94+$AF94)=0,0,INDEX(Premises!$A$30:$F$30,1,$CH94)/100)</f>
        <v>0</v>
      </c>
      <c r="AH94" s="414"/>
      <c r="AI94" s="415"/>
      <c r="AJ94" s="416"/>
      <c r="AK94" s="630">
        <f>IF(COUNTBLANK($AH94:$AI94),0,$AH94*$AI94*$AG94)</f>
        <v>0</v>
      </c>
      <c r="AL94" s="631">
        <f>($AK94+$AJ94*$AG94*(1-$AH94)+($J94+$V94+$AF94)*$AG94*(1-$AH94))</f>
        <v>0</v>
      </c>
      <c r="AM94" s="632" cm="1">
        <f t="array" ref="AM94">IF($CI94=0,0,IFERROR(INDEX(MHR[],$CI94,MATCH($CA94,MHR!$B$4:$AY$4,0)+11),0))</f>
        <v>0</v>
      </c>
      <c r="AN94" s="633" cm="1">
        <f t="array" ref="AN94">IF(($J94+$V94)=0,0,IFERROR(IF(INDEX(Premises!$A$41:$F$41,1,$CH94)&lt;&gt;0,INDEX(Premises!$A$41:$F$41,1,$CH94)/100,(IFERROR(($J94/$I94)*$AM94,0)/($V94+$J94+$R94+$AL94))),0))</f>
        <v>0</v>
      </c>
      <c r="AO94" s="634">
        <f>IF(($J94+$V94)=0,0,IF(IFERROR(($J94+$R94+$V94+$AL94)*$AN94,0)&lt;&gt;IFERROR(($J94/$I94)*$AM94,0),($J94+$R94+$V94+$AL94)*$AN94,IFERROR(($J94/$I94)*$AM94,0)))</f>
        <v>0</v>
      </c>
      <c r="AP94" s="635">
        <f>$V94+$J94+$R94+$AA94+$AF94+$AL94+$AO94</f>
        <v>0</v>
      </c>
      <c r="AQ94" s="410"/>
      <c r="AR94" s="409"/>
      <c r="AS94" s="636" cm="1">
        <f t="array" ref="AS94">IF($CJ94=0,0,IFERROR(INDEX(MAT[Einheit],$CJ94,1),0))</f>
        <v>0</v>
      </c>
      <c r="AT94" s="637" cm="1">
        <f t="array" ref="AT94">IF($CJ94=0,0,IFERROR(INDEX(MAT[Preis],$CJ94,1),0))</f>
        <v>0</v>
      </c>
      <c r="AU94" s="638">
        <f>$AR94*$AT94</f>
        <v>0</v>
      </c>
      <c r="AV94" s="639" cm="1">
        <f t="array" ref="AV94">IF($AU94&lt;=0,0,INDEX(Premises!$A$30:$F$30,1,$CH94)/100)</f>
        <v>0</v>
      </c>
      <c r="AW94" s="409"/>
      <c r="AX94" s="631">
        <f>IF($AV94=0,0,($AU94+$AW94)*$AV94)</f>
        <v>0</v>
      </c>
      <c r="AY94" s="640" cm="1">
        <f t="array" ref="AY94">IF($AT94&lt;=0,0,IFERROR(IF(INDEX(Premises!$A$42:$F$42,1,$CH94)&lt;&gt;0,INDEX(Premises!$A$42:$F$42,1,$CH94)/100,(INDEX(MAT[],$CJ94,MATCH($CA94,MAT!$B$4:$AE$4,0))/($AR94*$CK94*INDEX(Premises!$A$13:$F$13,1,$CH94))+INDEX(MAT[],$CJ94,MATCH($CA94,MAT!$B$4:$AE$4,0)+7))/$AT94),0))</f>
        <v>0</v>
      </c>
      <c r="AZ94" s="631">
        <f>IF($AY94=0,0,($AU94+$AX94)*$AY94)</f>
        <v>0</v>
      </c>
      <c r="BA94" s="635">
        <f>$AU94+$AX94+$AZ94</f>
        <v>0</v>
      </c>
      <c r="BB94" s="635">
        <f>$AP94+$BA94</f>
        <v>0</v>
      </c>
      <c r="BC94" s="639" cm="1">
        <f t="array" ref="BC94">IF($BB94&lt;=0,0,IF(BC$2=-1,0,INDEX(Premises!$A$32:$F$32,1,$CH94)/100))</f>
        <v>0</v>
      </c>
      <c r="BD94" s="631">
        <f>IF($AP94&lt;=0,0,($AP94-$AA94-$AL94)*$BC94)</f>
        <v>0</v>
      </c>
      <c r="BE94" s="639" cm="1">
        <f t="array" ref="BE94">IF($BB94&lt;=0,0,IF(BE$2=-1,0,INDEX(Premises!$A$33:$F$33,1,$CH94)/100))</f>
        <v>0</v>
      </c>
      <c r="BF94" s="631">
        <f>IF($BA94&lt;=0,0,$BA94*$BE94)</f>
        <v>0</v>
      </c>
      <c r="BG94" s="639" cm="1">
        <f t="array" ref="BG94">IF($BB94&lt;=0,0,IF(BG$2=-1,0,INDEX(Premises!$A$31:$F$31,1,$CH94)/100))</f>
        <v>0</v>
      </c>
      <c r="BH94" s="631">
        <f>(($AP94-$AA94-$AL94)+$BA94)*$BG94</f>
        <v>0</v>
      </c>
      <c r="BI94" s="635">
        <f>$BB94+$BD94+$BF94+$BH94</f>
        <v>0</v>
      </c>
      <c r="BJ94" s="639" cm="1">
        <f t="array" ref="BJ94">IF($BB94&lt;=0,0,IF(BJ$2=-1,0,INDEX(Premises!$A$35:$F$35,1,$CH94)/100))</f>
        <v>0</v>
      </c>
      <c r="BK94" s="631">
        <f>IF($AP94&lt;=0,0,($AP94-$AL94-$AA94)*$BJ94)</f>
        <v>0</v>
      </c>
      <c r="BL94" s="639" cm="1">
        <f t="array" ref="BL94">IF($BB94&lt;=0,0,IF(BL$2=-1,0,INDEX(Premises!$A$36:$F$36,1,$CH94)/100))</f>
        <v>0</v>
      </c>
      <c r="BM94" s="631">
        <f>IF($AU94&lt;=0,0,($AR94*$AT94)*$BL94)</f>
        <v>0</v>
      </c>
      <c r="BN94" s="639" cm="1">
        <f t="array" ref="BN94">IF($BB94&lt;=0,0,IF(BN$2=-1,0,INDEX(Premises!$A$34:$F$34,1,$CH94)/100))</f>
        <v>0</v>
      </c>
      <c r="BO94" s="631">
        <f>(($AP94-$AL94-$AA94)+($AR94*$AT94))*$BN94</f>
        <v>0</v>
      </c>
      <c r="BP94" s="639" cm="1">
        <f t="array" ref="BP94">IF($BI94=0,0,INDEX(Premises!$A$37:$F$37,1,$CH94)/100)</f>
        <v>0</v>
      </c>
      <c r="BQ94" s="409"/>
      <c r="BR94" s="631">
        <f>($BI94+$BK94+$BM94+$BO94)*$BP94+$BQ94</f>
        <v>0</v>
      </c>
      <c r="BS94" s="641">
        <f>BI94+BK94+BM94+BO94+BR94</f>
        <v>0</v>
      </c>
      <c r="BT94" s="641">
        <f>IF($BS94=0,0,$CK94*$BS94)</f>
        <v>0</v>
      </c>
      <c r="BU94" s="642">
        <f>IF($BT94=0,0,MAX(1,$EB94/$DP94))</f>
        <v>0</v>
      </c>
      <c r="BV94" s="417"/>
      <c r="BW94" s="418"/>
      <c r="BX94" s="418"/>
      <c r="BY94" s="419"/>
      <c r="BZ94" s="968"/>
      <c r="CA94" s="280" cm="1">
        <f t="array" ref="CA94">IF($BZ94&gt;0,VALUE(LEFT($BZ94,IF(ISERROR(FIND("-",$BZ94)),LEN($BZ94),FIND("-",$BZ94)-1))),INDEX($CA$1:$CA94,MAX(1,$CD94)))</f>
        <v>1</v>
      </c>
      <c r="CB94" s="280" cm="1">
        <f t="array" ref="CB94">IF($BT94=0,0,IF(LEN($BZ94)-LEN(SUBSTITUTE($BZ94,"-",""))&gt;1,
VALUE(MID($BZ94,FIND("-",$BZ94)+1,FIND("-",$BZ94,FIND("-",$BZ94)+1)-FIND("-",$BZ94)-1)),IF($BZ94&gt;0,0,INDEX($CB$1:$CB94,MAX(1,$CD94)))))</f>
        <v>0</v>
      </c>
      <c r="CC94" s="280" cm="1">
        <f t="array" ref="CC94">IF($BT94=0,0,IF(NOT(ISERROR(FIND("-",BZ94))),
VALUE(RIGHT($BZ94,LEN($BZ94)-IF(LEN($BZ94)-LEN(SUBSTITUTE($BZ94,"-",""))=1,FIND("-",$BZ94),FIND("-",$BZ94,FIND("-",$BZ94)+1)))),
IF($BZ94&gt;0,0,INDEX($CC$1:$CC94,MAX(1,$CD94)))))</f>
        <v>0</v>
      </c>
      <c r="CD94" s="393">
        <f>MATCH(0,$CE$1:$CE94,-1)</f>
        <v>92</v>
      </c>
      <c r="CE94" s="280"/>
      <c r="CF94" s="394"/>
      <c r="CG94" s="393" cm="1">
        <f t="array" ref="CG94">INDEX($CG$1:$CG94,$CD94)</f>
        <v>10</v>
      </c>
      <c r="CH94" s="280">
        <f>MATCH($CA94,Premises!$A$10:$F$10,0)</f>
        <v>4</v>
      </c>
      <c r="CI94" s="280">
        <f>IF(ISBLANK($E94),0,IFERROR(MATCH($E94,MHR[Bezeichnung],0),0))</f>
        <v>0</v>
      </c>
      <c r="CJ94" s="394">
        <f>IF(ISBLANK($AQ94),0,IFERROR(MATCH($AQ94,MAT[Bezeichnung],0),0))</f>
        <v>0</v>
      </c>
      <c r="CK94" s="280" cm="1">
        <f t="array" ref="CK94">INDEX($D$1:$D94,$CD94)</f>
        <v>1</v>
      </c>
      <c r="CL94" s="280"/>
      <c r="CM94" s="395"/>
      <c r="CN94" s="396" cm="1">
        <f t="array" ref="CN94">IF($CB94=0,0,IF($CB94=INDEX($CB$1:$CB94,$CD94),INDEX($CN$1:$CN94,$CD94),$CP94))</f>
        <v>0</v>
      </c>
      <c r="CO94" s="395"/>
      <c r="CP94" s="396" cm="1">
        <f t="array" ref="CP94">IF($CC94=0,0,INDEX($CP$1:$CP94,$CD94))</f>
        <v>0</v>
      </c>
      <c r="CQ94" s="397"/>
      <c r="CR94" s="398"/>
      <c r="CS94" s="398"/>
      <c r="CT94" s="970"/>
      <c r="CU94" s="2"/>
      <c r="CV94" s="647">
        <f>$J94*$CK94</f>
        <v>0</v>
      </c>
      <c r="CW94" s="648">
        <f>$R94*$CK94</f>
        <v>0</v>
      </c>
      <c r="CX94" s="648">
        <f>$V94*$CK94</f>
        <v>0</v>
      </c>
      <c r="CY94" s="648">
        <f>$AA94*$CK94</f>
        <v>0</v>
      </c>
      <c r="CZ94" s="648">
        <f>$AF94*$CK94</f>
        <v>0</v>
      </c>
      <c r="DA94" s="648">
        <f>$AL94*$CK94</f>
        <v>0</v>
      </c>
      <c r="DB94" s="648">
        <f>$AO94*$CK94</f>
        <v>0</v>
      </c>
      <c r="DC94" s="649">
        <f>$AP94*$CK94</f>
        <v>0</v>
      </c>
      <c r="DD94" s="648">
        <f>$AU94*$CK94</f>
        <v>0</v>
      </c>
      <c r="DE94" s="648">
        <f>$AX94*$CK94</f>
        <v>0</v>
      </c>
      <c r="DF94" s="648">
        <f>$AZ94*$CK94</f>
        <v>0</v>
      </c>
      <c r="DG94" s="649">
        <f>$BA94*$CK94</f>
        <v>0</v>
      </c>
      <c r="DH94" s="649">
        <f>$BB94*$CK94</f>
        <v>0</v>
      </c>
      <c r="DI94" s="648">
        <f>$BD94*$CK94</f>
        <v>0</v>
      </c>
      <c r="DJ94" s="648">
        <f>$BF94*$CK94</f>
        <v>0</v>
      </c>
      <c r="DK94" s="648">
        <f>$BH94*$CK94</f>
        <v>0</v>
      </c>
      <c r="DL94" s="648">
        <f>$BK94*$CK94</f>
        <v>0</v>
      </c>
      <c r="DM94" s="648">
        <f>$BM94*$CK94</f>
        <v>0</v>
      </c>
      <c r="DN94" s="648">
        <f>$BO94*$CK94</f>
        <v>0</v>
      </c>
      <c r="DO94" s="648">
        <f>$BR94*$CK94</f>
        <v>0</v>
      </c>
      <c r="DP94" s="651">
        <f>$CK94*($BB94+$BD94+$BF94+$BH94+$BK94+$BM94+$BO94+$BR94)</f>
        <v>0</v>
      </c>
      <c r="DQ94" s="951">
        <f>IF($CB94=0,0,$DP94*_xlfn.XLOOKUP($CB94,Premises!$A$10:$F$10,Premises!$A$30:$F$30)/100)</f>
        <v>0</v>
      </c>
      <c r="DR94" s="650">
        <f>IFERROR(SUM($DP94:$DQ94)*IF(INDEX(Premises!$A$42:$F$42,1,MATCH($CB94,Premises!$A$10:$F$10,0))&gt;0,INDEX(Premises!$A$42:$F$42,1,MATCH($CB94,Premises!$A$10:$F$10,0))%,$CN94),0)</f>
        <v>0</v>
      </c>
      <c r="DS94" s="650" cm="1">
        <f t="array" ref="DS94">IF($CB94=0,0,SUM($DP94:$DR94)*_xlfn.XLOOKUP($CB94,Premises!$A$10:$F$10,IF(INDEX(Settings[],MATCH(3001,Settings[ID],0),2)="B",Premises!$A$33:$F$33,Premises!$A$31:$F$31))/100)</f>
        <v>0</v>
      </c>
      <c r="DT94" s="650" cm="1">
        <f t="array" ref="DT94">IF($CB94=0,0,$DP94*_xlfn.XLOOKUP($CB94,Premises!$A$10:$F$10,IF(INDEX(Settings[],MATCH(3002,Settings[ID],0),2)="B",Premises!$A$36:$F$36,Premises!$A$34:$F$34))/100)</f>
        <v>0</v>
      </c>
      <c r="DU94" s="650">
        <f>IF($CB94=0,0,SUM($DP94:$DT94)*_xlfn.XLOOKUP($CB94,Premises!$A$10:$F$10,Premises!$A$37:$F$37)/100)</f>
        <v>0</v>
      </c>
      <c r="DV94" s="954">
        <f>SUM($DP94:$DU94)</f>
        <v>0</v>
      </c>
      <c r="DW94" s="951">
        <f>IF($CC94=0,0,$DV94*_xlfn.XLOOKUP($CC94,Premises!$A$10:$F$10,Premises!$A$30:$F$30)/100)</f>
        <v>0</v>
      </c>
      <c r="DX94" s="650">
        <f>IFERROR(SUM($DV94:$DW94)*IF(INDEX(Premises!$A$42:$F$42,1,MATCH($CC94,Premises!$A$10:$F$10,0))&gt;0,INDEX(Premises!$A$42:$F$42,1,MATCH($CC94,Premises!$A$10:$F$10,0))%,$CP94),0)</f>
        <v>0</v>
      </c>
      <c r="DY94" s="650" cm="1">
        <f t="array" ref="DY94">IF($CC94=0,0,SUM($DV94:$DX94)*_xlfn.XLOOKUP($CC94,Premises!$A$10:$F$10,IF(INDEX(Settings[],MATCH(3001,Settings[ID],0),2)="B",Premises!$A$33:$F$33,Premises!$A$31:$F$31))/100)</f>
        <v>0</v>
      </c>
      <c r="DZ94" s="650" cm="1">
        <f t="array" ref="DZ94">IF($CC94=0,0,$DV94*_xlfn.XLOOKUP($CC94,Premises!$A$10:$F$10,IF(INDEX(Settings[],MATCH(3002,Settings[ID],0),2)="B",Premises!$A$36:$F$36,Premises!$A$34:$F$34))/100)</f>
        <v>0</v>
      </c>
      <c r="EA94" s="650">
        <f>IF($CC94=0,0,SUM($DV94:$DZ94)*_xlfn.XLOOKUP($CC94,Premises!$A$10:$F$10,Premises!$A$37:$F$37)/100)</f>
        <v>0</v>
      </c>
      <c r="EB94" s="651">
        <f>SUM($DV94:$EA94)</f>
        <v>0</v>
      </c>
      <c r="EC94" s="805"/>
      <c r="ED94" s="1104"/>
      <c r="EE94" s="650"/>
      <c r="EF94" s="1110"/>
      <c r="EG94" s="1108"/>
      <c r="EH94" s="1108"/>
      <c r="EI94" s="1108"/>
      <c r="EJ94" s="1108"/>
      <c r="EK94" s="1108"/>
      <c r="EL94" s="1108"/>
      <c r="EM94" s="1110"/>
      <c r="EN94" s="1108"/>
      <c r="EO94" s="1108"/>
      <c r="EP94" s="1108"/>
      <c r="EQ94" s="1108"/>
      <c r="ER94" s="1110"/>
      <c r="ES94" s="1108"/>
      <c r="ET94" s="1108"/>
      <c r="EU94" s="1108"/>
      <c r="EV94" s="1108"/>
      <c r="EW94" s="1108"/>
      <c r="EX94" s="1111"/>
      <c r="EY94" s="2"/>
      <c r="EZ94" s="2"/>
      <c r="FA94" s="2"/>
      <c r="FB94" s="2"/>
      <c r="FC94" s="2"/>
      <c r="FD94" s="2"/>
      <c r="FE94" s="2"/>
      <c r="FF94" s="2"/>
      <c r="FG94" s="2"/>
      <c r="FH94" s="2"/>
      <c r="FI94" s="2"/>
      <c r="FJ94" s="420"/>
      <c r="FK94" s="421"/>
      <c r="FL94" s="422"/>
      <c r="FM94" s="970"/>
    </row>
    <row r="95" spans="1:169" s="13" customFormat="1" ht="12.75" customHeight="1">
      <c r="A95" s="221"/>
      <c r="B95" s="402"/>
      <c r="C95" s="403"/>
      <c r="D95" s="646"/>
      <c r="E95" s="404"/>
      <c r="F95" s="405"/>
      <c r="G95" s="405"/>
      <c r="H95" s="405"/>
      <c r="I95" s="637" cm="1">
        <f t="array" ref="I95">IF($CI95=0,0,IFERROR(INDEX(MHR[],$CI95,MATCH($CA95,MHR!$B$4:$AY$4,0)),0))</f>
        <v>0</v>
      </c>
      <c r="J95" s="634">
        <f>IF(COUNTBLANK($E95:$H95),0,IFERROR($F95/$H95/IF($G95="s",3600,IF($G95="min",60,IF($G95="h",1,0)))*I95,0))</f>
        <v>0</v>
      </c>
      <c r="K95" s="406"/>
      <c r="L95" s="407"/>
      <c r="M95" s="871"/>
      <c r="N95" s="407"/>
      <c r="O95" s="405"/>
      <c r="P95" s="645" cm="1">
        <f t="array" ref="P95">IF($K95=0,0,IFERROR(ROUNDUP(IF(ISNUMBER($K95),$K95,INDEX($D$1:$D95,$CD95)*INDEX(Premises!$A$13:$F$13,1,$CH95)/IF(OR($K95="T",$K95="D"),250,IF($K95="W",50,IF($K95="M",12,IF(OR($K95="HJ",$K95="HY"),2,IF(OR($K95="J",$K95="Y"),1,0)))))),0),0))</f>
        <v>0</v>
      </c>
      <c r="Q95" s="637" cm="1">
        <f t="array" ref="Q95">IF($K95=0,0,IFERROR(INDEX(Premises!$A$22:$F$22,1,$CH95)*100/INDEX(Premises!$A$16:$F$16,1,$CH95),0))</f>
        <v>0</v>
      </c>
      <c r="R95" s="634">
        <f>IF($P95=0,0,IFERROR(($L95/60*($I95+$Q95*$M95)+($N95/60*($Q95*$O95)))/$P95,0))</f>
        <v>0</v>
      </c>
      <c r="S95" s="408"/>
      <c r="T95" s="409"/>
      <c r="U95" s="637" cm="1">
        <f t="array" ref="U95">IF(COUNTBLANK($S95:$T95),0,
IF(AND(INDEX(MHR[Schichtmodell],$CI95)&lt;&gt;0,INDEX(MHR[Schichtmodell],$CI95)&lt;&gt;INDEX(Premises!$A$20:$F$20,1,$CH95)),ExchangeRate*
IF(OR($T95="M",$T95="U"),IF(INDEX(MHR[Schichtmodell],$CI95)=1,INDEX(LOC[M1S],INDEX(Premises!$A$18:$F$18,1,$CH95+1)),IF(INDEX(MHR[Schichtmodell],$CI95)=2,INDEX(LOC[M2S],INDEX(Premises!$A$18:$F$18,1,$CH95+1),IF(INDEX(MHR[Schichtmodell],$CI95)=3,INDEX(LOC[M3S],INDEX(Premises!$A$18:$F$18,1,$CH95+1)),0)))),
IF(INDEX(MHR[Schichtmodell],$CI95)=1,INDEX(LOC[F1S],INDEX(Premises!$A$18:$F$18,1,$CH95+1)),IF(INDEX(MHR[Schichtmodell],$CI95)=2,INDEX(LOC[F2S],INDEX(Premises!$A$18:$F$18,1,$CH95+1)),IF(INDEX(MHR[Schichtmodell],$CI95)=3,INDEX(LOC[F3S],INDEX(Premises!$A$18:$F$18,1,$CH95+1)),0)))),
IF(OR($T95="M",$T95="U"),INDEX(Premises!$A$21:$F$21,1,$CH95),
IF(OR($T95="F",$T95="S"),INDEX(Premises!$A$22:$F$22,1,$CH95),0)))*100/INDEX(Premises!$A$16:$F$16,1,$CH95))</f>
        <v>0</v>
      </c>
      <c r="V95" s="631">
        <f>IF($U95=0,0,IFERROR($F95/$H95/IF($G95="s",3600,IF($G95="min",60,IF($G95="h",1,0)))*$S95*$U95,0))</f>
        <v>0</v>
      </c>
      <c r="W95" s="410"/>
      <c r="X95" s="403"/>
      <c r="Y95" s="411"/>
      <c r="Z95" s="412"/>
      <c r="AA95" s="628">
        <f>IFERROR($X95*$Z95/$Y95/MAX(1,$H95),0)</f>
        <v>0</v>
      </c>
      <c r="AB95" s="410"/>
      <c r="AC95" s="403"/>
      <c r="AD95" s="411"/>
      <c r="AE95" s="413"/>
      <c r="AF95" s="628">
        <f>IFERROR($AC95*$AE95/$AD95,0)</f>
        <v>0</v>
      </c>
      <c r="AG95" s="629" cm="1">
        <f t="array" ref="AG95">IF(($J95+$V95+$AF95)=0,0,INDEX(Premises!$A$30:$F$30,1,$CH95)/100)</f>
        <v>0</v>
      </c>
      <c r="AH95" s="414"/>
      <c r="AI95" s="415"/>
      <c r="AJ95" s="416"/>
      <c r="AK95" s="630">
        <f>IF(COUNTBLANK($AH95:$AI95),0,$AH95*$AI95*$AG95)</f>
        <v>0</v>
      </c>
      <c r="AL95" s="631">
        <f>($AK95+$AJ95*$AG95*(1-$AH95)+($J95+$V95+$AF95)*$AG95*(1-$AH95))</f>
        <v>0</v>
      </c>
      <c r="AM95" s="632" cm="1">
        <f t="array" ref="AM95">IF($CI95=0,0,IFERROR(INDEX(MHR[],$CI95,MATCH($CA95,MHR!$B$4:$AY$4,0)+11),0))</f>
        <v>0</v>
      </c>
      <c r="AN95" s="633" cm="1">
        <f t="array" ref="AN95">IF(($J95+$V95)=0,0,IFERROR(IF(INDEX(Premises!$A$41:$F$41,1,$CH95)&lt;&gt;0,INDEX(Premises!$A$41:$F$41,1,$CH95)/100,(IFERROR(($J95/$I95)*$AM95,0)/($V95+$J95+$R95+$AL95))),0))</f>
        <v>0</v>
      </c>
      <c r="AO95" s="634">
        <f>IF(($J95+$V95)=0,0,IF(IFERROR(($J95+$R95+$V95+$AL95)*$AN95,0)&lt;&gt;IFERROR(($J95/$I95)*$AM95,0),($J95+$R95+$V95+$AL95)*$AN95,IFERROR(($J95/$I95)*$AM95,0)))</f>
        <v>0</v>
      </c>
      <c r="AP95" s="635">
        <f>$V95+$J95+$R95+$AA95+$AF95+$AL95+$AO95</f>
        <v>0</v>
      </c>
      <c r="AQ95" s="410"/>
      <c r="AR95" s="409"/>
      <c r="AS95" s="636" cm="1">
        <f t="array" ref="AS95">IF($CJ95=0,0,IFERROR(INDEX(MAT[Einheit],$CJ95,1),0))</f>
        <v>0</v>
      </c>
      <c r="AT95" s="637" cm="1">
        <f t="array" ref="AT95">IF($CJ95=0,0,IFERROR(INDEX(MAT[Preis],$CJ95,1),0))</f>
        <v>0</v>
      </c>
      <c r="AU95" s="638">
        <f>$AR95*$AT95</f>
        <v>0</v>
      </c>
      <c r="AV95" s="639" cm="1">
        <f t="array" ref="AV95">IF($AU95&lt;=0,0,INDEX(Premises!$A$30:$F$30,1,$CH95)/100)</f>
        <v>0</v>
      </c>
      <c r="AW95" s="409"/>
      <c r="AX95" s="631">
        <f>IF($AV95=0,0,($AU95+$AW95)*$AV95)</f>
        <v>0</v>
      </c>
      <c r="AY95" s="640" cm="1">
        <f t="array" ref="AY95">IF($AT95&lt;=0,0,IFERROR(IF(INDEX(Premises!$A$42:$F$42,1,$CH95)&lt;&gt;0,INDEX(Premises!$A$42:$F$42,1,$CH95)/100,(INDEX(MAT[],$CJ95,MATCH($CA95,MAT!$B$4:$AE$4,0))/($AR95*$CK95*INDEX(Premises!$A$13:$F$13,1,$CH95))+INDEX(MAT[],$CJ95,MATCH($CA95,MAT!$B$4:$AE$4,0)+7))/$AT95),0))</f>
        <v>0</v>
      </c>
      <c r="AZ95" s="631">
        <f>IF($AY95=0,0,($AU95+$AX95)*$AY95)</f>
        <v>0</v>
      </c>
      <c r="BA95" s="635">
        <f>$AU95+$AX95+$AZ95</f>
        <v>0</v>
      </c>
      <c r="BB95" s="635">
        <f>$AP95+$BA95</f>
        <v>0</v>
      </c>
      <c r="BC95" s="639" cm="1">
        <f t="array" ref="BC95">IF($BB95&lt;=0,0,IF(BC$2=-1,0,INDEX(Premises!$A$32:$F$32,1,$CH95)/100))</f>
        <v>0</v>
      </c>
      <c r="BD95" s="631">
        <f>IF($AP95&lt;=0,0,($AP95-$AA95-$AL95)*$BC95)</f>
        <v>0</v>
      </c>
      <c r="BE95" s="639" cm="1">
        <f t="array" ref="BE95">IF($BB95&lt;=0,0,IF(BE$2=-1,0,INDEX(Premises!$A$33:$F$33,1,$CH95)/100))</f>
        <v>0</v>
      </c>
      <c r="BF95" s="631">
        <f>IF($BA95&lt;=0,0,$BA95*$BE95)</f>
        <v>0</v>
      </c>
      <c r="BG95" s="639" cm="1">
        <f t="array" ref="BG95">IF($BB95&lt;=0,0,IF(BG$2=-1,0,INDEX(Premises!$A$31:$F$31,1,$CH95)/100))</f>
        <v>0</v>
      </c>
      <c r="BH95" s="631">
        <f>(($AP95-$AA95-$AL95)+$BA95)*$BG95</f>
        <v>0</v>
      </c>
      <c r="BI95" s="635">
        <f>$BB95+$BD95+$BF95+$BH95</f>
        <v>0</v>
      </c>
      <c r="BJ95" s="639" cm="1">
        <f t="array" ref="BJ95">IF($BB95&lt;=0,0,IF(BJ$2=-1,0,INDEX(Premises!$A$35:$F$35,1,$CH95)/100))</f>
        <v>0</v>
      </c>
      <c r="BK95" s="631">
        <f>IF($AP95&lt;=0,0,($AP95-$AL95-$AA95)*$BJ95)</f>
        <v>0</v>
      </c>
      <c r="BL95" s="639" cm="1">
        <f t="array" ref="BL95">IF($BB95&lt;=0,0,IF(BL$2=-1,0,INDEX(Premises!$A$36:$F$36,1,$CH95)/100))</f>
        <v>0</v>
      </c>
      <c r="BM95" s="631">
        <f>IF($AU95&lt;=0,0,($AR95*$AT95)*$BL95)</f>
        <v>0</v>
      </c>
      <c r="BN95" s="639" cm="1">
        <f t="array" ref="BN95">IF($BB95&lt;=0,0,IF(BN$2=-1,0,INDEX(Premises!$A$34:$F$34,1,$CH95)/100))</f>
        <v>0</v>
      </c>
      <c r="BO95" s="631">
        <f>(($AP95-$AL95-$AA95)+($AR95*$AT95))*$BN95</f>
        <v>0</v>
      </c>
      <c r="BP95" s="639" cm="1">
        <f t="array" ref="BP95">IF($BI95=0,0,INDEX(Premises!$A$37:$F$37,1,$CH95)/100)</f>
        <v>0</v>
      </c>
      <c r="BQ95" s="409"/>
      <c r="BR95" s="631">
        <f>($BI95+$BK95+$BM95+$BO95)*$BP95+$BQ95</f>
        <v>0</v>
      </c>
      <c r="BS95" s="641">
        <f>BI95+BK95+BM95+BO95+BR95</f>
        <v>0</v>
      </c>
      <c r="BT95" s="641">
        <f>IF($BS95=0,0,$CK95*$BS95)</f>
        <v>0</v>
      </c>
      <c r="BU95" s="642">
        <f>IF($BT95=0,0,MAX(1,$EB95/$DP95))</f>
        <v>0</v>
      </c>
      <c r="BV95" s="1147"/>
      <c r="BW95" s="418"/>
      <c r="BX95" s="418"/>
      <c r="BY95" s="419"/>
      <c r="BZ95" s="968"/>
      <c r="CA95" s="280" cm="1">
        <f t="array" ref="CA95">IF($BZ95&gt;0,VALUE(LEFT($BZ95,IF(ISERROR(FIND("-",$BZ95)),LEN($BZ95),FIND("-",$BZ95)-1))),INDEX($CA$1:$CA95,MAX(1,$CD95)))</f>
        <v>1</v>
      </c>
      <c r="CB95" s="280" cm="1">
        <f t="array" ref="CB95">IF($BT95=0,0,IF(LEN($BZ95)-LEN(SUBSTITUTE($BZ95,"-",""))&gt;1,
VALUE(MID($BZ95,FIND("-",$BZ95)+1,FIND("-",$BZ95,FIND("-",$BZ95)+1)-FIND("-",$BZ95)-1)),IF($BZ95&gt;0,0,INDEX($CB$1:$CB95,MAX(1,$CD95)))))</f>
        <v>0</v>
      </c>
      <c r="CC95" s="280" cm="1">
        <f t="array" ref="CC95">IF($BT95=0,0,IF(NOT(ISERROR(FIND("-",BZ95))),
VALUE(RIGHT($BZ95,LEN($BZ95)-IF(LEN($BZ95)-LEN(SUBSTITUTE($BZ95,"-",""))=1,FIND("-",$BZ95),FIND("-",$BZ95,FIND("-",$BZ95)+1)))),
IF($BZ95&gt;0,0,INDEX($CC$1:$CC95,MAX(1,$CD95)))))</f>
        <v>0</v>
      </c>
      <c r="CD95" s="393">
        <f>MATCH(0,$CE$1:$CE95,-1)</f>
        <v>92</v>
      </c>
      <c r="CE95" s="280"/>
      <c r="CF95" s="394"/>
      <c r="CG95" s="393" cm="1">
        <f t="array" ref="CG95">INDEX($CG$1:$CG95,$CD95)</f>
        <v>10</v>
      </c>
      <c r="CH95" s="280">
        <f>MATCH($CA95,Premises!$A$10:$F$10,0)</f>
        <v>4</v>
      </c>
      <c r="CI95" s="280">
        <f>IF(ISBLANK($E95),0,IFERROR(MATCH($E95,MHR[Bezeichnung],0),0))</f>
        <v>0</v>
      </c>
      <c r="CJ95" s="394">
        <f>IF(ISBLANK($AQ95),0,IFERROR(MATCH($AQ95,MAT[Bezeichnung],0),0))</f>
        <v>0</v>
      </c>
      <c r="CK95" s="280" cm="1">
        <f t="array" ref="CK95">INDEX($D$1:$D95,$CD95)</f>
        <v>1</v>
      </c>
      <c r="CL95" s="280"/>
      <c r="CM95" s="395"/>
      <c r="CN95" s="396" cm="1">
        <f t="array" ref="CN95">IF($CB95=0,0,IF($CB95=INDEX($CB$1:$CB95,$CD95),INDEX($CN$1:$CN95,$CD95),$CP95))</f>
        <v>0</v>
      </c>
      <c r="CO95" s="395"/>
      <c r="CP95" s="396" cm="1">
        <f t="array" ref="CP95">IF($CC95=0,0,INDEX($CP$1:$CP95,$CD95))</f>
        <v>0</v>
      </c>
      <c r="CQ95" s="397"/>
      <c r="CR95" s="398"/>
      <c r="CS95" s="398"/>
      <c r="CT95" s="1152"/>
      <c r="CU95" s="1149"/>
      <c r="CV95" s="647">
        <f>$J95*$CK95</f>
        <v>0</v>
      </c>
      <c r="CW95" s="648">
        <f>$R95*$CK95</f>
        <v>0</v>
      </c>
      <c r="CX95" s="648">
        <f>$V95*$CK95</f>
        <v>0</v>
      </c>
      <c r="CY95" s="648">
        <f>$AA95*$CK95</f>
        <v>0</v>
      </c>
      <c r="CZ95" s="648">
        <f>$AF95*$CK95</f>
        <v>0</v>
      </c>
      <c r="DA95" s="648">
        <f>$AL95*$CK95</f>
        <v>0</v>
      </c>
      <c r="DB95" s="648">
        <f>$AO95*$CK95</f>
        <v>0</v>
      </c>
      <c r="DC95" s="649">
        <f>$AP95*$CK95</f>
        <v>0</v>
      </c>
      <c r="DD95" s="648">
        <f>$AU95*$CK95</f>
        <v>0</v>
      </c>
      <c r="DE95" s="648">
        <f>$AX95*$CK95</f>
        <v>0</v>
      </c>
      <c r="DF95" s="648">
        <f>$AZ95*$CK95</f>
        <v>0</v>
      </c>
      <c r="DG95" s="649">
        <f>$BA95*$CK95</f>
        <v>0</v>
      </c>
      <c r="DH95" s="649">
        <f>$BB95*$CK95</f>
        <v>0</v>
      </c>
      <c r="DI95" s="648">
        <f>$BD95*$CK95</f>
        <v>0</v>
      </c>
      <c r="DJ95" s="648">
        <f>$BF95*$CK95</f>
        <v>0</v>
      </c>
      <c r="DK95" s="648">
        <f>$BH95*$CK95</f>
        <v>0</v>
      </c>
      <c r="DL95" s="648">
        <f>$BK95*$CK95</f>
        <v>0</v>
      </c>
      <c r="DM95" s="648">
        <f>$BM95*$CK95</f>
        <v>0</v>
      </c>
      <c r="DN95" s="648">
        <f>$BO95*$CK95</f>
        <v>0</v>
      </c>
      <c r="DO95" s="648">
        <f>$BR95*$CK95</f>
        <v>0</v>
      </c>
      <c r="DP95" s="651">
        <f>$CK95*($BB95+$BD95+$BF95+$BH95+$BK95+$BM95+$BO95+$BR95)</f>
        <v>0</v>
      </c>
      <c r="DQ95" s="951">
        <f>IF($CB95=0,0,$DP95*_xlfn.XLOOKUP($CB95,Premises!$A$10:$F$10,Premises!$A$30:$F$30)/100)</f>
        <v>0</v>
      </c>
      <c r="DR95" s="650">
        <f>IFERROR(SUM($DP95:$DQ95)*IF(INDEX(Premises!$A$42:$F$42,1,MATCH($CB95,Premises!$A$10:$F$10,0))&gt;0,INDEX(Premises!$A$42:$F$42,1,MATCH($CB95,Premises!$A$10:$F$10,0))%,$CN95),0)</f>
        <v>0</v>
      </c>
      <c r="DS95" s="650" cm="1">
        <f t="array" ref="DS95">IF($CB95=0,0,SUM($DP95:$DR95)*_xlfn.XLOOKUP($CB95,Premises!$A$10:$F$10,IF(INDEX(Settings[],MATCH(3001,Settings[ID],0),2)="B",Premises!$A$33:$F$33,Premises!$A$31:$F$31))/100)</f>
        <v>0</v>
      </c>
      <c r="DT95" s="650" cm="1">
        <f t="array" ref="DT95">IF($CB95=0,0,$DP95*_xlfn.XLOOKUP($CB95,Premises!$A$10:$F$10,IF(INDEX(Settings[],MATCH(3002,Settings[ID],0),2)="B",Premises!$A$36:$F$36,Premises!$A$34:$F$34))/100)</f>
        <v>0</v>
      </c>
      <c r="DU95" s="650">
        <f>IF($CB95=0,0,SUM($DP95:$DT95)*_xlfn.XLOOKUP($CB95,Premises!$A$10:$F$10,Premises!$A$37:$F$37)/100)</f>
        <v>0</v>
      </c>
      <c r="DV95" s="954">
        <f>SUM($DP95:$DU95)</f>
        <v>0</v>
      </c>
      <c r="DW95" s="951">
        <f>IF($CC95=0,0,$DV95*_xlfn.XLOOKUP($CC95,Premises!$A$10:$F$10,Premises!$A$30:$F$30)/100)</f>
        <v>0</v>
      </c>
      <c r="DX95" s="650">
        <f>IFERROR(SUM($DV95:$DW95)*IF(INDEX(Premises!$A$42:$F$42,1,MATCH($CC95,Premises!$A$10:$F$10,0))&gt;0,INDEX(Premises!$A$42:$F$42,1,MATCH($CC95,Premises!$A$10:$F$10,0))%,$CP95),0)</f>
        <v>0</v>
      </c>
      <c r="DY95" s="650" cm="1">
        <f t="array" ref="DY95">IF($CC95=0,0,SUM($DV95:$DX95)*_xlfn.XLOOKUP($CC95,Premises!$A$10:$F$10,IF(INDEX(Settings[],MATCH(3001,Settings[ID],0),2)="B",Premises!$A$33:$F$33,Premises!$A$31:$F$31))/100)</f>
        <v>0</v>
      </c>
      <c r="DZ95" s="650" cm="1">
        <f t="array" ref="DZ95">IF($CC95=0,0,$DV95*_xlfn.XLOOKUP($CC95,Premises!$A$10:$F$10,IF(INDEX(Settings[],MATCH(3002,Settings[ID],0),2)="B",Premises!$A$36:$F$36,Premises!$A$34:$F$34))/100)</f>
        <v>0</v>
      </c>
      <c r="EA95" s="650">
        <f>IF($CC95=0,0,SUM($DV95:$DZ95)*_xlfn.XLOOKUP($CC95,Premises!$A$10:$F$10,Premises!$A$37:$F$37)/100)</f>
        <v>0</v>
      </c>
      <c r="EB95" s="651">
        <f>SUM($DV95:$EA95)</f>
        <v>0</v>
      </c>
      <c r="EC95" s="805"/>
      <c r="ED95" s="1104"/>
      <c r="EE95" s="650"/>
      <c r="EF95" s="1110"/>
      <c r="EG95" s="1108"/>
      <c r="EH95" s="1108"/>
      <c r="EI95" s="1108"/>
      <c r="EJ95" s="1108"/>
      <c r="EK95" s="1108"/>
      <c r="EL95" s="1108"/>
      <c r="EM95" s="1110"/>
      <c r="EN95" s="1108"/>
      <c r="EO95" s="1108"/>
      <c r="EP95" s="1108"/>
      <c r="EQ95" s="1108"/>
      <c r="ER95" s="1110"/>
      <c r="ES95" s="1108"/>
      <c r="ET95" s="1108"/>
      <c r="EU95" s="1108"/>
      <c r="EV95" s="1108"/>
      <c r="EW95" s="1108"/>
      <c r="EX95" s="1111"/>
      <c r="EY95" s="2"/>
      <c r="EZ95" s="2"/>
      <c r="FA95" s="2"/>
      <c r="FB95" s="2"/>
      <c r="FC95" s="2"/>
      <c r="FD95" s="2"/>
      <c r="FE95" s="2"/>
      <c r="FF95" s="2"/>
      <c r="FG95" s="2"/>
      <c r="FH95" s="2"/>
      <c r="FI95" s="2"/>
      <c r="FJ95" s="420"/>
      <c r="FK95" s="421"/>
      <c r="FL95" s="422"/>
      <c r="FM95" s="1153"/>
    </row>
    <row r="96" spans="1:169" s="13" customFormat="1" ht="12.75" customHeight="1">
      <c r="A96" s="221"/>
      <c r="B96" s="402"/>
      <c r="C96" s="403"/>
      <c r="D96" s="646"/>
      <c r="E96" s="404"/>
      <c r="F96" s="405"/>
      <c r="G96" s="405"/>
      <c r="H96" s="405"/>
      <c r="I96" s="637" cm="1">
        <f t="array" ref="I96">IF($CI96=0,0,IFERROR(INDEX(MHR[],$CI96,MATCH($CA96,MHR!$B$4:$AY$4,0)),0))</f>
        <v>0</v>
      </c>
      <c r="J96" s="634">
        <f>IF(COUNTBLANK($E96:$H96),0,IFERROR($F96/$H96/IF($G96="s",3600,IF($G96="min",60,IF($G96="h",1,0)))*I96,0))</f>
        <v>0</v>
      </c>
      <c r="K96" s="406"/>
      <c r="L96" s="407"/>
      <c r="M96" s="871"/>
      <c r="N96" s="407"/>
      <c r="O96" s="405"/>
      <c r="P96" s="645" cm="1">
        <f t="array" ref="P96">IF($K96=0,0,IFERROR(ROUNDUP(IF(ISNUMBER($K96),$K96,INDEX($D$1:$D96,$CD96)*INDEX(Premises!$A$13:$F$13,1,$CH96)/IF(OR($K96="T",$K96="D"),250,IF($K96="W",50,IF($K96="M",12,IF(OR($K96="HJ",$K96="HY"),2,IF(OR($K96="J",$K96="Y"),1,0)))))),0),0))</f>
        <v>0</v>
      </c>
      <c r="Q96" s="637" cm="1">
        <f t="array" ref="Q96">IF($K96=0,0,IFERROR(INDEX(Premises!$A$22:$F$22,1,$CH96)*100/INDEX(Premises!$A$16:$F$16,1,$CH96),0))</f>
        <v>0</v>
      </c>
      <c r="R96" s="634">
        <f>IF($P96=0,0,IFERROR(($L96/60*($I96+$Q96*$M96)+($N96/60*($Q96*$O96)))/$P96,0))</f>
        <v>0</v>
      </c>
      <c r="S96" s="408"/>
      <c r="T96" s="409"/>
      <c r="U96" s="637" cm="1">
        <f t="array" ref="U96">IF(COUNTBLANK($S96:$T96),0,
IF(AND(INDEX(MHR[Schichtmodell],$CI96)&lt;&gt;0,INDEX(MHR[Schichtmodell],$CI96)&lt;&gt;INDEX(Premises!$A$20:$F$20,1,$CH96)),ExchangeRate*
IF(OR($T96="M",$T96="U"),IF(INDEX(MHR[Schichtmodell],$CI96)=1,INDEX(LOC[M1S],INDEX(Premises!$A$18:$F$18,1,$CH96+1)),IF(INDEX(MHR[Schichtmodell],$CI96)=2,INDEX(LOC[M2S],INDEX(Premises!$A$18:$F$18,1,$CH96+1),IF(INDEX(MHR[Schichtmodell],$CI96)=3,INDEX(LOC[M3S],INDEX(Premises!$A$18:$F$18,1,$CH96+1)),0)))),
IF(INDEX(MHR[Schichtmodell],$CI96)=1,INDEX(LOC[F1S],INDEX(Premises!$A$18:$F$18,1,$CH96+1)),IF(INDEX(MHR[Schichtmodell],$CI96)=2,INDEX(LOC[F2S],INDEX(Premises!$A$18:$F$18,1,$CH96+1)),IF(INDEX(MHR[Schichtmodell],$CI96)=3,INDEX(LOC[F3S],INDEX(Premises!$A$18:$F$18,1,$CH96+1)),0)))),
IF(OR($T96="M",$T96="U"),INDEX(Premises!$A$21:$F$21,1,$CH96),
IF(OR($T96="F",$T96="S"),INDEX(Premises!$A$22:$F$22,1,$CH96),0)))*100/INDEX(Premises!$A$16:$F$16,1,$CH96))</f>
        <v>0</v>
      </c>
      <c r="V96" s="631">
        <f>IF($U96=0,0,IFERROR($F96/$H96/IF($G96="s",3600,IF($G96="min",60,IF($G96="h",1,0)))*$S96*$U96,0))</f>
        <v>0</v>
      </c>
      <c r="W96" s="410"/>
      <c r="X96" s="403"/>
      <c r="Y96" s="411"/>
      <c r="Z96" s="412"/>
      <c r="AA96" s="628">
        <f>IFERROR($X96*$Z96/$Y96/MAX(1,$H96),0)</f>
        <v>0</v>
      </c>
      <c r="AB96" s="410"/>
      <c r="AC96" s="403"/>
      <c r="AD96" s="411"/>
      <c r="AE96" s="413"/>
      <c r="AF96" s="628">
        <f>IFERROR($AC96*$AE96/$AD96,0)</f>
        <v>0</v>
      </c>
      <c r="AG96" s="629" cm="1">
        <f t="array" ref="AG96">IF(($J96+$V96+$AF96)=0,0,INDEX(Premises!$A$30:$F$30,1,$CH96)/100)</f>
        <v>0</v>
      </c>
      <c r="AH96" s="414"/>
      <c r="AI96" s="415"/>
      <c r="AJ96" s="416"/>
      <c r="AK96" s="630">
        <f>IF(COUNTBLANK($AH96:$AI96),0,$AH96*$AI96*$AG96)</f>
        <v>0</v>
      </c>
      <c r="AL96" s="631">
        <f>($AK96+$AJ96*$AG96*(1-$AH96)+($J96+$V96+$AF96)*$AG96*(1-$AH96))</f>
        <v>0</v>
      </c>
      <c r="AM96" s="632" cm="1">
        <f t="array" ref="AM96">IF($CI96=0,0,IFERROR(INDEX(MHR[],$CI96,MATCH($CA96,MHR!$B$4:$AY$4,0)+11),0))</f>
        <v>0</v>
      </c>
      <c r="AN96" s="633" cm="1">
        <f t="array" ref="AN96">IF(($J96+$V96)=0,0,IFERROR(IF(INDEX(Premises!$A$41:$F$41,1,$CH96)&lt;&gt;0,INDEX(Premises!$A$41:$F$41,1,$CH96)/100,(IFERROR(($J96/$I96)*$AM96,0)/($V96+$J96+$R96+$AL96))),0))</f>
        <v>0</v>
      </c>
      <c r="AO96" s="634">
        <f>IF(($J96+$V96)=0,0,IF(IFERROR(($J96+$R96+$V96+$AL96)*$AN96,0)&lt;&gt;IFERROR(($J96/$I96)*$AM96,0),($J96+$R96+$V96+$AL96)*$AN96,IFERROR(($J96/$I96)*$AM96,0)))</f>
        <v>0</v>
      </c>
      <c r="AP96" s="635">
        <f>$V96+$J96+$R96+$AA96+$AF96+$AL96+$AO96</f>
        <v>0</v>
      </c>
      <c r="AQ96" s="410"/>
      <c r="AR96" s="409"/>
      <c r="AS96" s="636" cm="1">
        <f t="array" ref="AS96">IF($CJ96=0,0,IFERROR(INDEX(MAT[Einheit],$CJ96,1),0))</f>
        <v>0</v>
      </c>
      <c r="AT96" s="637" cm="1">
        <f t="array" ref="AT96">IF($CJ96=0,0,IFERROR(INDEX(MAT[Preis],$CJ96,1),0))</f>
        <v>0</v>
      </c>
      <c r="AU96" s="638">
        <f>$AR96*$AT96</f>
        <v>0</v>
      </c>
      <c r="AV96" s="639" cm="1">
        <f t="array" ref="AV96">IF($AU96&lt;=0,0,INDEX(Premises!$A$30:$F$30,1,$CH96)/100)</f>
        <v>0</v>
      </c>
      <c r="AW96" s="409"/>
      <c r="AX96" s="631">
        <f>IF($AV96=0,0,($AU96+$AW96)*$AV96)</f>
        <v>0</v>
      </c>
      <c r="AY96" s="640" cm="1">
        <f t="array" ref="AY96">IF($AT96&lt;=0,0,IFERROR(IF(INDEX(Premises!$A$42:$F$42,1,$CH96)&lt;&gt;0,INDEX(Premises!$A$42:$F$42,1,$CH96)/100,(INDEX(MAT[],$CJ96,MATCH($CA96,MAT!$B$4:$AE$4,0))/($AR96*$CK96*INDEX(Premises!$A$13:$F$13,1,$CH96))+INDEX(MAT[],$CJ96,MATCH($CA96,MAT!$B$4:$AE$4,0)+7))/$AT96),0))</f>
        <v>0</v>
      </c>
      <c r="AZ96" s="631">
        <f>IF($AY96=0,0,($AU96+$AX96)*$AY96)</f>
        <v>0</v>
      </c>
      <c r="BA96" s="635">
        <f>$AU96+$AX96+$AZ96</f>
        <v>0</v>
      </c>
      <c r="BB96" s="635">
        <f>$AP96+$BA96</f>
        <v>0</v>
      </c>
      <c r="BC96" s="639" cm="1">
        <f t="array" ref="BC96">IF($BB96&lt;=0,0,IF(BC$2=-1,0,INDEX(Premises!$A$32:$F$32,1,$CH96)/100))</f>
        <v>0</v>
      </c>
      <c r="BD96" s="631">
        <f>IF($AP96&lt;=0,0,($AP96-$AA96-$AL96)*$BC96)</f>
        <v>0</v>
      </c>
      <c r="BE96" s="639" cm="1">
        <f t="array" ref="BE96">IF($BB96&lt;=0,0,IF(BE$2=-1,0,INDEX(Premises!$A$33:$F$33,1,$CH96)/100))</f>
        <v>0</v>
      </c>
      <c r="BF96" s="631">
        <f>IF($BA96&lt;=0,0,$BA96*$BE96)</f>
        <v>0</v>
      </c>
      <c r="BG96" s="639" cm="1">
        <f t="array" ref="BG96">IF($BB96&lt;=0,0,IF(BG$2=-1,0,INDEX(Premises!$A$31:$F$31,1,$CH96)/100))</f>
        <v>0</v>
      </c>
      <c r="BH96" s="631">
        <f>(($AP96-$AA96-$AL96)+$BA96)*$BG96</f>
        <v>0</v>
      </c>
      <c r="BI96" s="635">
        <f>$BB96+$BD96+$BF96+$BH96</f>
        <v>0</v>
      </c>
      <c r="BJ96" s="639" cm="1">
        <f t="array" ref="BJ96">IF($BB96&lt;=0,0,IF(BJ$2=-1,0,INDEX(Premises!$A$35:$F$35,1,$CH96)/100))</f>
        <v>0</v>
      </c>
      <c r="BK96" s="631">
        <f>IF($AP96&lt;=0,0,($AP96-$AL96-$AA96)*$BJ96)</f>
        <v>0</v>
      </c>
      <c r="BL96" s="639" cm="1">
        <f t="array" ref="BL96">IF($BB96&lt;=0,0,IF(BL$2=-1,0,INDEX(Premises!$A$36:$F$36,1,$CH96)/100))</f>
        <v>0</v>
      </c>
      <c r="BM96" s="631">
        <f>IF($AU96&lt;=0,0,($AR96*$AT96)*$BL96)</f>
        <v>0</v>
      </c>
      <c r="BN96" s="639" cm="1">
        <f t="array" ref="BN96">IF($BB96&lt;=0,0,IF(BN$2=-1,0,INDEX(Premises!$A$34:$F$34,1,$CH96)/100))</f>
        <v>0</v>
      </c>
      <c r="BO96" s="631">
        <f>(($AP96-$AL96-$AA96)+($AR96*$AT96))*$BN96</f>
        <v>0</v>
      </c>
      <c r="BP96" s="639" cm="1">
        <f t="array" ref="BP96">IF($BI96=0,0,INDEX(Premises!$A$37:$F$37,1,$CH96)/100)</f>
        <v>0</v>
      </c>
      <c r="BQ96" s="409"/>
      <c r="BR96" s="631">
        <f>($BI96+$BK96+$BM96+$BO96)*$BP96+$BQ96</f>
        <v>0</v>
      </c>
      <c r="BS96" s="641">
        <f>BI96+BK96+BM96+BO96+BR96</f>
        <v>0</v>
      </c>
      <c r="BT96" s="641">
        <f>IF($BS96=0,0,$CK96*$BS96)</f>
        <v>0</v>
      </c>
      <c r="BU96" s="642">
        <f>IF($BT96=0,0,MAX(1,$EB96/$DP96))</f>
        <v>0</v>
      </c>
      <c r="BV96" s="417"/>
      <c r="BW96" s="418"/>
      <c r="BX96" s="418"/>
      <c r="BY96" s="419"/>
      <c r="BZ96" s="968"/>
      <c r="CA96" s="280" cm="1">
        <f t="array" ref="CA96">IF($BZ96&gt;0,VALUE(LEFT($BZ96,IF(ISERROR(FIND("-",$BZ96)),LEN($BZ96),FIND("-",$BZ96)-1))),INDEX($CA$1:$CA96,MAX(1,$CD96)))</f>
        <v>1</v>
      </c>
      <c r="CB96" s="280" cm="1">
        <f t="array" ref="CB96">IF($BT96=0,0,IF(LEN($BZ96)-LEN(SUBSTITUTE($BZ96,"-",""))&gt;1,
VALUE(MID($BZ96,FIND("-",$BZ96)+1,FIND("-",$BZ96,FIND("-",$BZ96)+1)-FIND("-",$BZ96)-1)),IF($BZ96&gt;0,0,INDEX($CB$1:$CB96,MAX(1,$CD96)))))</f>
        <v>0</v>
      </c>
      <c r="CC96" s="280" cm="1">
        <f t="array" ref="CC96">IF($BT96=0,0,IF(NOT(ISERROR(FIND("-",BZ96))),
VALUE(RIGHT($BZ96,LEN($BZ96)-IF(LEN($BZ96)-LEN(SUBSTITUTE($BZ96,"-",""))=1,FIND("-",$BZ96),FIND("-",$BZ96,FIND("-",$BZ96)+1)))),
IF($BZ96&gt;0,0,INDEX($CC$1:$CC96,MAX(1,$CD96)))))</f>
        <v>0</v>
      </c>
      <c r="CD96" s="393">
        <f>MATCH(0,$CE$1:$CE96,-1)</f>
        <v>92</v>
      </c>
      <c r="CE96" s="280"/>
      <c r="CF96" s="394"/>
      <c r="CG96" s="393" cm="1">
        <f t="array" ref="CG96">INDEX($CG$1:$CG96,$CD96)</f>
        <v>10</v>
      </c>
      <c r="CH96" s="280">
        <f>MATCH($CA96,Premises!$A$10:$F$10,0)</f>
        <v>4</v>
      </c>
      <c r="CI96" s="280">
        <f>IF(ISBLANK($E96),0,IFERROR(MATCH($E96,MHR[Bezeichnung],0),0))</f>
        <v>0</v>
      </c>
      <c r="CJ96" s="394">
        <f>IF(ISBLANK($AQ96),0,IFERROR(MATCH($AQ96,MAT[Bezeichnung],0),0))</f>
        <v>0</v>
      </c>
      <c r="CK96" s="280" cm="1">
        <f t="array" ref="CK96">INDEX($D$1:$D96,$CD96)</f>
        <v>1</v>
      </c>
      <c r="CL96" s="280"/>
      <c r="CM96" s="395"/>
      <c r="CN96" s="396" cm="1">
        <f t="array" ref="CN96">IF($CB96=0,0,IF($CB96=INDEX($CB$1:$CB96,$CD96),INDEX($CN$1:$CN96,$CD96),$CP96))</f>
        <v>0</v>
      </c>
      <c r="CO96" s="395"/>
      <c r="CP96" s="396" cm="1">
        <f t="array" ref="CP96">IF($CC96=0,0,INDEX($CP$1:$CP96,$CD96))</f>
        <v>0</v>
      </c>
      <c r="CQ96" s="397"/>
      <c r="CR96" s="398"/>
      <c r="CS96" s="398"/>
      <c r="CT96" s="970"/>
      <c r="CU96" s="2"/>
      <c r="CV96" s="647">
        <f>$J96*$CK96</f>
        <v>0</v>
      </c>
      <c r="CW96" s="648">
        <f>$R96*$CK96</f>
        <v>0</v>
      </c>
      <c r="CX96" s="648">
        <f>$V96*$CK96</f>
        <v>0</v>
      </c>
      <c r="CY96" s="648">
        <f>$AA96*$CK96</f>
        <v>0</v>
      </c>
      <c r="CZ96" s="648">
        <f>$AF96*$CK96</f>
        <v>0</v>
      </c>
      <c r="DA96" s="648">
        <f>$AL96*$CK96</f>
        <v>0</v>
      </c>
      <c r="DB96" s="648">
        <f>$AO96*$CK96</f>
        <v>0</v>
      </c>
      <c r="DC96" s="649">
        <f>$AP96*$CK96</f>
        <v>0</v>
      </c>
      <c r="DD96" s="648">
        <f>$AU96*$CK96</f>
        <v>0</v>
      </c>
      <c r="DE96" s="648">
        <f>$AX96*$CK96</f>
        <v>0</v>
      </c>
      <c r="DF96" s="648">
        <f>$AZ96*$CK96</f>
        <v>0</v>
      </c>
      <c r="DG96" s="649">
        <f>$BA96*$CK96</f>
        <v>0</v>
      </c>
      <c r="DH96" s="649">
        <f>$BB96*$CK96</f>
        <v>0</v>
      </c>
      <c r="DI96" s="648">
        <f>$BD96*$CK96</f>
        <v>0</v>
      </c>
      <c r="DJ96" s="648">
        <f>$BF96*$CK96</f>
        <v>0</v>
      </c>
      <c r="DK96" s="648">
        <f>$BH96*$CK96</f>
        <v>0</v>
      </c>
      <c r="DL96" s="648">
        <f>$BK96*$CK96</f>
        <v>0</v>
      </c>
      <c r="DM96" s="648">
        <f>$BM96*$CK96</f>
        <v>0</v>
      </c>
      <c r="DN96" s="648">
        <f>$BO96*$CK96</f>
        <v>0</v>
      </c>
      <c r="DO96" s="648">
        <f>$BR96*$CK96</f>
        <v>0</v>
      </c>
      <c r="DP96" s="651">
        <f>$CK96*($BB96+$BD96+$BF96+$BH96+$BK96+$BM96+$BO96+$BR96)</f>
        <v>0</v>
      </c>
      <c r="DQ96" s="951">
        <f>IF($CB96=0,0,$DP96*_xlfn.XLOOKUP($CB96,Premises!$A$10:$F$10,Premises!$A$30:$F$30)/100)</f>
        <v>0</v>
      </c>
      <c r="DR96" s="650">
        <f>IFERROR(SUM($DP96:$DQ96)*IF(INDEX(Premises!$A$42:$F$42,1,MATCH($CB96,Premises!$A$10:$F$10,0))&gt;0,INDEX(Premises!$A$42:$F$42,1,MATCH($CB96,Premises!$A$10:$F$10,0))%,$CN96),0)</f>
        <v>0</v>
      </c>
      <c r="DS96" s="650" cm="1">
        <f t="array" ref="DS96">IF($CB96=0,0,SUM($DP96:$DR96)*_xlfn.XLOOKUP($CB96,Premises!$A$10:$F$10,IF(INDEX(Settings[],MATCH(3001,Settings[ID],0),2)="B",Premises!$A$33:$F$33,Premises!$A$31:$F$31))/100)</f>
        <v>0</v>
      </c>
      <c r="DT96" s="650" cm="1">
        <f t="array" ref="DT96">IF($CB96=0,0,$DP96*_xlfn.XLOOKUP($CB96,Premises!$A$10:$F$10,IF(INDEX(Settings[],MATCH(3002,Settings[ID],0),2)="B",Premises!$A$36:$F$36,Premises!$A$34:$F$34))/100)</f>
        <v>0</v>
      </c>
      <c r="DU96" s="650">
        <f>IF($CB96=0,0,SUM($DP96:$DT96)*_xlfn.XLOOKUP($CB96,Premises!$A$10:$F$10,Premises!$A$37:$F$37)/100)</f>
        <v>0</v>
      </c>
      <c r="DV96" s="954">
        <f>SUM($DP96:$DU96)</f>
        <v>0</v>
      </c>
      <c r="DW96" s="951">
        <f>IF($CC96=0,0,$DV96*_xlfn.XLOOKUP($CC96,Premises!$A$10:$F$10,Premises!$A$30:$F$30)/100)</f>
        <v>0</v>
      </c>
      <c r="DX96" s="650">
        <f>IFERROR(SUM($DV96:$DW96)*IF(INDEX(Premises!$A$42:$F$42,1,MATCH($CC96,Premises!$A$10:$F$10,0))&gt;0,INDEX(Premises!$A$42:$F$42,1,MATCH($CC96,Premises!$A$10:$F$10,0))%,$CP96),0)</f>
        <v>0</v>
      </c>
      <c r="DY96" s="650" cm="1">
        <f t="array" ref="DY96">IF($CC96=0,0,SUM($DV96:$DX96)*_xlfn.XLOOKUP($CC96,Premises!$A$10:$F$10,IF(INDEX(Settings[],MATCH(3001,Settings[ID],0),2)="B",Premises!$A$33:$F$33,Premises!$A$31:$F$31))/100)</f>
        <v>0</v>
      </c>
      <c r="DZ96" s="650" cm="1">
        <f t="array" ref="DZ96">IF($CC96=0,0,$DV96*_xlfn.XLOOKUP($CC96,Premises!$A$10:$F$10,IF(INDEX(Settings[],MATCH(3002,Settings[ID],0),2)="B",Premises!$A$36:$F$36,Premises!$A$34:$F$34))/100)</f>
        <v>0</v>
      </c>
      <c r="EA96" s="650">
        <f>IF($CC96=0,0,SUM($DV96:$DZ96)*_xlfn.XLOOKUP($CC96,Premises!$A$10:$F$10,Premises!$A$37:$F$37)/100)</f>
        <v>0</v>
      </c>
      <c r="EB96" s="651">
        <f>SUM($DV96:$EA96)</f>
        <v>0</v>
      </c>
      <c r="EC96" s="805"/>
      <c r="ED96" s="1104"/>
      <c r="EE96" s="650"/>
      <c r="EF96" s="1110"/>
      <c r="EG96" s="1108"/>
      <c r="EH96" s="1108"/>
      <c r="EI96" s="1108"/>
      <c r="EJ96" s="1108"/>
      <c r="EK96" s="1108"/>
      <c r="EL96" s="1108"/>
      <c r="EM96" s="1110"/>
      <c r="EN96" s="1108"/>
      <c r="EO96" s="1108"/>
      <c r="EP96" s="1108"/>
      <c r="EQ96" s="1108"/>
      <c r="ER96" s="1110"/>
      <c r="ES96" s="1108"/>
      <c r="ET96" s="1108"/>
      <c r="EU96" s="1108"/>
      <c r="EV96" s="1108"/>
      <c r="EW96" s="1108"/>
      <c r="EX96" s="1111"/>
      <c r="EY96" s="2"/>
      <c r="EZ96" s="2"/>
      <c r="FA96" s="2"/>
      <c r="FB96" s="2"/>
      <c r="FC96" s="2"/>
      <c r="FD96" s="2"/>
      <c r="FE96" s="2"/>
      <c r="FF96" s="2"/>
      <c r="FG96" s="2"/>
      <c r="FH96" s="2"/>
      <c r="FI96" s="2"/>
      <c r="FJ96" s="420"/>
      <c r="FK96" s="421"/>
      <c r="FL96" s="422"/>
      <c r="FM96" s="970"/>
    </row>
    <row r="97" spans="1:169" s="13" customFormat="1" ht="12.75" customHeight="1">
      <c r="A97" s="221"/>
      <c r="B97" s="402"/>
      <c r="C97" s="403"/>
      <c r="D97" s="646"/>
      <c r="E97" s="404"/>
      <c r="F97" s="405"/>
      <c r="G97" s="405"/>
      <c r="H97" s="405"/>
      <c r="I97" s="637" cm="1">
        <f t="array" ref="I97">IF($CI97=0,0,IFERROR(INDEX(MHR[],$CI97,MATCH($CA97,MHR!$B$4:$AY$4,0)),0))</f>
        <v>0</v>
      </c>
      <c r="J97" s="634">
        <f>IF(COUNTBLANK($E97:$H97),0,IFERROR($F97/$H97/IF($G97="s",3600,IF($G97="min",60,IF($G97="h",1,0)))*I97,0))</f>
        <v>0</v>
      </c>
      <c r="K97" s="406"/>
      <c r="L97" s="407"/>
      <c r="M97" s="871"/>
      <c r="N97" s="407"/>
      <c r="O97" s="405"/>
      <c r="P97" s="645" cm="1">
        <f t="array" ref="P97">IF($K97=0,0,IFERROR(ROUNDUP(IF(ISNUMBER($K97),$K97,INDEX($D$1:$D97,$CD97)*INDEX(Premises!$A$13:$F$13,1,$CH97)/IF(OR($K97="T",$K97="D"),250,IF($K97="W",50,IF($K97="M",12,IF(OR($K97="HJ",$K97="HY"),2,IF(OR($K97="J",$K97="Y"),1,0)))))),0),0))</f>
        <v>0</v>
      </c>
      <c r="Q97" s="637" cm="1">
        <f t="array" ref="Q97">IF($K97=0,0,IFERROR(INDEX(Premises!$A$22:$F$22,1,$CH97)*100/INDEX(Premises!$A$16:$F$16,1,$CH97),0))</f>
        <v>0</v>
      </c>
      <c r="R97" s="634">
        <f>IF($P97=0,0,IFERROR(($L97/60*($I97+$Q97*$M97)+($N97/60*($Q97*$O97)))/$P97,0))</f>
        <v>0</v>
      </c>
      <c r="S97" s="408"/>
      <c r="T97" s="409"/>
      <c r="U97" s="637" cm="1">
        <f t="array" ref="U97">IF(COUNTBLANK($S97:$T97),0,
IF(AND(INDEX(MHR[Schichtmodell],$CI97)&lt;&gt;0,INDEX(MHR[Schichtmodell],$CI97)&lt;&gt;INDEX(Premises!$A$20:$F$20,1,$CH97)),ExchangeRate*
IF(OR($T97="M",$T97="U"),IF(INDEX(MHR[Schichtmodell],$CI97)=1,INDEX(LOC[M1S],INDEX(Premises!$A$18:$F$18,1,$CH97+1)),IF(INDEX(MHR[Schichtmodell],$CI97)=2,INDEX(LOC[M2S],INDEX(Premises!$A$18:$F$18,1,$CH97+1),IF(INDEX(MHR[Schichtmodell],$CI97)=3,INDEX(LOC[M3S],INDEX(Premises!$A$18:$F$18,1,$CH97+1)),0)))),
IF(INDEX(MHR[Schichtmodell],$CI97)=1,INDEX(LOC[F1S],INDEX(Premises!$A$18:$F$18,1,$CH97+1)),IF(INDEX(MHR[Schichtmodell],$CI97)=2,INDEX(LOC[F2S],INDEX(Premises!$A$18:$F$18,1,$CH97+1)),IF(INDEX(MHR[Schichtmodell],$CI97)=3,INDEX(LOC[F3S],INDEX(Premises!$A$18:$F$18,1,$CH97+1)),0)))),
IF(OR($T97="M",$T97="U"),INDEX(Premises!$A$21:$F$21,1,$CH97),
IF(OR($T97="F",$T97="S"),INDEX(Premises!$A$22:$F$22,1,$CH97),0)))*100/INDEX(Premises!$A$16:$F$16,1,$CH97))</f>
        <v>0</v>
      </c>
      <c r="V97" s="631">
        <f>IF($U97=0,0,IFERROR($F97/$H97/IF($G97="s",3600,IF($G97="min",60,IF($G97="h",1,0)))*$S97*$U97,0))</f>
        <v>0</v>
      </c>
      <c r="W97" s="410"/>
      <c r="X97" s="403"/>
      <c r="Y97" s="411"/>
      <c r="Z97" s="412"/>
      <c r="AA97" s="628">
        <f>IFERROR($X97*$Z97/$Y97/MAX(1,$H97),0)</f>
        <v>0</v>
      </c>
      <c r="AB97" s="410"/>
      <c r="AC97" s="403"/>
      <c r="AD97" s="411"/>
      <c r="AE97" s="413"/>
      <c r="AF97" s="628">
        <f>IFERROR($AC97*$AE97/$AD97,0)</f>
        <v>0</v>
      </c>
      <c r="AG97" s="629" cm="1">
        <f t="array" ref="AG97">IF(($J97+$V97+$AF97)=0,0,INDEX(Premises!$A$30:$F$30,1,$CH97)/100)</f>
        <v>0</v>
      </c>
      <c r="AH97" s="414"/>
      <c r="AI97" s="415"/>
      <c r="AJ97" s="416"/>
      <c r="AK97" s="630">
        <f>IF(COUNTBLANK($AH97:$AI97),0,$AH97*$AI97*$AG97)</f>
        <v>0</v>
      </c>
      <c r="AL97" s="631">
        <f>($AK97+$AJ97*$AG97*(1-$AH97)+($J97+$V97+$AF97)*$AG97*(1-$AH97))</f>
        <v>0</v>
      </c>
      <c r="AM97" s="632" cm="1">
        <f t="array" ref="AM97">IF($CI97=0,0,IFERROR(INDEX(MHR[],$CI97,MATCH($CA97,MHR!$B$4:$AY$4,0)+11),0))</f>
        <v>0</v>
      </c>
      <c r="AN97" s="633" cm="1">
        <f t="array" ref="AN97">IF(($J97+$V97)=0,0,IFERROR(IF(INDEX(Premises!$A$41:$F$41,1,$CH97)&lt;&gt;0,INDEX(Premises!$A$41:$F$41,1,$CH97)/100,(IFERROR(($J97/$I97)*$AM97,0)/($V97+$J97+$R97+$AL97))),0))</f>
        <v>0</v>
      </c>
      <c r="AO97" s="634">
        <f>IF(($J97+$V97)=0,0,IF(IFERROR(($J97+$R97+$V97+$AL97)*$AN97,0)&lt;&gt;IFERROR(($J97/$I97)*$AM97,0),($J97+$R97+$V97+$AL97)*$AN97,IFERROR(($J97/$I97)*$AM97,0)))</f>
        <v>0</v>
      </c>
      <c r="AP97" s="635">
        <f>$V97+$J97+$R97+$AA97+$AF97+$AL97+$AO97</f>
        <v>0</v>
      </c>
      <c r="AQ97" s="410"/>
      <c r="AR97" s="409"/>
      <c r="AS97" s="636" cm="1">
        <f t="array" ref="AS97">IF($CJ97=0,0,IFERROR(INDEX(MAT[Einheit],$CJ97,1),0))</f>
        <v>0</v>
      </c>
      <c r="AT97" s="637" cm="1">
        <f t="array" ref="AT97">IF($CJ97=0,0,IFERROR(INDEX(MAT[Preis],$CJ97,1),0))</f>
        <v>0</v>
      </c>
      <c r="AU97" s="638">
        <f>$AR97*$AT97</f>
        <v>0</v>
      </c>
      <c r="AV97" s="639" cm="1">
        <f t="array" ref="AV97">IF($AU97&lt;=0,0,INDEX(Premises!$A$30:$F$30,1,$CH97)/100)</f>
        <v>0</v>
      </c>
      <c r="AW97" s="409"/>
      <c r="AX97" s="631">
        <f>IF($AV97=0,0,($AU97+$AW97)*$AV97)</f>
        <v>0</v>
      </c>
      <c r="AY97" s="640" cm="1">
        <f t="array" ref="AY97">IF($AT97&lt;=0,0,IFERROR(IF(INDEX(Premises!$A$42:$F$42,1,$CH97)&lt;&gt;0,INDEX(Premises!$A$42:$F$42,1,$CH97)/100,(INDEX(MAT[],$CJ97,MATCH($CA97,MAT!$B$4:$AE$4,0))/($AR97*$CK97*INDEX(Premises!$A$13:$F$13,1,$CH97))+INDEX(MAT[],$CJ97,MATCH($CA97,MAT!$B$4:$AE$4,0)+7))/$AT97),0))</f>
        <v>0</v>
      </c>
      <c r="AZ97" s="631">
        <f>IF($AY97=0,0,($AU97+$AX97)*$AY97)</f>
        <v>0</v>
      </c>
      <c r="BA97" s="635">
        <f>$AU97+$AX97+$AZ97</f>
        <v>0</v>
      </c>
      <c r="BB97" s="635">
        <f>$AP97+$BA97</f>
        <v>0</v>
      </c>
      <c r="BC97" s="639" cm="1">
        <f t="array" ref="BC97">IF($BB97&lt;=0,0,IF(BC$2=-1,0,INDEX(Premises!$A$32:$F$32,1,$CH97)/100))</f>
        <v>0</v>
      </c>
      <c r="BD97" s="631">
        <f>IF($AP97&lt;=0,0,($AP97-$AA97-$AL97)*$BC97)</f>
        <v>0</v>
      </c>
      <c r="BE97" s="639" cm="1">
        <f t="array" ref="BE97">IF($BB97&lt;=0,0,IF(BE$2=-1,0,INDEX(Premises!$A$33:$F$33,1,$CH97)/100))</f>
        <v>0</v>
      </c>
      <c r="BF97" s="631">
        <f>IF($BA97&lt;=0,0,$BA97*$BE97)</f>
        <v>0</v>
      </c>
      <c r="BG97" s="639" cm="1">
        <f t="array" ref="BG97">IF($BB97&lt;=0,0,IF(BG$2=-1,0,INDEX(Premises!$A$31:$F$31,1,$CH97)/100))</f>
        <v>0</v>
      </c>
      <c r="BH97" s="631">
        <f>(($AP97-$AA97-$AL97)+$BA97)*$BG97</f>
        <v>0</v>
      </c>
      <c r="BI97" s="635">
        <f>$BB97+$BD97+$BF97+$BH97</f>
        <v>0</v>
      </c>
      <c r="BJ97" s="639" cm="1">
        <f t="array" ref="BJ97">IF($BB97&lt;=0,0,IF(BJ$2=-1,0,INDEX(Premises!$A$35:$F$35,1,$CH97)/100))</f>
        <v>0</v>
      </c>
      <c r="BK97" s="631">
        <f>IF($AP97&lt;=0,0,($AP97-$AL97-$AA97)*$BJ97)</f>
        <v>0</v>
      </c>
      <c r="BL97" s="639" cm="1">
        <f t="array" ref="BL97">IF($BB97&lt;=0,0,IF(BL$2=-1,0,INDEX(Premises!$A$36:$F$36,1,$CH97)/100))</f>
        <v>0</v>
      </c>
      <c r="BM97" s="631">
        <f>IF($AU97&lt;=0,0,($AR97*$AT97)*$BL97)</f>
        <v>0</v>
      </c>
      <c r="BN97" s="639" cm="1">
        <f t="array" ref="BN97">IF($BB97&lt;=0,0,IF(BN$2=-1,0,INDEX(Premises!$A$34:$F$34,1,$CH97)/100))</f>
        <v>0</v>
      </c>
      <c r="BO97" s="631">
        <f>(($AP97-$AL97-$AA97)+($AR97*$AT97))*$BN97</f>
        <v>0</v>
      </c>
      <c r="BP97" s="639" cm="1">
        <f t="array" ref="BP97">IF($BI97=0,0,INDEX(Premises!$A$37:$F$37,1,$CH97)/100)</f>
        <v>0</v>
      </c>
      <c r="BQ97" s="409"/>
      <c r="BR97" s="631">
        <f>($BI97+$BK97+$BM97+$BO97)*$BP97+$BQ97</f>
        <v>0</v>
      </c>
      <c r="BS97" s="641">
        <f>BI97+BK97+BM97+BO97+BR97</f>
        <v>0</v>
      </c>
      <c r="BT97" s="641">
        <f>IF($BS97=0,0,$CK97*$BS97)</f>
        <v>0</v>
      </c>
      <c r="BU97" s="642">
        <f>IF($BT97=0,0,MAX(1,$EB97/$DP97))</f>
        <v>0</v>
      </c>
      <c r="BV97" s="417"/>
      <c r="BW97" s="418"/>
      <c r="BX97" s="418"/>
      <c r="BY97" s="419"/>
      <c r="BZ97" s="968"/>
      <c r="CA97" s="280" cm="1">
        <f t="array" ref="CA97">IF($BZ97&gt;0,VALUE(LEFT($BZ97,IF(ISERROR(FIND("-",$BZ97)),LEN($BZ97),FIND("-",$BZ97)-1))),INDEX($CA$1:$CA97,MAX(1,$CD97)))</f>
        <v>1</v>
      </c>
      <c r="CB97" s="280" cm="1">
        <f t="array" ref="CB97">IF($BT97=0,0,IF(LEN($BZ97)-LEN(SUBSTITUTE($BZ97,"-",""))&gt;1,
VALUE(MID($BZ97,FIND("-",$BZ97)+1,FIND("-",$BZ97,FIND("-",$BZ97)+1)-FIND("-",$BZ97)-1)),IF($BZ97&gt;0,0,INDEX($CB$1:$CB97,MAX(1,$CD97)))))</f>
        <v>0</v>
      </c>
      <c r="CC97" s="280" cm="1">
        <f t="array" ref="CC97">IF($BT97=0,0,IF(NOT(ISERROR(FIND("-",BZ97))),
VALUE(RIGHT($BZ97,LEN($BZ97)-IF(LEN($BZ97)-LEN(SUBSTITUTE($BZ97,"-",""))=1,FIND("-",$BZ97),FIND("-",$BZ97,FIND("-",$BZ97)+1)))),
IF($BZ97&gt;0,0,INDEX($CC$1:$CC97,MAX(1,$CD97)))))</f>
        <v>0</v>
      </c>
      <c r="CD97" s="393">
        <f>MATCH(0,$CE$1:$CE97,-1)</f>
        <v>92</v>
      </c>
      <c r="CE97" s="280"/>
      <c r="CF97" s="394"/>
      <c r="CG97" s="393" cm="1">
        <f t="array" ref="CG97">INDEX($CG$1:$CG97,$CD97)</f>
        <v>10</v>
      </c>
      <c r="CH97" s="280">
        <f>MATCH($CA97,Premises!$A$10:$F$10,0)</f>
        <v>4</v>
      </c>
      <c r="CI97" s="280">
        <f>IF(ISBLANK($E97),0,IFERROR(MATCH($E97,MHR[Bezeichnung],0),0))</f>
        <v>0</v>
      </c>
      <c r="CJ97" s="394">
        <f>IF(ISBLANK($AQ97),0,IFERROR(MATCH($AQ97,MAT[Bezeichnung],0),0))</f>
        <v>0</v>
      </c>
      <c r="CK97" s="280" cm="1">
        <f t="array" ref="CK97">INDEX($D$1:$D97,$CD97)</f>
        <v>1</v>
      </c>
      <c r="CL97" s="280"/>
      <c r="CM97" s="395"/>
      <c r="CN97" s="396" cm="1">
        <f t="array" ref="CN97">IF($CB97=0,0,IF($CB97=INDEX($CB$1:$CB97,$CD97),INDEX($CN$1:$CN97,$CD97),$CP97))</f>
        <v>0</v>
      </c>
      <c r="CO97" s="395"/>
      <c r="CP97" s="396" cm="1">
        <f t="array" ref="CP97">IF($CC97=0,0,INDEX($CP$1:$CP97,$CD97))</f>
        <v>0</v>
      </c>
      <c r="CQ97" s="397"/>
      <c r="CR97" s="398"/>
      <c r="CS97" s="398"/>
      <c r="CT97" s="970"/>
      <c r="CU97" s="2"/>
      <c r="CV97" s="647">
        <f>$J97*$CK97</f>
        <v>0</v>
      </c>
      <c r="CW97" s="648">
        <f>$R97*$CK97</f>
        <v>0</v>
      </c>
      <c r="CX97" s="648">
        <f>$V97*$CK97</f>
        <v>0</v>
      </c>
      <c r="CY97" s="648">
        <f>$AA97*$CK97</f>
        <v>0</v>
      </c>
      <c r="CZ97" s="648">
        <f>$AF97*$CK97</f>
        <v>0</v>
      </c>
      <c r="DA97" s="648">
        <f>$AL97*$CK97</f>
        <v>0</v>
      </c>
      <c r="DB97" s="648">
        <f>$AO97*$CK97</f>
        <v>0</v>
      </c>
      <c r="DC97" s="649">
        <f>$AP97*$CK97</f>
        <v>0</v>
      </c>
      <c r="DD97" s="648">
        <f>$AU97*$CK97</f>
        <v>0</v>
      </c>
      <c r="DE97" s="648">
        <f>$AX97*$CK97</f>
        <v>0</v>
      </c>
      <c r="DF97" s="648">
        <f>$AZ97*$CK97</f>
        <v>0</v>
      </c>
      <c r="DG97" s="649">
        <f>$BA97*$CK97</f>
        <v>0</v>
      </c>
      <c r="DH97" s="649">
        <f>$BB97*$CK97</f>
        <v>0</v>
      </c>
      <c r="DI97" s="648">
        <f>$BD97*$CK97</f>
        <v>0</v>
      </c>
      <c r="DJ97" s="648">
        <f>$BF97*$CK97</f>
        <v>0</v>
      </c>
      <c r="DK97" s="648">
        <f>$BH97*$CK97</f>
        <v>0</v>
      </c>
      <c r="DL97" s="648">
        <f>$BK97*$CK97</f>
        <v>0</v>
      </c>
      <c r="DM97" s="648">
        <f>$BM97*$CK97</f>
        <v>0</v>
      </c>
      <c r="DN97" s="648">
        <f>$BO97*$CK97</f>
        <v>0</v>
      </c>
      <c r="DO97" s="648">
        <f>$BR97*$CK97</f>
        <v>0</v>
      </c>
      <c r="DP97" s="651">
        <f>$CK97*($BB97+$BD97+$BF97+$BH97+$BK97+$BM97+$BO97+$BR97)</f>
        <v>0</v>
      </c>
      <c r="DQ97" s="951">
        <f>IF($CB97=0,0,$DP97*_xlfn.XLOOKUP($CB97,Premises!$A$10:$F$10,Premises!$A$30:$F$30)/100)</f>
        <v>0</v>
      </c>
      <c r="DR97" s="650">
        <f>IFERROR(SUM($DP97:$DQ97)*IF(INDEX(Premises!$A$42:$F$42,1,MATCH($CB97,Premises!$A$10:$F$10,0))&gt;0,INDEX(Premises!$A$42:$F$42,1,MATCH($CB97,Premises!$A$10:$F$10,0))%,$CN97),0)</f>
        <v>0</v>
      </c>
      <c r="DS97" s="650" cm="1">
        <f t="array" ref="DS97">IF($CB97=0,0,SUM($DP97:$DR97)*_xlfn.XLOOKUP($CB97,Premises!$A$10:$F$10,IF(INDEX(Settings[],MATCH(3001,Settings[ID],0),2)="B",Premises!$A$33:$F$33,Premises!$A$31:$F$31))/100)</f>
        <v>0</v>
      </c>
      <c r="DT97" s="650" cm="1">
        <f t="array" ref="DT97">IF($CB97=0,0,$DP97*_xlfn.XLOOKUP($CB97,Premises!$A$10:$F$10,IF(INDEX(Settings[],MATCH(3002,Settings[ID],0),2)="B",Premises!$A$36:$F$36,Premises!$A$34:$F$34))/100)</f>
        <v>0</v>
      </c>
      <c r="DU97" s="650">
        <f>IF($CB97=0,0,SUM($DP97:$DT97)*_xlfn.XLOOKUP($CB97,Premises!$A$10:$F$10,Premises!$A$37:$F$37)/100)</f>
        <v>0</v>
      </c>
      <c r="DV97" s="954">
        <f>SUM($DP97:$DU97)</f>
        <v>0</v>
      </c>
      <c r="DW97" s="951">
        <f>IF($CC97=0,0,$DV97*_xlfn.XLOOKUP($CC97,Premises!$A$10:$F$10,Premises!$A$30:$F$30)/100)</f>
        <v>0</v>
      </c>
      <c r="DX97" s="650">
        <f>IFERROR(SUM($DV97:$DW97)*IF(INDEX(Premises!$A$42:$F$42,1,MATCH($CC97,Premises!$A$10:$F$10,0))&gt;0,INDEX(Premises!$A$42:$F$42,1,MATCH($CC97,Premises!$A$10:$F$10,0))%,$CP97),0)</f>
        <v>0</v>
      </c>
      <c r="DY97" s="650" cm="1">
        <f t="array" ref="DY97">IF($CC97=0,0,SUM($DV97:$DX97)*_xlfn.XLOOKUP($CC97,Premises!$A$10:$F$10,IF(INDEX(Settings[],MATCH(3001,Settings[ID],0),2)="B",Premises!$A$33:$F$33,Premises!$A$31:$F$31))/100)</f>
        <v>0</v>
      </c>
      <c r="DZ97" s="650" cm="1">
        <f t="array" ref="DZ97">IF($CC97=0,0,$DV97*_xlfn.XLOOKUP($CC97,Premises!$A$10:$F$10,IF(INDEX(Settings[],MATCH(3002,Settings[ID],0),2)="B",Premises!$A$36:$F$36,Premises!$A$34:$F$34))/100)</f>
        <v>0</v>
      </c>
      <c r="EA97" s="650">
        <f>IF($CC97=0,0,SUM($DV97:$DZ97)*_xlfn.XLOOKUP($CC97,Premises!$A$10:$F$10,Premises!$A$37:$F$37)/100)</f>
        <v>0</v>
      </c>
      <c r="EB97" s="651">
        <f>SUM($DV97:$EA97)</f>
        <v>0</v>
      </c>
      <c r="EC97" s="805"/>
      <c r="ED97" s="1104"/>
      <c r="EE97" s="650"/>
      <c r="EF97" s="1110"/>
      <c r="EG97" s="1108"/>
      <c r="EH97" s="1108"/>
      <c r="EI97" s="1108"/>
      <c r="EJ97" s="1108"/>
      <c r="EK97" s="1108"/>
      <c r="EL97" s="1108"/>
      <c r="EM97" s="1110"/>
      <c r="EN97" s="1108"/>
      <c r="EO97" s="1108"/>
      <c r="EP97" s="1108"/>
      <c r="EQ97" s="1108"/>
      <c r="ER97" s="1110"/>
      <c r="ES97" s="1108"/>
      <c r="ET97" s="1108"/>
      <c r="EU97" s="1108"/>
      <c r="EV97" s="1108"/>
      <c r="EW97" s="1108"/>
      <c r="EX97" s="1111"/>
      <c r="EY97" s="2"/>
      <c r="EZ97" s="2"/>
      <c r="FA97" s="2"/>
      <c r="FB97" s="2"/>
      <c r="FC97" s="2"/>
      <c r="FD97" s="2"/>
      <c r="FE97" s="2"/>
      <c r="FF97" s="2"/>
      <c r="FG97" s="2"/>
      <c r="FH97" s="2"/>
      <c r="FI97" s="2"/>
      <c r="FJ97" s="420"/>
      <c r="FK97" s="421"/>
      <c r="FL97" s="422"/>
      <c r="FM97" s="970"/>
    </row>
    <row r="98" spans="1:169" s="13" customFormat="1" ht="12.75" customHeight="1">
      <c r="A98" s="221"/>
      <c r="B98" s="387" t="str">
        <f>BOM!$A$11</f>
        <v>01-01-03-04 Flex PCB</v>
      </c>
      <c r="C98" s="388"/>
      <c r="D98" s="389" cm="1">
        <f t="array" ref="D98">IF($CG98=0,0,INDEX(BOM!$N:$N,$CG98))</f>
        <v>1</v>
      </c>
      <c r="E98" s="644" t="s">
        <v>664</v>
      </c>
      <c r="F98" s="644" t="s">
        <v>664</v>
      </c>
      <c r="G98" s="644" t="s">
        <v>664</v>
      </c>
      <c r="H98" s="644" t="s">
        <v>664</v>
      </c>
      <c r="I98" s="644" t="s">
        <v>664</v>
      </c>
      <c r="J98" s="644" t="s">
        <v>664</v>
      </c>
      <c r="K98" s="644" t="s">
        <v>664</v>
      </c>
      <c r="L98" s="644" t="s">
        <v>664</v>
      </c>
      <c r="M98" s="644" t="s">
        <v>664</v>
      </c>
      <c r="N98" s="644" t="s">
        <v>664</v>
      </c>
      <c r="O98" s="644" t="s">
        <v>664</v>
      </c>
      <c r="P98" s="644" t="s">
        <v>664</v>
      </c>
      <c r="Q98" s="644" t="s">
        <v>664</v>
      </c>
      <c r="R98" s="644" t="s">
        <v>664</v>
      </c>
      <c r="S98" s="644" t="s">
        <v>664</v>
      </c>
      <c r="T98" s="644" t="s">
        <v>664</v>
      </c>
      <c r="U98" s="644" t="s">
        <v>664</v>
      </c>
      <c r="V98" s="644" t="s">
        <v>664</v>
      </c>
      <c r="W98" s="644" t="s">
        <v>664</v>
      </c>
      <c r="X98" s="644" t="s">
        <v>664</v>
      </c>
      <c r="Y98" s="644" t="s">
        <v>664</v>
      </c>
      <c r="Z98" s="644" t="s">
        <v>664</v>
      </c>
      <c r="AA98" s="644" t="s">
        <v>664</v>
      </c>
      <c r="AB98" s="644" t="s">
        <v>664</v>
      </c>
      <c r="AC98" s="644" t="s">
        <v>664</v>
      </c>
      <c r="AD98" s="644" t="s">
        <v>664</v>
      </c>
      <c r="AE98" s="644" t="s">
        <v>664</v>
      </c>
      <c r="AF98" s="644" t="s">
        <v>664</v>
      </c>
      <c r="AG98" s="644" t="s">
        <v>664</v>
      </c>
      <c r="AH98" s="644" t="s">
        <v>664</v>
      </c>
      <c r="AI98" s="644" t="s">
        <v>664</v>
      </c>
      <c r="AJ98" s="644" t="s">
        <v>664</v>
      </c>
      <c r="AK98" s="644" t="s">
        <v>664</v>
      </c>
      <c r="AL98" s="644" t="s">
        <v>664</v>
      </c>
      <c r="AM98" s="644" t="s">
        <v>664</v>
      </c>
      <c r="AN98" s="644" t="s">
        <v>664</v>
      </c>
      <c r="AO98" s="644" t="s">
        <v>664</v>
      </c>
      <c r="AP98" s="644" t="s">
        <v>664</v>
      </c>
      <c r="AQ98" s="644" t="s">
        <v>664</v>
      </c>
      <c r="AR98" s="644" t="s">
        <v>664</v>
      </c>
      <c r="AS98" s="644" t="s">
        <v>664</v>
      </c>
      <c r="AT98" s="644" t="s">
        <v>664</v>
      </c>
      <c r="AU98" s="644" t="s">
        <v>664</v>
      </c>
      <c r="AV98" s="644" t="s">
        <v>664</v>
      </c>
      <c r="AW98" s="644" t="s">
        <v>664</v>
      </c>
      <c r="AX98" s="644" t="s">
        <v>664</v>
      </c>
      <c r="AY98" s="644" t="s">
        <v>664</v>
      </c>
      <c r="AZ98" s="644" t="s">
        <v>664</v>
      </c>
      <c r="BA98" s="644" t="s">
        <v>664</v>
      </c>
      <c r="BB98" s="644" t="s">
        <v>664</v>
      </c>
      <c r="BC98" s="644" t="s">
        <v>664</v>
      </c>
      <c r="BD98" s="644" t="s">
        <v>664</v>
      </c>
      <c r="BE98" s="644" t="s">
        <v>664</v>
      </c>
      <c r="BF98" s="644" t="s">
        <v>664</v>
      </c>
      <c r="BG98" s="644" t="s">
        <v>664</v>
      </c>
      <c r="BH98" s="644" t="s">
        <v>664</v>
      </c>
      <c r="BI98" s="644" t="s">
        <v>664</v>
      </c>
      <c r="BJ98" s="644" t="s">
        <v>664</v>
      </c>
      <c r="BK98" s="644" t="s">
        <v>664</v>
      </c>
      <c r="BL98" s="644" t="s">
        <v>664</v>
      </c>
      <c r="BM98" s="644" t="s">
        <v>664</v>
      </c>
      <c r="BN98" s="644" t="s">
        <v>664</v>
      </c>
      <c r="BO98" s="644" t="s">
        <v>664</v>
      </c>
      <c r="BP98" s="644" t="s">
        <v>664</v>
      </c>
      <c r="BQ98" s="644" t="s">
        <v>664</v>
      </c>
      <c r="BR98" s="644" t="s">
        <v>664</v>
      </c>
      <c r="BS98" s="920">
        <f>SUM(INDEX($BS:$BS,ROW()+1):INDEX($BS:$BS,$CE98))</f>
        <v>3.4651576173955845</v>
      </c>
      <c r="BT98" s="920">
        <f>SUM(INDEX($BT:$BT,ROW()+1):INDEX($BT:$BT,$CE98))</f>
        <v>3.4651576173955845</v>
      </c>
      <c r="BU98" s="644" t="s">
        <v>664</v>
      </c>
      <c r="BV98" s="643">
        <f>SUMPRODUCT($BS98:INDEX($BS:$BS,$CE98),$BU98:INDEX($BU:$BU,$CE98))</f>
        <v>3.4651576173955845</v>
      </c>
      <c r="BW98" s="390">
        <f>$D98*$BV98</f>
        <v>3.4651576173955845</v>
      </c>
      <c r="BX98" s="816" cm="1">
        <f t="array" ref="BX98">IF($CG98=0,0,IF(INDEX(BOM!$P:$P,$CG98)=0,0,
SUMPRODUCT($BW98:INDEX($BW:$BW,IFERROR(ROW()+MATCH($CL98,INDEX($CL:$CL,ROW()+1):INDEX($CL:$CL,MAX($CE:$CE)),0)-1,MAX($CE:$CE))),
($CL98:INDEX($CL:$CL,IFERROR(ROW()+MATCH($CL98,INDEX($CL:$CL,ROW()+1):INDEX($CL:$CL,MAX($CE:$CE)),0)-1,MAX($CE:$CE)))&gt;=$CL98)*1)
))</f>
        <v>0</v>
      </c>
      <c r="BY98" s="391"/>
      <c r="BZ98" s="392" cm="1">
        <f t="array" ref="BZ98">IF($CG98=0,0,INDEX(BOM!$M:$M,$CG98))</f>
        <v>1</v>
      </c>
      <c r="CA98" s="280">
        <f>IF($BZ98&gt;0,VALUE(LEFT($BZ98,IF(ISERROR(FIND("-",$BZ98)),LEN($BZ98),FIND("-",$BZ98)-1))),INDEX($BZ$1:BZ98,MATCH("",$A$1:A98,-1)))</f>
        <v>1</v>
      </c>
      <c r="CB98" s="280">
        <f>IF(LEN($BZ98)-LEN(SUBSTITUTE($BZ98,"-",))&gt;1,
VALUE(MID($BZ98,FIND("-",$BZ98)+1,FIND("-",$BZ98,FIND("-",$BZ98)+1)-FIND("-",$BZ98)-1)),0)</f>
        <v>0</v>
      </c>
      <c r="CC98" s="280">
        <f>IF(NOT(ISERROR(FIND("-",BZ98))),
VALUE(RIGHT($BZ98,LEN($BZ98)-IF(LEN($BZ98)-LEN(SUBSTITUTE($BZ98,"-",""))=1,FIND("-",$BZ98),FIND("-",$BZ98,FIND("-",$BZ98)+1)))),0)</f>
        <v>0</v>
      </c>
      <c r="CD98" s="393"/>
      <c r="CE98" s="280" cm="1">
        <f t="array" ref="CE98">ROW()+MATCH(TRUE,_xlfn.ISFORMULA(INDEX(BW:BW,ROW()+1):INDEX(BW:BW,ROW()+MaxNumberOfRowsPerBlock)),0)-1</f>
        <v>111</v>
      </c>
      <c r="CF98" s="394" cm="1">
        <f t="array" ref="CF98">IF(CL98=0,-1,IF(CL98=1,7,MAX(IF($CL$1:$CL98=CL98-1,ROW($CL$1:$CL98),0))))</f>
        <v>49</v>
      </c>
      <c r="CG98" s="393">
        <f>IFERROR(MATCH($B98,BOM!$A:$A,0),0)</f>
        <v>11</v>
      </c>
      <c r="CH98" s="280">
        <f>MATCH($CA98,Premises!$A$10:$F$10,0)</f>
        <v>4</v>
      </c>
      <c r="CI98" s="280"/>
      <c r="CJ98" s="394"/>
      <c r="CK98" s="280"/>
      <c r="CL98" s="280" cm="1">
        <f t="array" ref="CL98">IF($CG98=0,0,INDEX(BOM!$C:$C,$CG98))</f>
        <v>4</v>
      </c>
      <c r="CM98" s="395" cm="1">
        <f t="array" ref="CM98">IF($CG98=0,0,IF(OR($CF98&lt;0,AND(INDEX($CB:$CB,$CF98)=$CB98,INDEX($CC:$CC,$CF98)=$CC98)),0,IF(INDEX(BOM!$P:$P,$CG98)=0,$BT98,(SUMIF($CA98:INDEX($CA:$CA,IFERROR(ROW()+MATCH($CL98,INDEX($CL:$CL,ROW()+1):INDEX($CL:$CL,MAX($CE:$CE)),0)-1,MAX($CE:$CE))),$CA98,$BT98:INDEX($BT:$BT,IFERROR(ROW()+MATCH($CL98,INDEX($CL:$CL,ROW()+1):INDEX($CL:$CL,MAX($CE:$CE)),0)-1,MAX($CE:$CE))))+SUMIF($CB98:INDEX($CB:$CB,IFERROR(ROW()+MATCH($CL98,INDEX($CL:$CL,ROW()+1):INDEX($CL:$CL,MAX($CE:$CE)),0)-1,MAX($CE:$CE))),$CA98,$BT98:INDEX($BT:$BT,IFERROR(ROW()+MATCH($CL98,INDEX($CL:$CL,ROW()+1):INDEX($CL:$CL,MAX($CE:$CE)),0)-1,MAX($CE:$CE)))))/2)))</f>
        <v>0</v>
      </c>
      <c r="CN98" s="396" cm="1">
        <f t="array" ref="CN98">IFERROR(IF($CB98=0,0,IF($CM98=0,INDEX($CN$1:$CN98,$CF98),INDEX(IF($CM98&lt;0.2,Premises!$A$43:$F$43,IF($CM98&lt;5,Premises!$A$46:$F$46,Premises!$A$49:$F$49)),MATCH($CB98,Premises!$A$10:$F$10,0))/($CM98*INDEX(Premises!$A$13:$F$13,MATCH($CB98,Premises!$A$10:$F$10,0)))+INDEX(IF($CM98&lt;0.2,Premises!$A$44:$F$44,IF($CM98&lt;5,Premises!$A$47:$F$47,Premises!$A$50:$F$50)),MATCH($CB98,Premises!$A$10:$F$10,0))+INDEX(IF($CM98&lt;0.2,Premises!$A$45:$F$45,IF($CM98&lt;5,Premises!$A$48:$F$48,Premises!$A$51:$F$51)),MATCH($CB98,Premises!$A$10:$F$10,0))/$CM98)),0.01)</f>
        <v>0</v>
      </c>
      <c r="CO98" s="395" cm="1">
        <f t="array" ref="CO98">IF($CG98=0,0,IF(INDEX($CC:$CC,$CF98)=$CC98,0,$CM98*(1+IFERROR(INDEX(Premises!$A$52:$F$52,1,MATCH($CB98,Premises!$A$10:$F$10,0)),0)+$CN98)))</f>
        <v>0</v>
      </c>
      <c r="CP98" s="396" cm="1">
        <f t="array" ref="CP98">IFERROR(IF($CC98=0,0,IF($CO98=0,INDEX($CP$1:$CP98,$CF98),INDEX(IF($CO98&lt;0.2,Premises!$A$43:$F$43,IF($CO98&lt;5,Premises!$A$46:$F$46,Premises!$A$49:$F$49)),MATCH($CC98,Premises!$A$10:$F$10,0))/($CO98*INDEX(Premises!$A$13:$F$13,MATCH($CC98,Premises!$A$10:$F$10,0)))+INDEX(IF($CO98&lt;0.2,Premises!$A$44:$F$44,IF($CO98&lt;5,Premises!$A$47:$F$47,Premises!$A$50:$F$50)),MATCH($CC98,Premises!$A$10:$F$10,0))+INDEX(IF($CO98&lt;0.2,Premises!$A$45:$F$45,IF($CO98&lt;5,Premises!$A$48:$F$48,Premises!$A$51:$F$51)),MATCH($CC98,Premises!$A$10:$F$10,0))/$CO98)),0.01)</f>
        <v>0</v>
      </c>
      <c r="CQ98" s="397" cm="1">
        <f t="array" ref="CQ98">IF(AND($CM98=0,$CO98=0),0,INDEX(BOM!$O:$O,$CG98))</f>
        <v>0</v>
      </c>
      <c r="CR98" s="398" cm="1">
        <f t="array" ref="CR98">IF(OR($CM98=0,$CN98=0),0,ACOS(COS(RADIANS(90-INDEX(Premises!$A$66:$F$66,1,$CH98)))*COS(RADIANS(90-INDEX(Premises!$A$66:$F$66,1,MATCH($CB98,Premises!$A$10:$F$10,0))))
+SIN(RADIANS(90-INDEX(Premises!$A$66:$F$66,1,$CH98)))*SIN(RADIANS(90-INDEX(Premises!$A$66:$F$66,1,MATCH($CB98,Premises!$A$10:$F$10,0)))) * COS(RADIANS(INDEX(Premises!$A$67:$F$67,1,$CH98)-INDEX(Premises!$A$67:$F$67,1,MATCH($CB98,Premises!$A$10:$F$10,0)))))*6371)</f>
        <v>0</v>
      </c>
      <c r="CS98" s="398" cm="1">
        <f t="array" ref="CS98">IF(OR($CO98=0,$CP98=0),0,
IF($CR98=0,ACOS(COS(RADIANS(90-INDEX(Premises!$A$66:$F$66,1,$CH98)))*COS(RADIANS(90-INDEX(Premises!$A$66:$F$66,1,MATCH($CC98,Premises!$A$10:$F$10,0))))
+SIN(RADIANS(90-INDEX(Premises!$A$66:$F$66,1,$CH98)))*SIN(RADIANS(90-INDEX(Premises!$A$66:$F$66,1,MATCH($CC98,Premises!$A$10:$F$10,0))))*COS(RADIANS(INDEX(Premises!$A$67:$F$67,1,$CH98)-INDEX(Premises!$A$67:$F$67,1,MATCH($CC98,Premises!$A$10:$F$10,0)))))*6371,
ACOS(COS(RADIANS(90-INDEX(Premises!$A$66:$F$66,1,MATCH($CB98,Premises!$A$10:$F$10,0))))*COS(RADIANS(90-INDEX(Premises!$A$66:$F$66,1,MATCH($CC98,Premises!$A$10:$F$10,0))))
+SIN(RADIANS(90-INDEX(Premises!$A$66:$F$66,1,MATCH($CB98,Premises!$A$10:$F$10,0))))*SIN(RADIANS(90-INDEX(Premises!$A$66:$F$66,1,MATCH($CC98,Premises!$A$10:$F$10,0))))*COS(RADIANS(INDEX(Premises!$A$67:$F$67,1,MATCH($CB98,Premises!$A$10:$F$10,0))-INDEX(Premises!$A$67:$F$67,1,MATCH($CC98,Premises!$A$10:$F$10,0)))))*6371))</f>
        <v>0</v>
      </c>
      <c r="CT98" s="969"/>
      <c r="CU98" s="2"/>
      <c r="CV98" s="399">
        <f>SUM(INDEX(CV:CV,ROW()+1):INDEX(CV:CV,$CE98))</f>
        <v>0.12258125611514417</v>
      </c>
      <c r="CW98" s="400">
        <f>SUM(INDEX(CW:CW,ROW()+1):INDEX(CW:CW,$CE98))</f>
        <v>2.2349253557969836E-2</v>
      </c>
      <c r="CX98" s="400">
        <f>SUM(INDEX(CX:CX,ROW()+1):INDEX(CX:CX,$CE98))</f>
        <v>5.4710437500000014E-2</v>
      </c>
      <c r="CY98" s="400">
        <f>SUM(INDEX(CY:CY,ROW()+1):INDEX(CY:CY,$CE98))</f>
        <v>0</v>
      </c>
      <c r="CZ98" s="400">
        <f>SUM(INDEX(CZ:CZ,ROW()+1):INDEX(CZ:CZ,$CE98))</f>
        <v>0</v>
      </c>
      <c r="DA98" s="400">
        <f>SUM(INDEX(DA:DA,ROW()+1):INDEX(DA:DA,$CE98))</f>
        <v>1.772916936151442E-3</v>
      </c>
      <c r="DB98" s="400">
        <f>SUM(INDEX(DB:DB,ROW()+1):INDEX(DB:DB,$CE98))</f>
        <v>3.0157559855751945E-2</v>
      </c>
      <c r="DC98" s="400">
        <f>SUM(INDEX(DC:DC,ROW()+1):INDEX(DC:DC,$CE98))</f>
        <v>0.2315714239650174</v>
      </c>
      <c r="DD98" s="400">
        <f>SUM(INDEX(DD:DD,ROW()+1):INDEX(DD:DD,$CE98))</f>
        <v>2.6432849718895404</v>
      </c>
      <c r="DE98" s="400">
        <f>SUM(INDEX(DE:DE,ROW()+1):INDEX(DE:DE,$CE98))</f>
        <v>2.6432849718895403E-2</v>
      </c>
      <c r="DF98" s="400">
        <f>SUM(INDEX(DF:DF,ROW()+1):INDEX(DF:DF,$CE98))</f>
        <v>2.5816730673212867E-2</v>
      </c>
      <c r="DG98" s="400">
        <f>SUM(INDEX(DG:DG,ROW()+1):INDEX(DG:DG,$CE98))</f>
        <v>2.6955345522816487</v>
      </c>
      <c r="DH98" s="400">
        <f>SUM(INDEX(DH:DH,ROW()+1):INDEX(DH:DH,$CE98))</f>
        <v>2.9271059762466662</v>
      </c>
      <c r="DI98" s="400">
        <f>SUM(INDEX(DI:DI,ROW()+1):INDEX(DI:DI,$CE98))</f>
        <v>0</v>
      </c>
      <c r="DJ98" s="400">
        <f>SUM(INDEX(DJ:DJ,ROW()+1):INDEX(DJ:DJ,$CE98))</f>
        <v>0</v>
      </c>
      <c r="DK98" s="400">
        <f>SUM(INDEX(DK:DK,ROW()+1):INDEX(DK:DK,$CE98))</f>
        <v>0.36566663241381436</v>
      </c>
      <c r="DL98" s="400">
        <f>SUM(INDEX(DL:DL,ROW()+1):INDEX(DL:DL,$CE98))</f>
        <v>0</v>
      </c>
      <c r="DM98" s="400">
        <f>SUM(INDEX(DM:DM,ROW()+1):INDEX(DM:DM,$CE98))</f>
        <v>0</v>
      </c>
      <c r="DN98" s="400">
        <f>SUM(INDEX(DN:DN,ROW()+1):INDEX(DN:DN,$CE98))</f>
        <v>0.17238500873510434</v>
      </c>
      <c r="DO98" s="400">
        <f>SUM(INDEX(DO:DO,ROW()+1):INDEX(DO:DO,$CE98))</f>
        <v>0</v>
      </c>
      <c r="DP98" s="400">
        <f>SUM(INDEX(DP:DP,ROW()+1):INDEX(DP:DP,$CE98))</f>
        <v>3.4651576173955845</v>
      </c>
      <c r="DQ98" s="400">
        <f>SUM(INDEX(DQ:DQ,ROW()+1):INDEX(DQ:DQ,$CE98))</f>
        <v>0</v>
      </c>
      <c r="DR98" s="400">
        <f>SUM(INDEX(DR:DR,ROW()+1):INDEX(DR:DR,$CE98))</f>
        <v>0</v>
      </c>
      <c r="DS98" s="400">
        <f>SUM(INDEX(DS:DS,ROW()+1):INDEX(DS:DS,$CE98))</f>
        <v>0</v>
      </c>
      <c r="DT98" s="400">
        <f>SUM(INDEX(DT:DT,ROW()+1):INDEX(DT:DT,$CE98))</f>
        <v>0</v>
      </c>
      <c r="DU98" s="400">
        <f>SUM(INDEX(DU:DU,ROW()+1):INDEX(DU:DU,$CE98))</f>
        <v>0</v>
      </c>
      <c r="DV98" s="400">
        <f>SUM(INDEX(DV:DV,ROW()+1):INDEX(DV:DV,$CE98))</f>
        <v>3.4651576173955845</v>
      </c>
      <c r="DW98" s="400">
        <f>SUM(INDEX(DW:DW,ROW()+1):INDEX(DW:DW,$CE98))</f>
        <v>0</v>
      </c>
      <c r="DX98" s="400">
        <f>SUM(INDEX(DX:DX,ROW()+1):INDEX(DX:DX,$CE98))</f>
        <v>0</v>
      </c>
      <c r="DY98" s="400">
        <f>SUM(INDEX(DY:DY,ROW()+1):INDEX(DY:DY,$CE98))</f>
        <v>0</v>
      </c>
      <c r="DZ98" s="400">
        <f>SUM(INDEX(DZ:DZ,ROW()+1):INDEX(DZ:DZ,$CE98))</f>
        <v>0</v>
      </c>
      <c r="EA98" s="400">
        <f>SUM(INDEX(EA:EA,ROW()+1):INDEX(EA:EA,$CE98))</f>
        <v>0</v>
      </c>
      <c r="EB98" s="401">
        <f>SUM(INDEX(EB:EB,ROW()+1):INDEX(EB:EB,$CE98))</f>
        <v>3.4651576173955845</v>
      </c>
      <c r="EC98" s="805"/>
      <c r="ED98" s="399"/>
      <c r="EE98" s="400"/>
      <c r="EF98" s="1112"/>
      <c r="EG98" s="1112"/>
      <c r="EH98" s="1112"/>
      <c r="EI98" s="1112"/>
      <c r="EJ98" s="1112"/>
      <c r="EK98" s="1112"/>
      <c r="EL98" s="1112"/>
      <c r="EM98" s="1112"/>
      <c r="EN98" s="1112"/>
      <c r="EO98" s="1112"/>
      <c r="EP98" s="1112"/>
      <c r="EQ98" s="1112"/>
      <c r="ER98" s="1112"/>
      <c r="ES98" s="1112"/>
      <c r="ET98" s="1112"/>
      <c r="EU98" s="1112"/>
      <c r="EV98" s="1112"/>
      <c r="EW98" s="1112"/>
      <c r="EX98" s="1113"/>
      <c r="EY98" s="2"/>
      <c r="EZ98" s="2"/>
      <c r="FA98" s="2"/>
      <c r="FB98" s="2"/>
      <c r="FC98" s="2"/>
      <c r="FD98" s="2"/>
      <c r="FE98" s="2"/>
      <c r="FF98" s="2"/>
      <c r="FG98" s="2"/>
      <c r="FH98" s="2"/>
      <c r="FI98" s="2"/>
      <c r="FJ98" s="399"/>
      <c r="FK98" s="400"/>
      <c r="FL98" s="401"/>
      <c r="FM98" s="969"/>
    </row>
    <row r="99" spans="1:169" s="13" customFormat="1" ht="12.75" customHeight="1">
      <c r="A99" s="221"/>
      <c r="B99" s="402" t="s">
        <v>34</v>
      </c>
      <c r="C99" s="403"/>
      <c r="D99" s="646"/>
      <c r="E99" s="404"/>
      <c r="F99" s="405"/>
      <c r="G99" s="405"/>
      <c r="H99" s="405"/>
      <c r="I99" s="637" cm="1">
        <f t="array" ref="I99">IF($CI99=0,0,IFERROR(INDEX(MHR[],$CI99,MATCH($CA99,MHR!$B$4:$AY$4,0)),0))</f>
        <v>0</v>
      </c>
      <c r="J99" s="634">
        <f t="shared" ref="J99:J109" si="288">IF(COUNTBLANK($E99:$H99),0,IFERROR($F99/$H99/IF($G99="s",3600,IF($G99="min",60,IF($G99="h",1,0)))*I99,0))</f>
        <v>0</v>
      </c>
      <c r="K99" s="406"/>
      <c r="L99" s="407"/>
      <c r="M99" s="871"/>
      <c r="N99" s="407"/>
      <c r="O99" s="405"/>
      <c r="P99" s="645" cm="1">
        <f t="array" ref="P99">IF($K99=0,0,IFERROR(ROUNDUP(IF(ISNUMBER($K99),$K99,INDEX($D$1:$D99,$CD99)*INDEX(Premises!$A$13:$F$13,1,$CH99)/IF(OR($K99="T",$K99="D"),250,IF($K99="W",50,IF($K99="M",12,IF(OR($K99="HJ",$K99="HY"),2,IF(OR($K99="J",$K99="Y"),1,0)))))),0),0))</f>
        <v>0</v>
      </c>
      <c r="Q99" s="637" cm="1">
        <f t="array" ref="Q99">IF($K99=0,0,IFERROR(INDEX(Premises!$A$22:$F$22,1,$CH99)*100/INDEX(Premises!$A$16:$F$16,1,$CH99),0))</f>
        <v>0</v>
      </c>
      <c r="R99" s="634">
        <f t="shared" ref="R99:R109" si="289">IF($P99=0,0,IFERROR(($L99/60*($I99+$Q99*$M99)+($N99/60*($Q99*$O99)))/$P99,0))</f>
        <v>0</v>
      </c>
      <c r="S99" s="408"/>
      <c r="T99" s="409"/>
      <c r="U99" s="637" cm="1">
        <f t="array" ref="U99">IF(COUNTBLANK($S99:$T99),0,
IF(AND(INDEX(MHR[Schichtmodell],$CI99)&lt;&gt;0,INDEX(MHR[Schichtmodell],$CI99)&lt;&gt;INDEX(Premises!$A$20:$F$20,1,$CH99)),ExchangeRate*
IF(OR($T99="M",$T99="U"),IF(INDEX(MHR[Schichtmodell],$CI99)=1,INDEX(LOC[M1S],INDEX(Premises!$A$18:$F$18,1,$CH99+1)),IF(INDEX(MHR[Schichtmodell],$CI99)=2,INDEX(LOC[M2S],INDEX(Premises!$A$18:$F$18,1,$CH99+1),IF(INDEX(MHR[Schichtmodell],$CI99)=3,INDEX(LOC[M3S],INDEX(Premises!$A$18:$F$18,1,$CH99+1)),0)))),
IF(INDEX(MHR[Schichtmodell],$CI99)=1,INDEX(LOC[F1S],INDEX(Premises!$A$18:$F$18,1,$CH99+1)),IF(INDEX(MHR[Schichtmodell],$CI99)=2,INDEX(LOC[F2S],INDEX(Premises!$A$18:$F$18,1,$CH99+1)),IF(INDEX(MHR[Schichtmodell],$CI99)=3,INDEX(LOC[F3S],INDEX(Premises!$A$18:$F$18,1,$CH99+1)),0)))),
IF(OR($T99="M",$T99="U"),INDEX(Premises!$A$21:$F$21,1,$CH99),
IF(OR($T99="F",$T99="S"),INDEX(Premises!$A$22:$F$22,1,$CH99),0)))*100/INDEX(Premises!$A$16:$F$16,1,$CH99))</f>
        <v>0</v>
      </c>
      <c r="V99" s="631">
        <f t="shared" ref="V99:V109" si="290">IF($U99=0,0,IFERROR($F99/$H99/IF($G99="s",3600,IF($G99="min",60,IF($G99="h",1,0)))*$S99*$U99,0))</f>
        <v>0</v>
      </c>
      <c r="W99" s="410"/>
      <c r="X99" s="403"/>
      <c r="Y99" s="411"/>
      <c r="Z99" s="412"/>
      <c r="AA99" s="628">
        <f t="shared" ref="AA99:AA109" si="291">IFERROR($X99*$Z99/$Y99/MAX(1,$H99),0)</f>
        <v>0</v>
      </c>
      <c r="AB99" s="410"/>
      <c r="AC99" s="403"/>
      <c r="AD99" s="411"/>
      <c r="AE99" s="413"/>
      <c r="AF99" s="628">
        <f t="shared" ref="AF99:AF109" si="292">IFERROR($AC99*$AE99/$AD99,0)</f>
        <v>0</v>
      </c>
      <c r="AG99" s="629" cm="1">
        <f t="array" ref="AG99">IF(($J99+$V99+$AF99)=0,0,INDEX(Premises!$A$30:$F$30,1,$CH99)/100)</f>
        <v>0</v>
      </c>
      <c r="AH99" s="414"/>
      <c r="AI99" s="415"/>
      <c r="AJ99" s="416"/>
      <c r="AK99" s="630">
        <f t="shared" ref="AK99:AK109" si="293">IF(COUNTBLANK($AH99:$AI99),0,$AH99*$AI99*$AG99)</f>
        <v>0</v>
      </c>
      <c r="AL99" s="631">
        <f t="shared" ref="AL99:AL109" si="294">($AK99+$AJ99*$AG99*(1-$AH99)+($J99+$V99+$AF99)*$AG99*(1-$AH99))</f>
        <v>0</v>
      </c>
      <c r="AM99" s="632" cm="1">
        <f t="array" ref="AM99">IF($CI99=0,0,IFERROR(INDEX(MHR[],$CI99,MATCH($CA99,MHR!$B$4:$AY$4,0)+11),0))</f>
        <v>0</v>
      </c>
      <c r="AN99" s="633" cm="1">
        <f t="array" ref="AN99">IF(($J99+$V99)=0,0,IFERROR(IF(INDEX(Premises!$A$41:$F$41,1,$CH99)&lt;&gt;0,INDEX(Premises!$A$41:$F$41,1,$CH99)/100,(IFERROR(($J99/$I99)*$AM99,0)/($V99+$J99+$R99+$AL99))),0))</f>
        <v>0</v>
      </c>
      <c r="AO99" s="634">
        <f t="shared" ref="AO99:AO109" si="295">IF(($J99+$V99)=0,0,IF(IFERROR(($J99+$R99+$V99+$AL99)*$AN99,0)&lt;&gt;IFERROR(($J99/$I99)*$AM99,0),($J99+$R99+$V99+$AL99)*$AN99,IFERROR(($J99/$I99)*$AM99,0)))</f>
        <v>0</v>
      </c>
      <c r="AP99" s="635">
        <f t="shared" ref="AP99:AP109" si="296">$V99+$J99+$R99+$AA99+$AF99+$AL99+$AO99</f>
        <v>0</v>
      </c>
      <c r="AQ99" s="410" t="str">
        <f>VLOOKUP($B98,BOM,5,0)</f>
        <v>Flex PCB Material</v>
      </c>
      <c r="AR99" s="409">
        <v>1</v>
      </c>
      <c r="AS99" s="636" t="str" cm="1">
        <f t="array" ref="AS99">IF($CJ99=0,0,IFERROR(INDEX(MAT[Einheit],$CJ99,1),0))</f>
        <v>pcs.</v>
      </c>
      <c r="AT99" s="637" cm="1">
        <f t="array" ref="AT99">IF($CJ99=0,0,IFERROR(INDEX(MAT[Preis],$CJ99,1),0))</f>
        <v>2.5832849718895403</v>
      </c>
      <c r="AU99" s="638">
        <f t="shared" ref="AU99:AU109" si="297">$AR99*$AT99</f>
        <v>2.5832849718895403</v>
      </c>
      <c r="AV99" s="639" cm="1">
        <f t="array" ref="AV99">IF($AU99&lt;=0,0,INDEX(Premises!$A$30:$F$30,1,$CH99)/100)</f>
        <v>0.01</v>
      </c>
      <c r="AW99" s="409"/>
      <c r="AX99" s="631">
        <f t="shared" ref="AX99:AX109" si="298">IF($AV99=0,0,($AU99+$AW99)*$AV99)</f>
        <v>2.5832849718895403E-2</v>
      </c>
      <c r="AY99" s="640" cm="1">
        <f t="array" ref="AY99">IF($AT99&lt;=0,0,IFERROR(IF(INDEX(Premises!$A$42:$F$42,1,$CH99)&lt;&gt;0,INDEX(Premises!$A$42:$F$42,1,$CH99)/100,(INDEX(MAT[],$CJ99,MATCH($CA99,MAT!$B$4:$AE$4,0))/($AR99*$CK99*INDEX(Premises!$A$13:$F$13,1,$CH99))+INDEX(MAT[],$CJ99,MATCH($CA99,MAT!$B$4:$AE$4,0)+7))/$AT99),0))</f>
        <v>7.6761912706149998E-3</v>
      </c>
      <c r="AZ99" s="631">
        <f t="shared" ref="AZ99:AZ109" si="299">IF($AY99=0,0,($AU99+$AX99)*$AY99)</f>
        <v>2.00280874462367E-2</v>
      </c>
      <c r="BA99" s="635">
        <f t="shared" ref="BA99:BA109" si="300">$AU99+$AX99+$AZ99</f>
        <v>2.6291459090546727</v>
      </c>
      <c r="BB99" s="635">
        <f t="shared" ref="BB99:BB109" si="301">$AP99+$BA99</f>
        <v>2.6291459090546727</v>
      </c>
      <c r="BC99" s="639" cm="1">
        <f t="array" ref="BC99">IF($BB99&lt;=0,0,IF(BC$2=-1,0,INDEX(Premises!$A$32:$F$32,1,$CH99)/100))</f>
        <v>0</v>
      </c>
      <c r="BD99" s="631">
        <f t="shared" ref="BD99:BD109" si="302">IF($AP99&lt;=0,0,($AP99-$AA99-$AL99)*$BC99)</f>
        <v>0</v>
      </c>
      <c r="BE99" s="639" cm="1">
        <f t="array" ref="BE99">IF($BB99&lt;=0,0,IF(BE$2=-1,0,INDEX(Premises!$A$33:$F$33,1,$CH99)/100))</f>
        <v>0</v>
      </c>
      <c r="BF99" s="631">
        <f t="shared" ref="BF99:BF109" si="303">IF($BA99&lt;=0,0,$BA99*$BE99)</f>
        <v>0</v>
      </c>
      <c r="BG99" s="639" cm="1">
        <f t="array" ref="BG99">IF($BB99&lt;=0,0,IF(BG$2=-1,0,INDEX(Premises!$A$31:$F$31,1,$CH99)/100))</f>
        <v>0.125</v>
      </c>
      <c r="BH99" s="631">
        <f t="shared" ref="BH99:BH109" si="304">(($AP99-$AA99-$AL99)+$BA99)*$BG99</f>
        <v>0.32864323863183409</v>
      </c>
      <c r="BI99" s="635">
        <f t="shared" ref="BI99:BI109" si="305">$BB99+$BD99+$BF99+$BH99</f>
        <v>2.9577891476865066</v>
      </c>
      <c r="BJ99" s="639" cm="1">
        <f t="array" ref="BJ99">IF($BB99&lt;=0,0,IF(BJ$2=-1,0,INDEX(Premises!$A$35:$F$35,1,$CH99)/100))</f>
        <v>0</v>
      </c>
      <c r="BK99" s="631">
        <f t="shared" ref="BK99:BK109" si="306">IF($AP99&lt;=0,0,($AP99-$AL99-$AA99)*$BJ99)</f>
        <v>0</v>
      </c>
      <c r="BL99" s="639" cm="1">
        <f t="array" ref="BL99">IF($BB99&lt;=0,0,IF(BL$2=-1,0,INDEX(Premises!$A$36:$F$36,1,$CH99)/100))</f>
        <v>0</v>
      </c>
      <c r="BM99" s="631">
        <f t="shared" ref="BM99:BM109" si="307">IF($AU99&lt;=0,0,($AR99*$AT99)*$BL99)</f>
        <v>0</v>
      </c>
      <c r="BN99" s="639" cm="1">
        <f t="array" ref="BN99">IF($BB99&lt;=0,0,IF(BN$2=-1,0,INDEX(Premises!$A$34:$F$34,1,$CH99)/100))</f>
        <v>0.06</v>
      </c>
      <c r="BO99" s="631">
        <f t="shared" ref="BO99:BO109" si="308">(($AP99-$AL99-$AA99)+($AR99*$AT99))*$BN99</f>
        <v>0.15499709831337241</v>
      </c>
      <c r="BP99" s="639" cm="1">
        <f t="array" ref="BP99">IF($BI99=0,0,INDEX(Premises!$A$37:$F$37,1,$CH99)/100)</f>
        <v>0</v>
      </c>
      <c r="BQ99" s="409"/>
      <c r="BR99" s="631">
        <f t="shared" ref="BR99:BR109" si="309">($BI99+$BK99+$BM99+$BO99)*$BP99+$BQ99</f>
        <v>0</v>
      </c>
      <c r="BS99" s="641">
        <f t="shared" ref="BS99:BS109" si="310">BI99+BK99+BM99+BO99+BR99</f>
        <v>3.112786245999879</v>
      </c>
      <c r="BT99" s="641">
        <f t="shared" ref="BT99:BT109" si="311">IF($BS99=0,0,$CK99*$BS99)</f>
        <v>3.112786245999879</v>
      </c>
      <c r="BU99" s="642">
        <f t="shared" ref="BU99:BU109" si="312">IF($BT99=0,0,MAX(1,$EB99/$DP99))</f>
        <v>1</v>
      </c>
      <c r="BV99" s="417"/>
      <c r="BW99" s="418"/>
      <c r="BX99" s="418"/>
      <c r="BY99" s="419"/>
      <c r="BZ99" s="968"/>
      <c r="CA99" s="280" cm="1">
        <f t="array" ref="CA99">IF($BZ99&gt;0,VALUE(LEFT($BZ99,IF(ISERROR(FIND("-",$BZ99)),LEN($BZ99),FIND("-",$BZ99)-1))),INDEX($CA$1:$CA99,MAX(1,$CD99)))</f>
        <v>1</v>
      </c>
      <c r="CB99" s="280" cm="1">
        <f t="array" ref="CB99">IF($BT99=0,0,IF(LEN($BZ99)-LEN(SUBSTITUTE($BZ99,"-",""))&gt;1,
VALUE(MID($BZ99,FIND("-",$BZ99)+1,FIND("-",$BZ99,FIND("-",$BZ99)+1)-FIND("-",$BZ99)-1)),IF($BZ99&gt;0,0,INDEX($CB$1:$CB99,MAX(1,$CD99)))))</f>
        <v>0</v>
      </c>
      <c r="CC99" s="280" cm="1">
        <f t="array" ref="CC99">IF($BT99=0,0,IF(NOT(ISERROR(FIND("-",BZ99))),
VALUE(RIGHT($BZ99,LEN($BZ99)-IF(LEN($BZ99)-LEN(SUBSTITUTE($BZ99,"-",""))=1,FIND("-",$BZ99),FIND("-",$BZ99,FIND("-",$BZ99)+1)))),
IF($BZ99&gt;0,0,INDEX($CC$1:$CC99,MAX(1,$CD99)))))</f>
        <v>0</v>
      </c>
      <c r="CD99" s="393">
        <f>MATCH(0,$CE$1:$CE99,-1)</f>
        <v>98</v>
      </c>
      <c r="CE99" s="280"/>
      <c r="CF99" s="394"/>
      <c r="CG99" s="393" cm="1">
        <f t="array" ref="CG99">INDEX($CG$1:$CG99,$CD99)</f>
        <v>11</v>
      </c>
      <c r="CH99" s="280">
        <f>MATCH($CA99,Premises!$A$10:$F$10,0)</f>
        <v>4</v>
      </c>
      <c r="CI99" s="280">
        <f>IF(ISBLANK($E99),0,IFERROR(MATCH($E99,MHR[Bezeichnung],0),0))</f>
        <v>0</v>
      </c>
      <c r="CJ99" s="394">
        <f>IF(ISBLANK($AQ99),0,IFERROR(MATCH($AQ99,MAT[Bezeichnung],0),0))</f>
        <v>9</v>
      </c>
      <c r="CK99" s="280" cm="1">
        <f t="array" ref="CK99">INDEX($D$1:$D99,$CD99)</f>
        <v>1</v>
      </c>
      <c r="CL99" s="280"/>
      <c r="CM99" s="395"/>
      <c r="CN99" s="396" cm="1">
        <f t="array" ref="CN99">IF($CB99=0,0,IF($CB99=INDEX($CB$1:$CB99,$CD99),INDEX($CN$1:$CN99,$CD99),$CP99))</f>
        <v>0</v>
      </c>
      <c r="CO99" s="395"/>
      <c r="CP99" s="396" cm="1">
        <f t="array" ref="CP99">IF($CC99=0,0,INDEX($CP$1:$CP99,$CD99))</f>
        <v>0</v>
      </c>
      <c r="CQ99" s="397"/>
      <c r="CR99" s="398"/>
      <c r="CS99" s="398"/>
      <c r="CT99" s="970"/>
      <c r="CU99" s="2"/>
      <c r="CV99" s="647">
        <f t="shared" ref="CV99:CV109" si="313">$J99*$CK99</f>
        <v>0</v>
      </c>
      <c r="CW99" s="648">
        <f t="shared" ref="CW99:CW109" si="314">$R99*$CK99</f>
        <v>0</v>
      </c>
      <c r="CX99" s="648">
        <f t="shared" ref="CX99:CX109" si="315">$V99*$CK99</f>
        <v>0</v>
      </c>
      <c r="CY99" s="648">
        <f t="shared" ref="CY99:CY109" si="316">$AA99*$CK99</f>
        <v>0</v>
      </c>
      <c r="CZ99" s="648">
        <f t="shared" ref="CZ99:CZ109" si="317">$AF99*$CK99</f>
        <v>0</v>
      </c>
      <c r="DA99" s="648">
        <f t="shared" ref="DA99:DA109" si="318">$AL99*$CK99</f>
        <v>0</v>
      </c>
      <c r="DB99" s="648">
        <f t="shared" ref="DB99:DB109" si="319">$AO99*$CK99</f>
        <v>0</v>
      </c>
      <c r="DC99" s="649">
        <f t="shared" ref="DC99:DC109" si="320">$AP99*$CK99</f>
        <v>0</v>
      </c>
      <c r="DD99" s="648">
        <f t="shared" ref="DD99:DD109" si="321">$AU99*$CK99</f>
        <v>2.5832849718895403</v>
      </c>
      <c r="DE99" s="648">
        <f t="shared" ref="DE99:DE109" si="322">$AX99*$CK99</f>
        <v>2.5832849718895403E-2</v>
      </c>
      <c r="DF99" s="648">
        <f t="shared" ref="DF99:DF109" si="323">$AZ99*$CK99</f>
        <v>2.00280874462367E-2</v>
      </c>
      <c r="DG99" s="649">
        <f t="shared" ref="DG99:DG109" si="324">$BA99*$CK99</f>
        <v>2.6291459090546727</v>
      </c>
      <c r="DH99" s="649">
        <f t="shared" ref="DH99:DH109" si="325">$BB99*$CK99</f>
        <v>2.6291459090546727</v>
      </c>
      <c r="DI99" s="648">
        <f t="shared" ref="DI99:DI109" si="326">$BD99*$CK99</f>
        <v>0</v>
      </c>
      <c r="DJ99" s="648">
        <f t="shared" ref="DJ99:DJ109" si="327">$BF99*$CK99</f>
        <v>0</v>
      </c>
      <c r="DK99" s="648">
        <f t="shared" ref="DK99:DK109" si="328">$BH99*$CK99</f>
        <v>0.32864323863183409</v>
      </c>
      <c r="DL99" s="648">
        <f t="shared" ref="DL99:DL109" si="329">$BK99*$CK99</f>
        <v>0</v>
      </c>
      <c r="DM99" s="648">
        <f t="shared" ref="DM99:DM109" si="330">$BM99*$CK99</f>
        <v>0</v>
      </c>
      <c r="DN99" s="648">
        <f t="shared" ref="DN99:DN109" si="331">$BO99*$CK99</f>
        <v>0.15499709831337241</v>
      </c>
      <c r="DO99" s="648">
        <f t="shared" ref="DO99:DO109" si="332">$BR99*$CK99</f>
        <v>0</v>
      </c>
      <c r="DP99" s="651">
        <f t="shared" ref="DP99:DP109" si="333">$CK99*($BB99+$BD99+$BF99+$BH99+$BK99+$BM99+$BO99+$BR99)</f>
        <v>3.112786245999879</v>
      </c>
      <c r="DQ99" s="951">
        <f>IF($CB99=0,0,$DP99*_xlfn.XLOOKUP($CB99,Premises!$A$10:$F$10,Premises!$A$30:$F$30)/100)</f>
        <v>0</v>
      </c>
      <c r="DR99" s="650">
        <f>IFERROR(SUM($DP99:$DQ99)*IF(INDEX(Premises!$A$42:$F$42,1,MATCH($CB99,Premises!$A$10:$F$10,0))&gt;0,INDEX(Premises!$A$42:$F$42,1,MATCH($CB99,Premises!$A$10:$F$10,0))%,$CN99),0)</f>
        <v>0</v>
      </c>
      <c r="DS99" s="650" cm="1">
        <f t="array" ref="DS99">IF($CB99=0,0,SUM($DP99:$DR99)*_xlfn.XLOOKUP($CB99,Premises!$A$10:$F$10,IF(INDEX(Settings[],MATCH(3001,Settings[ID],0),2)="B",Premises!$A$33:$F$33,Premises!$A$31:$F$31))/100)</f>
        <v>0</v>
      </c>
      <c r="DT99" s="650" cm="1">
        <f t="array" ref="DT99">IF($CB99=0,0,$DP99*_xlfn.XLOOKUP($CB99,Premises!$A$10:$F$10,IF(INDEX(Settings[],MATCH(3002,Settings[ID],0),2)="B",Premises!$A$36:$F$36,Premises!$A$34:$F$34))/100)</f>
        <v>0</v>
      </c>
      <c r="DU99" s="650">
        <f>IF($CB99=0,0,SUM($DP99:$DT99)*_xlfn.XLOOKUP($CB99,Premises!$A$10:$F$10,Premises!$A$37:$F$37)/100)</f>
        <v>0</v>
      </c>
      <c r="DV99" s="954">
        <f t="shared" ref="DV99:DV109" si="334">SUM($DP99:$DU99)</f>
        <v>3.112786245999879</v>
      </c>
      <c r="DW99" s="951">
        <f>IF($CC99=0,0,$DV99*_xlfn.XLOOKUP($CC99,Premises!$A$10:$F$10,Premises!$A$30:$F$30)/100)</f>
        <v>0</v>
      </c>
      <c r="DX99" s="650">
        <f>IFERROR(SUM($DV99:$DW99)*IF(INDEX(Premises!$A$42:$F$42,1,MATCH($CC99,Premises!$A$10:$F$10,0))&gt;0,INDEX(Premises!$A$42:$F$42,1,MATCH($CC99,Premises!$A$10:$F$10,0))%,$CP99),0)</f>
        <v>0</v>
      </c>
      <c r="DY99" s="650" cm="1">
        <f t="array" ref="DY99">IF($CC99=0,0,SUM($DV99:$DX99)*_xlfn.XLOOKUP($CC99,Premises!$A$10:$F$10,IF(INDEX(Settings[],MATCH(3001,Settings[ID],0),2)="B",Premises!$A$33:$F$33,Premises!$A$31:$F$31))/100)</f>
        <v>0</v>
      </c>
      <c r="DZ99" s="650" cm="1">
        <f t="array" ref="DZ99">IF($CC99=0,0,$DV99*_xlfn.XLOOKUP($CC99,Premises!$A$10:$F$10,IF(INDEX(Settings[],MATCH(3002,Settings[ID],0),2)="B",Premises!$A$36:$F$36,Premises!$A$34:$F$34))/100)</f>
        <v>0</v>
      </c>
      <c r="EA99" s="650">
        <f>IF($CC99=0,0,SUM($DV99:$DZ99)*_xlfn.XLOOKUP($CC99,Premises!$A$10:$F$10,Premises!$A$37:$F$37)/100)</f>
        <v>0</v>
      </c>
      <c r="EB99" s="651">
        <f t="shared" ref="EB99:EB109" si="335">SUM($DV99:$EA99)</f>
        <v>3.112786245999879</v>
      </c>
      <c r="EC99" s="805"/>
      <c r="ED99" s="1104"/>
      <c r="EE99" s="650"/>
      <c r="EF99" s="1110"/>
      <c r="EG99" s="1108"/>
      <c r="EH99" s="1108"/>
      <c r="EI99" s="1108"/>
      <c r="EJ99" s="1108"/>
      <c r="EK99" s="1108"/>
      <c r="EL99" s="1108"/>
      <c r="EM99" s="1110"/>
      <c r="EN99" s="1108"/>
      <c r="EO99" s="1108"/>
      <c r="EP99" s="1108"/>
      <c r="EQ99" s="1108"/>
      <c r="ER99" s="1110"/>
      <c r="ES99" s="1108"/>
      <c r="ET99" s="1108"/>
      <c r="EU99" s="1108"/>
      <c r="EV99" s="1108"/>
      <c r="EW99" s="1108"/>
      <c r="EX99" s="1111"/>
      <c r="EY99" s="2"/>
      <c r="EZ99" s="2"/>
      <c r="FA99" s="2"/>
      <c r="FB99" s="2"/>
      <c r="FC99" s="2"/>
      <c r="FD99" s="2"/>
      <c r="FE99" s="2"/>
      <c r="FF99" s="2"/>
      <c r="FG99" s="2"/>
      <c r="FH99" s="2"/>
      <c r="FI99" s="2"/>
      <c r="FJ99" s="420"/>
      <c r="FK99" s="421"/>
      <c r="FL99" s="422"/>
      <c r="FM99" s="970"/>
    </row>
    <row r="100" spans="1:169" s="13" customFormat="1" ht="12.75" customHeight="1">
      <c r="A100" s="221"/>
      <c r="B100" s="402"/>
      <c r="C100" s="403"/>
      <c r="D100" s="646"/>
      <c r="E100" s="404"/>
      <c r="F100" s="405"/>
      <c r="G100" s="405"/>
      <c r="H100" s="405"/>
      <c r="I100" s="637" cm="1">
        <f t="array" ref="I100">IF($CI100=0,0,IFERROR(INDEX(MHR[],$CI100,MATCH($CA100,MHR!$B$4:$AY$4,0)),0))</f>
        <v>0</v>
      </c>
      <c r="J100" s="634">
        <f t="shared" si="288"/>
        <v>0</v>
      </c>
      <c r="K100" s="406"/>
      <c r="L100" s="407"/>
      <c r="M100" s="871"/>
      <c r="N100" s="407"/>
      <c r="O100" s="405"/>
      <c r="P100" s="645" cm="1">
        <f t="array" ref="P100">IF($K100=0,0,IFERROR(ROUNDUP(IF(ISNUMBER($K100),$K100,INDEX($D$1:$D100,$CD100)*INDEX(Premises!$A$13:$F$13,1,$CH100)/IF(OR($K100="T",$K100="D"),250,IF($K100="W",50,IF($K100="M",12,IF(OR($K100="HJ",$K100="HY"),2,IF(OR($K100="J",$K100="Y"),1,0)))))),0),0))</f>
        <v>0</v>
      </c>
      <c r="Q100" s="637" cm="1">
        <f t="array" ref="Q100">IF($K100=0,0,IFERROR(INDEX(Premises!$A$22:$F$22,1,$CH100)*100/INDEX(Premises!$A$16:$F$16,1,$CH100),0))</f>
        <v>0</v>
      </c>
      <c r="R100" s="634">
        <f t="shared" si="289"/>
        <v>0</v>
      </c>
      <c r="S100" s="408"/>
      <c r="T100" s="409"/>
      <c r="U100" s="637" cm="1">
        <f t="array" ref="U100">IF(COUNTBLANK($S100:$T100),0,
IF(AND(INDEX(MHR[Schichtmodell],$CI100)&lt;&gt;0,INDEX(MHR[Schichtmodell],$CI100)&lt;&gt;INDEX(Premises!$A$20:$F$20,1,$CH100)),ExchangeRate*
IF(OR($T100="M",$T100="U"),IF(INDEX(MHR[Schichtmodell],$CI100)=1,INDEX(LOC[M1S],INDEX(Premises!$A$18:$F$18,1,$CH100+1)),IF(INDEX(MHR[Schichtmodell],$CI100)=2,INDEX(LOC[M2S],INDEX(Premises!$A$18:$F$18,1,$CH100+1),IF(INDEX(MHR[Schichtmodell],$CI100)=3,INDEX(LOC[M3S],INDEX(Premises!$A$18:$F$18,1,$CH100+1)),0)))),
IF(INDEX(MHR[Schichtmodell],$CI100)=1,INDEX(LOC[F1S],INDEX(Premises!$A$18:$F$18,1,$CH100+1)),IF(INDEX(MHR[Schichtmodell],$CI100)=2,INDEX(LOC[F2S],INDEX(Premises!$A$18:$F$18,1,$CH100+1)),IF(INDEX(MHR[Schichtmodell],$CI100)=3,INDEX(LOC[F3S],INDEX(Premises!$A$18:$F$18,1,$CH100+1)),0)))),
IF(OR($T100="M",$T100="U"),INDEX(Premises!$A$21:$F$21,1,$CH100),
IF(OR($T100="F",$T100="S"),INDEX(Premises!$A$22:$F$22,1,$CH100),0)))*100/INDEX(Premises!$A$16:$F$16,1,$CH100))</f>
        <v>0</v>
      </c>
      <c r="V100" s="631">
        <f t="shared" si="290"/>
        <v>0</v>
      </c>
      <c r="W100" s="410"/>
      <c r="X100" s="403"/>
      <c r="Y100" s="411"/>
      <c r="Z100" s="412"/>
      <c r="AA100" s="628">
        <f t="shared" si="291"/>
        <v>0</v>
      </c>
      <c r="AB100" s="410"/>
      <c r="AC100" s="403"/>
      <c r="AD100" s="411"/>
      <c r="AE100" s="413"/>
      <c r="AF100" s="628">
        <f t="shared" si="292"/>
        <v>0</v>
      </c>
      <c r="AG100" s="629" cm="1">
        <f t="array" ref="AG100">IF(($J100+$V100+$AF100)=0,0,INDEX(Premises!$A$30:$F$30,1,$CH100)/100)</f>
        <v>0</v>
      </c>
      <c r="AH100" s="414"/>
      <c r="AI100" s="415"/>
      <c r="AJ100" s="416"/>
      <c r="AK100" s="630">
        <f t="shared" si="293"/>
        <v>0</v>
      </c>
      <c r="AL100" s="631">
        <f t="shared" si="294"/>
        <v>0</v>
      </c>
      <c r="AM100" s="632" cm="1">
        <f t="array" ref="AM100">IF($CI100=0,0,IFERROR(INDEX(MHR[],$CI100,MATCH($CA100,MHR!$B$4:$AY$4,0)+11),0))</f>
        <v>0</v>
      </c>
      <c r="AN100" s="633" cm="1">
        <f t="array" ref="AN100">IF(($J100+$V100)=0,0,IFERROR(IF(INDEX(Premises!$A$41:$F$41,1,$CH100)&lt;&gt;0,INDEX(Premises!$A$41:$F$41,1,$CH100)/100,(IFERROR(($J100/$I100)*$AM100,0)/($V100+$J100+$R100+$AL100))),0))</f>
        <v>0</v>
      </c>
      <c r="AO100" s="634">
        <f t="shared" si="295"/>
        <v>0</v>
      </c>
      <c r="AP100" s="635">
        <f t="shared" si="296"/>
        <v>0</v>
      </c>
      <c r="AQ100" s="410" t="s">
        <v>4336</v>
      </c>
      <c r="AR100" s="409">
        <v>1E-4</v>
      </c>
      <c r="AS100" s="636" t="str" cm="1">
        <f t="array" ref="AS100">IF($CJ100=0,0,IFERROR(INDEX(MAT[Einheit],$CJ100,1),0))</f>
        <v>kg</v>
      </c>
      <c r="AT100" s="637" cm="1">
        <f t="array" ref="AT100">IF($CJ100=0,0,IFERROR(INDEX(MAT[Preis],$CJ100,1),0))</f>
        <v>600</v>
      </c>
      <c r="AU100" s="638">
        <f t="shared" si="297"/>
        <v>6.0000000000000005E-2</v>
      </c>
      <c r="AV100" s="639" cm="1">
        <f t="array" ref="AV100">IF($AU100&lt;=0,0,INDEX(Premises!$A$30:$F$30,1,$CH100)/100)</f>
        <v>0.01</v>
      </c>
      <c r="AW100" s="409"/>
      <c r="AX100" s="631">
        <f t="shared" si="298"/>
        <v>6.0000000000000006E-4</v>
      </c>
      <c r="AY100" s="640" cm="1">
        <f t="array" ref="AY100">IF($AT100&lt;=0,0,IFERROR(IF(INDEX(Premises!$A$42:$F$42,1,$CH100)&lt;&gt;0,INDEX(Premises!$A$42:$F$42,1,$CH100)/100,(INDEX(MAT[],$CJ100,MATCH($CA100,MAT!$B$4:$AE$4,0))/($AR100*$CK100*INDEX(Premises!$A$13:$F$13,1,$CH100))+INDEX(MAT[],$CJ100,MATCH($CA100,MAT!$B$4:$AE$4,0)+7))/$AT100),0))</f>
        <v>9.5522165461652916E-2</v>
      </c>
      <c r="AZ100" s="631">
        <f t="shared" si="299"/>
        <v>5.7886432269761675E-3</v>
      </c>
      <c r="BA100" s="635">
        <f t="shared" si="300"/>
        <v>6.6388643226976171E-2</v>
      </c>
      <c r="BB100" s="635">
        <f t="shared" si="301"/>
        <v>6.6388643226976171E-2</v>
      </c>
      <c r="BC100" s="639" cm="1">
        <f t="array" ref="BC100">IF($BB100&lt;=0,0,IF(BC$2=-1,0,INDEX(Premises!$A$32:$F$32,1,$CH100)/100))</f>
        <v>0</v>
      </c>
      <c r="BD100" s="631">
        <f t="shared" si="302"/>
        <v>0</v>
      </c>
      <c r="BE100" s="639" cm="1">
        <f t="array" ref="BE100">IF($BB100&lt;=0,0,IF(BE$2=-1,0,INDEX(Premises!$A$33:$F$33,1,$CH100)/100))</f>
        <v>0</v>
      </c>
      <c r="BF100" s="631">
        <f t="shared" si="303"/>
        <v>0</v>
      </c>
      <c r="BG100" s="639" cm="1">
        <f t="array" ref="BG100">IF($BB100&lt;=0,0,IF(BG$2=-1,0,INDEX(Premises!$A$31:$F$31,1,$CH100)/100))</f>
        <v>0.125</v>
      </c>
      <c r="BH100" s="631">
        <f t="shared" si="304"/>
        <v>8.2985804033720214E-3</v>
      </c>
      <c r="BI100" s="635">
        <f t="shared" si="305"/>
        <v>7.4687223630348187E-2</v>
      </c>
      <c r="BJ100" s="639" cm="1">
        <f t="array" ref="BJ100">IF($BB100&lt;=0,0,IF(BJ$2=-1,0,INDEX(Premises!$A$35:$F$35,1,$CH100)/100))</f>
        <v>0</v>
      </c>
      <c r="BK100" s="631">
        <f t="shared" si="306"/>
        <v>0</v>
      </c>
      <c r="BL100" s="639" cm="1">
        <f t="array" ref="BL100">IF($BB100&lt;=0,0,IF(BL$2=-1,0,INDEX(Premises!$A$36:$F$36,1,$CH100)/100))</f>
        <v>0</v>
      </c>
      <c r="BM100" s="631">
        <f t="shared" si="307"/>
        <v>0</v>
      </c>
      <c r="BN100" s="639" cm="1">
        <f t="array" ref="BN100">IF($BB100&lt;=0,0,IF(BN$2=-1,0,INDEX(Premises!$A$34:$F$34,1,$CH100)/100))</f>
        <v>0.06</v>
      </c>
      <c r="BO100" s="631">
        <f t="shared" si="308"/>
        <v>3.6000000000000003E-3</v>
      </c>
      <c r="BP100" s="639" cm="1">
        <f t="array" ref="BP100">IF($BI100=0,0,INDEX(Premises!$A$37:$F$37,1,$CH100)/100)</f>
        <v>0</v>
      </c>
      <c r="BQ100" s="409"/>
      <c r="BR100" s="631">
        <f t="shared" si="309"/>
        <v>0</v>
      </c>
      <c r="BS100" s="641">
        <f t="shared" si="310"/>
        <v>7.8287223630348193E-2</v>
      </c>
      <c r="BT100" s="641">
        <f t="shared" si="311"/>
        <v>7.8287223630348193E-2</v>
      </c>
      <c r="BU100" s="642">
        <f t="shared" si="312"/>
        <v>1</v>
      </c>
      <c r="BV100" s="417"/>
      <c r="BW100" s="418"/>
      <c r="BX100" s="418"/>
      <c r="BY100" s="419"/>
      <c r="BZ100" s="968"/>
      <c r="CA100" s="280" cm="1">
        <f t="array" ref="CA100">IF($BZ100&gt;0,VALUE(LEFT($BZ100,IF(ISERROR(FIND("-",$BZ100)),LEN($BZ100),FIND("-",$BZ100)-1))),INDEX($CA$1:$CA100,MAX(1,$CD100)))</f>
        <v>1</v>
      </c>
      <c r="CB100" s="280" cm="1">
        <f t="array" ref="CB100">IF($BT100=0,0,IF(LEN($BZ100)-LEN(SUBSTITUTE($BZ100,"-",""))&gt;1,
VALUE(MID($BZ100,FIND("-",$BZ100)+1,FIND("-",$BZ100,FIND("-",$BZ100)+1)-FIND("-",$BZ100)-1)),IF($BZ100&gt;0,0,INDEX($CB$1:$CB100,MAX(1,$CD100)))))</f>
        <v>0</v>
      </c>
      <c r="CC100" s="280" cm="1">
        <f t="array" ref="CC100">IF($BT100=0,0,IF(NOT(ISERROR(FIND("-",BZ100))),
VALUE(RIGHT($BZ100,LEN($BZ100)-IF(LEN($BZ100)-LEN(SUBSTITUTE($BZ100,"-",""))=1,FIND("-",$BZ100),FIND("-",$BZ100,FIND("-",$BZ100)+1)))),
IF($BZ100&gt;0,0,INDEX($CC$1:$CC100,MAX(1,$CD100)))))</f>
        <v>0</v>
      </c>
      <c r="CD100" s="393">
        <f>MATCH(0,$CE$1:$CE100,-1)</f>
        <v>98</v>
      </c>
      <c r="CE100" s="280"/>
      <c r="CF100" s="394"/>
      <c r="CG100" s="393" cm="1">
        <f t="array" ref="CG100">INDEX($CG$1:$CG100,$CD100)</f>
        <v>11</v>
      </c>
      <c r="CH100" s="280">
        <f>MATCH($CA100,Premises!$A$10:$F$10,0)</f>
        <v>4</v>
      </c>
      <c r="CI100" s="280">
        <f>IF(ISBLANK($E100),0,IFERROR(MATCH($E100,MHR[Bezeichnung],0),0))</f>
        <v>0</v>
      </c>
      <c r="CJ100" s="394">
        <f>IF(ISBLANK($AQ100),0,IFERROR(MATCH($AQ100,MAT[Bezeichnung],0),0))</f>
        <v>16</v>
      </c>
      <c r="CK100" s="280" cm="1">
        <f t="array" ref="CK100">INDEX($D$1:$D100,$CD100)</f>
        <v>1</v>
      </c>
      <c r="CL100" s="280"/>
      <c r="CM100" s="395"/>
      <c r="CN100" s="396" cm="1">
        <f t="array" ref="CN100">IF($CB100=0,0,IF($CB100=INDEX($CB$1:$CB100,$CD100),INDEX($CN$1:$CN100,$CD100),$CP100))</f>
        <v>0</v>
      </c>
      <c r="CO100" s="395"/>
      <c r="CP100" s="396" cm="1">
        <f t="array" ref="CP100">IF($CC100=0,0,INDEX($CP$1:$CP100,$CD100))</f>
        <v>0</v>
      </c>
      <c r="CQ100" s="397"/>
      <c r="CR100" s="398"/>
      <c r="CS100" s="398"/>
      <c r="CT100" s="970"/>
      <c r="CU100" s="2"/>
      <c r="CV100" s="647">
        <f t="shared" si="313"/>
        <v>0</v>
      </c>
      <c r="CW100" s="648">
        <f t="shared" si="314"/>
        <v>0</v>
      </c>
      <c r="CX100" s="648">
        <f t="shared" si="315"/>
        <v>0</v>
      </c>
      <c r="CY100" s="648">
        <f t="shared" si="316"/>
        <v>0</v>
      </c>
      <c r="CZ100" s="648">
        <f t="shared" si="317"/>
        <v>0</v>
      </c>
      <c r="DA100" s="648">
        <f t="shared" si="318"/>
        <v>0</v>
      </c>
      <c r="DB100" s="648">
        <f t="shared" si="319"/>
        <v>0</v>
      </c>
      <c r="DC100" s="649">
        <f t="shared" si="320"/>
        <v>0</v>
      </c>
      <c r="DD100" s="648">
        <f t="shared" si="321"/>
        <v>6.0000000000000005E-2</v>
      </c>
      <c r="DE100" s="648">
        <f t="shared" si="322"/>
        <v>6.0000000000000006E-4</v>
      </c>
      <c r="DF100" s="648">
        <f t="shared" si="323"/>
        <v>5.7886432269761675E-3</v>
      </c>
      <c r="DG100" s="649">
        <f t="shared" si="324"/>
        <v>6.6388643226976171E-2</v>
      </c>
      <c r="DH100" s="649">
        <f t="shared" si="325"/>
        <v>6.6388643226976171E-2</v>
      </c>
      <c r="DI100" s="648">
        <f t="shared" si="326"/>
        <v>0</v>
      </c>
      <c r="DJ100" s="648">
        <f t="shared" si="327"/>
        <v>0</v>
      </c>
      <c r="DK100" s="648">
        <f t="shared" si="328"/>
        <v>8.2985804033720214E-3</v>
      </c>
      <c r="DL100" s="648">
        <f t="shared" si="329"/>
        <v>0</v>
      </c>
      <c r="DM100" s="648">
        <f t="shared" si="330"/>
        <v>0</v>
      </c>
      <c r="DN100" s="648">
        <f t="shared" si="331"/>
        <v>3.6000000000000003E-3</v>
      </c>
      <c r="DO100" s="648">
        <f t="shared" si="332"/>
        <v>0</v>
      </c>
      <c r="DP100" s="651">
        <f t="shared" si="333"/>
        <v>7.8287223630348193E-2</v>
      </c>
      <c r="DQ100" s="951">
        <f>IF($CB100=0,0,$DP100*_xlfn.XLOOKUP($CB100,Premises!$A$10:$F$10,Premises!$A$30:$F$30)/100)</f>
        <v>0</v>
      </c>
      <c r="DR100" s="650">
        <f>IFERROR(SUM($DP100:$DQ100)*IF(INDEX(Premises!$A$42:$F$42,1,MATCH($CB100,Premises!$A$10:$F$10,0))&gt;0,INDEX(Premises!$A$42:$F$42,1,MATCH($CB100,Premises!$A$10:$F$10,0))%,$CN100),0)</f>
        <v>0</v>
      </c>
      <c r="DS100" s="650" cm="1">
        <f t="array" ref="DS100">IF($CB100=0,0,SUM($DP100:$DR100)*_xlfn.XLOOKUP($CB100,Premises!$A$10:$F$10,IF(INDEX(Settings[],MATCH(3001,Settings[ID],0),2)="B",Premises!$A$33:$F$33,Premises!$A$31:$F$31))/100)</f>
        <v>0</v>
      </c>
      <c r="DT100" s="650" cm="1">
        <f t="array" ref="DT100">IF($CB100=0,0,$DP100*_xlfn.XLOOKUP($CB100,Premises!$A$10:$F$10,IF(INDEX(Settings[],MATCH(3002,Settings[ID],0),2)="B",Premises!$A$36:$F$36,Premises!$A$34:$F$34))/100)</f>
        <v>0</v>
      </c>
      <c r="DU100" s="650">
        <f>IF($CB100=0,0,SUM($DP100:$DT100)*_xlfn.XLOOKUP($CB100,Premises!$A$10:$F$10,Premises!$A$37:$F$37)/100)</f>
        <v>0</v>
      </c>
      <c r="DV100" s="954">
        <f t="shared" si="334"/>
        <v>7.8287223630348193E-2</v>
      </c>
      <c r="DW100" s="951">
        <f>IF($CC100=0,0,$DV100*_xlfn.XLOOKUP($CC100,Premises!$A$10:$F$10,Premises!$A$30:$F$30)/100)</f>
        <v>0</v>
      </c>
      <c r="DX100" s="650">
        <f>IFERROR(SUM($DV100:$DW100)*IF(INDEX(Premises!$A$42:$F$42,1,MATCH($CC100,Premises!$A$10:$F$10,0))&gt;0,INDEX(Premises!$A$42:$F$42,1,MATCH($CC100,Premises!$A$10:$F$10,0))%,$CP100),0)</f>
        <v>0</v>
      </c>
      <c r="DY100" s="650" cm="1">
        <f t="array" ref="DY100">IF($CC100=0,0,SUM($DV100:$DX100)*_xlfn.XLOOKUP($CC100,Premises!$A$10:$F$10,IF(INDEX(Settings[],MATCH(3001,Settings[ID],0),2)="B",Premises!$A$33:$F$33,Premises!$A$31:$F$31))/100)</f>
        <v>0</v>
      </c>
      <c r="DZ100" s="650" cm="1">
        <f t="array" ref="DZ100">IF($CC100=0,0,$DV100*_xlfn.XLOOKUP($CC100,Premises!$A$10:$F$10,IF(INDEX(Settings[],MATCH(3002,Settings[ID],0),2)="B",Premises!$A$36:$F$36,Premises!$A$34:$F$34))/100)</f>
        <v>0</v>
      </c>
      <c r="EA100" s="650">
        <f>IF($CC100=0,0,SUM($DV100:$DZ100)*_xlfn.XLOOKUP($CC100,Premises!$A$10:$F$10,Premises!$A$37:$F$37)/100)</f>
        <v>0</v>
      </c>
      <c r="EB100" s="651">
        <f t="shared" si="335"/>
        <v>7.8287223630348193E-2</v>
      </c>
      <c r="EC100" s="805"/>
      <c r="ED100" s="1104"/>
      <c r="EE100" s="650"/>
      <c r="EF100" s="1110"/>
      <c r="EG100" s="1108"/>
      <c r="EH100" s="1108"/>
      <c r="EI100" s="1108"/>
      <c r="EJ100" s="1108"/>
      <c r="EK100" s="1108"/>
      <c r="EL100" s="1108"/>
      <c r="EM100" s="1110"/>
      <c r="EN100" s="1108"/>
      <c r="EO100" s="1108"/>
      <c r="EP100" s="1108"/>
      <c r="EQ100" s="1108"/>
      <c r="ER100" s="1110"/>
      <c r="ES100" s="1108"/>
      <c r="ET100" s="1108"/>
      <c r="EU100" s="1108"/>
      <c r="EV100" s="1108"/>
      <c r="EW100" s="1108"/>
      <c r="EX100" s="1111"/>
      <c r="EY100" s="2"/>
      <c r="EZ100" s="2"/>
      <c r="FA100" s="2"/>
      <c r="FB100" s="2"/>
      <c r="FC100" s="2"/>
      <c r="FD100" s="2"/>
      <c r="FE100" s="2"/>
      <c r="FF100" s="2"/>
      <c r="FG100" s="2"/>
      <c r="FH100" s="2"/>
      <c r="FI100" s="2"/>
      <c r="FJ100" s="420"/>
      <c r="FK100" s="421"/>
      <c r="FL100" s="422"/>
      <c r="FM100" s="970"/>
    </row>
    <row r="101" spans="1:169" s="13" customFormat="1" ht="12.75" customHeight="1">
      <c r="A101" s="221"/>
      <c r="B101" s="402"/>
      <c r="C101" s="403"/>
      <c r="D101" s="646"/>
      <c r="E101" s="404"/>
      <c r="F101" s="405"/>
      <c r="G101" s="405"/>
      <c r="H101" s="405"/>
      <c r="I101" s="637" cm="1">
        <f t="array" ref="I101">IF($CI101=0,0,IFERROR(INDEX(MHR[],$CI101,MATCH($CA101,MHR!$B$4:$AY$4,0)),0))</f>
        <v>0</v>
      </c>
      <c r="J101" s="634">
        <f t="shared" si="288"/>
        <v>0</v>
      </c>
      <c r="K101" s="406"/>
      <c r="L101" s="407"/>
      <c r="M101" s="871"/>
      <c r="N101" s="407"/>
      <c r="O101" s="405"/>
      <c r="P101" s="645" cm="1">
        <f t="array" ref="P101">IF($K101=0,0,IFERROR(ROUNDUP(IF(ISNUMBER($K101),$K101,INDEX($D$1:$D101,$CD101)*INDEX(Premises!$A$13:$F$13,1,$CH101)/IF(OR($K101="T",$K101="D"),250,IF($K101="W",50,IF($K101="M",12,IF(OR($K101="HJ",$K101="HY"),2,IF(OR($K101="J",$K101="Y"),1,0)))))),0),0))</f>
        <v>0</v>
      </c>
      <c r="Q101" s="637" cm="1">
        <f t="array" ref="Q101">IF($K101=0,0,IFERROR(INDEX(Premises!$A$22:$F$22,1,$CH101)*100/INDEX(Premises!$A$16:$F$16,1,$CH101),0))</f>
        <v>0</v>
      </c>
      <c r="R101" s="634">
        <f t="shared" si="289"/>
        <v>0</v>
      </c>
      <c r="S101" s="408"/>
      <c r="T101" s="409"/>
      <c r="U101" s="637" cm="1">
        <f t="array" ref="U101">IF(COUNTBLANK($S101:$T101),0,
IF(AND(INDEX(MHR[Schichtmodell],$CI101)&lt;&gt;0,INDEX(MHR[Schichtmodell],$CI101)&lt;&gt;INDEX(Premises!$A$20:$F$20,1,$CH101)),ExchangeRate*
IF(OR($T101="M",$T101="U"),IF(INDEX(MHR[Schichtmodell],$CI101)=1,INDEX(LOC[M1S],INDEX(Premises!$A$18:$F$18,1,$CH101+1)),IF(INDEX(MHR[Schichtmodell],$CI101)=2,INDEX(LOC[M2S],INDEX(Premises!$A$18:$F$18,1,$CH101+1),IF(INDEX(MHR[Schichtmodell],$CI101)=3,INDEX(LOC[M3S],INDEX(Premises!$A$18:$F$18,1,$CH101+1)),0)))),
IF(INDEX(MHR[Schichtmodell],$CI101)=1,INDEX(LOC[F1S],INDEX(Premises!$A$18:$F$18,1,$CH101+1)),IF(INDEX(MHR[Schichtmodell],$CI101)=2,INDEX(LOC[F2S],INDEX(Premises!$A$18:$F$18,1,$CH101+1)),IF(INDEX(MHR[Schichtmodell],$CI101)=3,INDEX(LOC[F3S],INDEX(Premises!$A$18:$F$18,1,$CH101+1)),0)))),
IF(OR($T101="M",$T101="U"),INDEX(Premises!$A$21:$F$21,1,$CH101),
IF(OR($T101="F",$T101="S"),INDEX(Premises!$A$22:$F$22,1,$CH101),0)))*100/INDEX(Premises!$A$16:$F$16,1,$CH101))</f>
        <v>0</v>
      </c>
      <c r="V101" s="631">
        <f t="shared" si="290"/>
        <v>0</v>
      </c>
      <c r="W101" s="410"/>
      <c r="X101" s="403"/>
      <c r="Y101" s="411"/>
      <c r="Z101" s="412"/>
      <c r="AA101" s="628">
        <f t="shared" si="291"/>
        <v>0</v>
      </c>
      <c r="AB101" s="410"/>
      <c r="AC101" s="403"/>
      <c r="AD101" s="411"/>
      <c r="AE101" s="413"/>
      <c r="AF101" s="628">
        <f t="shared" si="292"/>
        <v>0</v>
      </c>
      <c r="AG101" s="629" cm="1">
        <f t="array" ref="AG101">IF(($J101+$V101+$AF101)=0,0,INDEX(Premises!$A$30:$F$30,1,$CH101)/100)</f>
        <v>0</v>
      </c>
      <c r="AH101" s="414"/>
      <c r="AI101" s="415"/>
      <c r="AJ101" s="416"/>
      <c r="AK101" s="630">
        <f t="shared" si="293"/>
        <v>0</v>
      </c>
      <c r="AL101" s="631">
        <f t="shared" si="294"/>
        <v>0</v>
      </c>
      <c r="AM101" s="632" cm="1">
        <f t="array" ref="AM101">IF($CI101=0,0,IFERROR(INDEX(MHR[],$CI101,MATCH($CA101,MHR!$B$4:$AY$4,0)+11),0))</f>
        <v>0</v>
      </c>
      <c r="AN101" s="633" cm="1">
        <f t="array" ref="AN101">IF(($J101+$V101)=0,0,IFERROR(IF(INDEX(Premises!$A$41:$F$41,1,$CH101)&lt;&gt;0,INDEX(Premises!$A$41:$F$41,1,$CH101)/100,(IFERROR(($J101/$I101)*$AM101,0)/($V101+$J101+$R101+$AL101))),0))</f>
        <v>0</v>
      </c>
      <c r="AO101" s="634">
        <f t="shared" si="295"/>
        <v>0</v>
      </c>
      <c r="AP101" s="635">
        <f t="shared" si="296"/>
        <v>0</v>
      </c>
      <c r="AQ101" s="410"/>
      <c r="AR101" s="409"/>
      <c r="AS101" s="636" cm="1">
        <f t="array" ref="AS101">IF($CJ101=0,0,IFERROR(INDEX(MAT[Einheit],$CJ101,1),0))</f>
        <v>0</v>
      </c>
      <c r="AT101" s="637" cm="1">
        <f t="array" ref="AT101">IF($CJ101=0,0,IFERROR(INDEX(MAT[Preis],$CJ101,1),0))</f>
        <v>0</v>
      </c>
      <c r="AU101" s="638">
        <f t="shared" si="297"/>
        <v>0</v>
      </c>
      <c r="AV101" s="639" cm="1">
        <f t="array" ref="AV101">IF($AU101&lt;=0,0,INDEX(Premises!$A$30:$F$30,1,$CH101)/100)</f>
        <v>0</v>
      </c>
      <c r="AW101" s="409"/>
      <c r="AX101" s="631">
        <f t="shared" si="298"/>
        <v>0</v>
      </c>
      <c r="AY101" s="640" cm="1">
        <f t="array" ref="AY101">IF($AT101&lt;=0,0,IFERROR(IF(INDEX(Premises!$A$42:$F$42,1,$CH101)&lt;&gt;0,INDEX(Premises!$A$42:$F$42,1,$CH101)/100,(INDEX(MAT[],$CJ101,MATCH($CA101,MAT!$B$4:$AE$4,0))/($AR101*$CK101*INDEX(Premises!$A$13:$F$13,1,$CH101))+INDEX(MAT[],$CJ101,MATCH($CA101,MAT!$B$4:$AE$4,0)+7))/$AT101),0))</f>
        <v>0</v>
      </c>
      <c r="AZ101" s="631">
        <f t="shared" si="299"/>
        <v>0</v>
      </c>
      <c r="BA101" s="635">
        <f t="shared" si="300"/>
        <v>0</v>
      </c>
      <c r="BB101" s="635">
        <f t="shared" si="301"/>
        <v>0</v>
      </c>
      <c r="BC101" s="639" cm="1">
        <f t="array" ref="BC101">IF($BB101&lt;=0,0,IF(BC$2=-1,0,INDEX(Premises!$A$32:$F$32,1,$CH101)/100))</f>
        <v>0</v>
      </c>
      <c r="BD101" s="631">
        <f t="shared" si="302"/>
        <v>0</v>
      </c>
      <c r="BE101" s="639" cm="1">
        <f t="array" ref="BE101">IF($BB101&lt;=0,0,IF(BE$2=-1,0,INDEX(Premises!$A$33:$F$33,1,$CH101)/100))</f>
        <v>0</v>
      </c>
      <c r="BF101" s="631">
        <f t="shared" si="303"/>
        <v>0</v>
      </c>
      <c r="BG101" s="639" cm="1">
        <f t="array" ref="BG101">IF($BB101&lt;=0,0,IF(BG$2=-1,0,INDEX(Premises!$A$31:$F$31,1,$CH101)/100))</f>
        <v>0</v>
      </c>
      <c r="BH101" s="631">
        <f t="shared" si="304"/>
        <v>0</v>
      </c>
      <c r="BI101" s="635">
        <f t="shared" si="305"/>
        <v>0</v>
      </c>
      <c r="BJ101" s="639" cm="1">
        <f t="array" ref="BJ101">IF($BB101&lt;=0,0,IF(BJ$2=-1,0,INDEX(Premises!$A$35:$F$35,1,$CH101)/100))</f>
        <v>0</v>
      </c>
      <c r="BK101" s="631">
        <f t="shared" si="306"/>
        <v>0</v>
      </c>
      <c r="BL101" s="639" cm="1">
        <f t="array" ref="BL101">IF($BB101&lt;=0,0,IF(BL$2=-1,0,INDEX(Premises!$A$36:$F$36,1,$CH101)/100))</f>
        <v>0</v>
      </c>
      <c r="BM101" s="631">
        <f t="shared" si="307"/>
        <v>0</v>
      </c>
      <c r="BN101" s="639" cm="1">
        <f t="array" ref="BN101">IF($BB101&lt;=0,0,IF(BN$2=-1,0,INDEX(Premises!$A$34:$F$34,1,$CH101)/100))</f>
        <v>0</v>
      </c>
      <c r="BO101" s="631">
        <f t="shared" si="308"/>
        <v>0</v>
      </c>
      <c r="BP101" s="639" cm="1">
        <f t="array" ref="BP101">IF($BI101=0,0,INDEX(Premises!$A$37:$F$37,1,$CH101)/100)</f>
        <v>0</v>
      </c>
      <c r="BQ101" s="409"/>
      <c r="BR101" s="631">
        <f t="shared" si="309"/>
        <v>0</v>
      </c>
      <c r="BS101" s="641">
        <f t="shared" si="310"/>
        <v>0</v>
      </c>
      <c r="BT101" s="641">
        <f t="shared" si="311"/>
        <v>0</v>
      </c>
      <c r="BU101" s="642">
        <f t="shared" si="312"/>
        <v>0</v>
      </c>
      <c r="BV101" s="1147"/>
      <c r="BW101" s="418"/>
      <c r="BX101" s="418"/>
      <c r="BY101" s="419"/>
      <c r="BZ101" s="968"/>
      <c r="CA101" s="280" cm="1">
        <f t="array" ref="CA101">IF($BZ101&gt;0,VALUE(LEFT($BZ101,IF(ISERROR(FIND("-",$BZ101)),LEN($BZ101),FIND("-",$BZ101)-1))),INDEX($CA$1:$CA101,MAX(1,$CD101)))</f>
        <v>1</v>
      </c>
      <c r="CB101" s="280" cm="1">
        <f t="array" ref="CB101">IF($BT101=0,0,IF(LEN($BZ101)-LEN(SUBSTITUTE($BZ101,"-",""))&gt;1,
VALUE(MID($BZ101,FIND("-",$BZ101)+1,FIND("-",$BZ101,FIND("-",$BZ101)+1)-FIND("-",$BZ101)-1)),IF($BZ101&gt;0,0,INDEX($CB$1:$CB101,MAX(1,$CD101)))))</f>
        <v>0</v>
      </c>
      <c r="CC101" s="280" cm="1">
        <f t="array" ref="CC101">IF($BT101=0,0,IF(NOT(ISERROR(FIND("-",BZ101))),
VALUE(RIGHT($BZ101,LEN($BZ101)-IF(LEN($BZ101)-LEN(SUBSTITUTE($BZ101,"-",""))=1,FIND("-",$BZ101),FIND("-",$BZ101,FIND("-",$BZ101)+1)))),
IF($BZ101&gt;0,0,INDEX($CC$1:$CC101,MAX(1,$CD101)))))</f>
        <v>0</v>
      </c>
      <c r="CD101" s="393">
        <f>MATCH(0,$CE$1:$CE101,-1)</f>
        <v>98</v>
      </c>
      <c r="CE101" s="280"/>
      <c r="CF101" s="394"/>
      <c r="CG101" s="393" cm="1">
        <f t="array" ref="CG101">INDEX($CG$1:$CG101,$CD101)</f>
        <v>11</v>
      </c>
      <c r="CH101" s="280">
        <f>MATCH($CA101,Premises!$A$10:$F$10,0)</f>
        <v>4</v>
      </c>
      <c r="CI101" s="280">
        <f>IF(ISBLANK($E101),0,IFERROR(MATCH($E101,MHR[Bezeichnung],0),0))</f>
        <v>0</v>
      </c>
      <c r="CJ101" s="394">
        <f>IF(ISBLANK($AQ101),0,IFERROR(MATCH($AQ101,MAT[Bezeichnung],0),0))</f>
        <v>0</v>
      </c>
      <c r="CK101" s="280" cm="1">
        <f t="array" ref="CK101">INDEX($D$1:$D101,$CD101)</f>
        <v>1</v>
      </c>
      <c r="CL101" s="280"/>
      <c r="CM101" s="395"/>
      <c r="CN101" s="396" cm="1">
        <f t="array" ref="CN101">IF($CB101=0,0,IF($CB101=INDEX($CB$1:$CB101,$CD101),INDEX($CN$1:$CN101,$CD101),$CP101))</f>
        <v>0</v>
      </c>
      <c r="CO101" s="395"/>
      <c r="CP101" s="396" cm="1">
        <f t="array" ref="CP101">IF($CC101=0,0,INDEX($CP$1:$CP101,$CD101))</f>
        <v>0</v>
      </c>
      <c r="CQ101" s="397"/>
      <c r="CR101" s="398"/>
      <c r="CS101" s="398"/>
      <c r="CT101" s="1152"/>
      <c r="CU101" s="1149"/>
      <c r="CV101" s="647">
        <f t="shared" si="313"/>
        <v>0</v>
      </c>
      <c r="CW101" s="648">
        <f t="shared" si="314"/>
        <v>0</v>
      </c>
      <c r="CX101" s="648">
        <f t="shared" si="315"/>
        <v>0</v>
      </c>
      <c r="CY101" s="648">
        <f t="shared" si="316"/>
        <v>0</v>
      </c>
      <c r="CZ101" s="648">
        <f t="shared" si="317"/>
        <v>0</v>
      </c>
      <c r="DA101" s="648">
        <f t="shared" si="318"/>
        <v>0</v>
      </c>
      <c r="DB101" s="648">
        <f t="shared" si="319"/>
        <v>0</v>
      </c>
      <c r="DC101" s="649">
        <f t="shared" si="320"/>
        <v>0</v>
      </c>
      <c r="DD101" s="648">
        <f t="shared" si="321"/>
        <v>0</v>
      </c>
      <c r="DE101" s="648">
        <f t="shared" si="322"/>
        <v>0</v>
      </c>
      <c r="DF101" s="648">
        <f t="shared" si="323"/>
        <v>0</v>
      </c>
      <c r="DG101" s="649">
        <f t="shared" si="324"/>
        <v>0</v>
      </c>
      <c r="DH101" s="649">
        <f t="shared" si="325"/>
        <v>0</v>
      </c>
      <c r="DI101" s="648">
        <f t="shared" si="326"/>
        <v>0</v>
      </c>
      <c r="DJ101" s="648">
        <f t="shared" si="327"/>
        <v>0</v>
      </c>
      <c r="DK101" s="648">
        <f t="shared" si="328"/>
        <v>0</v>
      </c>
      <c r="DL101" s="648">
        <f t="shared" si="329"/>
        <v>0</v>
      </c>
      <c r="DM101" s="648">
        <f t="shared" si="330"/>
        <v>0</v>
      </c>
      <c r="DN101" s="648">
        <f t="shared" si="331"/>
        <v>0</v>
      </c>
      <c r="DO101" s="648">
        <f t="shared" si="332"/>
        <v>0</v>
      </c>
      <c r="DP101" s="651">
        <f t="shared" si="333"/>
        <v>0</v>
      </c>
      <c r="DQ101" s="951">
        <f>IF($CB101=0,0,$DP101*_xlfn.XLOOKUP($CB101,Premises!$A$10:$F$10,Premises!$A$30:$F$30)/100)</f>
        <v>0</v>
      </c>
      <c r="DR101" s="650">
        <f>IFERROR(SUM($DP101:$DQ101)*IF(INDEX(Premises!$A$42:$F$42,1,MATCH($CB101,Premises!$A$10:$F$10,0))&gt;0,INDEX(Premises!$A$42:$F$42,1,MATCH($CB101,Premises!$A$10:$F$10,0))%,$CN101),0)</f>
        <v>0</v>
      </c>
      <c r="DS101" s="650" cm="1">
        <f t="array" ref="DS101">IF($CB101=0,0,SUM($DP101:$DR101)*_xlfn.XLOOKUP($CB101,Premises!$A$10:$F$10,IF(INDEX(Settings[],MATCH(3001,Settings[ID],0),2)="B",Premises!$A$33:$F$33,Premises!$A$31:$F$31))/100)</f>
        <v>0</v>
      </c>
      <c r="DT101" s="650" cm="1">
        <f t="array" ref="DT101">IF($CB101=0,0,$DP101*_xlfn.XLOOKUP($CB101,Premises!$A$10:$F$10,IF(INDEX(Settings[],MATCH(3002,Settings[ID],0),2)="B",Premises!$A$36:$F$36,Premises!$A$34:$F$34))/100)</f>
        <v>0</v>
      </c>
      <c r="DU101" s="650">
        <f>IF($CB101=0,0,SUM($DP101:$DT101)*_xlfn.XLOOKUP($CB101,Premises!$A$10:$F$10,Premises!$A$37:$F$37)/100)</f>
        <v>0</v>
      </c>
      <c r="DV101" s="954">
        <f t="shared" si="334"/>
        <v>0</v>
      </c>
      <c r="DW101" s="951">
        <f>IF($CC101=0,0,$DV101*_xlfn.XLOOKUP($CC101,Premises!$A$10:$F$10,Premises!$A$30:$F$30)/100)</f>
        <v>0</v>
      </c>
      <c r="DX101" s="650">
        <f>IFERROR(SUM($DV101:$DW101)*IF(INDEX(Premises!$A$42:$F$42,1,MATCH($CC101,Premises!$A$10:$F$10,0))&gt;0,INDEX(Premises!$A$42:$F$42,1,MATCH($CC101,Premises!$A$10:$F$10,0))%,$CP101),0)</f>
        <v>0</v>
      </c>
      <c r="DY101" s="650" cm="1">
        <f t="array" ref="DY101">IF($CC101=0,0,SUM($DV101:$DX101)*_xlfn.XLOOKUP($CC101,Premises!$A$10:$F$10,IF(INDEX(Settings[],MATCH(3001,Settings[ID],0),2)="B",Premises!$A$33:$F$33,Premises!$A$31:$F$31))/100)</f>
        <v>0</v>
      </c>
      <c r="DZ101" s="650" cm="1">
        <f t="array" ref="DZ101">IF($CC101=0,0,$DV101*_xlfn.XLOOKUP($CC101,Premises!$A$10:$F$10,IF(INDEX(Settings[],MATCH(3002,Settings[ID],0),2)="B",Premises!$A$36:$F$36,Premises!$A$34:$F$34))/100)</f>
        <v>0</v>
      </c>
      <c r="EA101" s="650">
        <f>IF($CC101=0,0,SUM($DV101:$DZ101)*_xlfn.XLOOKUP($CC101,Premises!$A$10:$F$10,Premises!$A$37:$F$37)/100)</f>
        <v>0</v>
      </c>
      <c r="EB101" s="651">
        <f t="shared" si="335"/>
        <v>0</v>
      </c>
      <c r="EC101" s="805"/>
      <c r="ED101" s="1104"/>
      <c r="EE101" s="650"/>
      <c r="EF101" s="1110"/>
      <c r="EG101" s="1108"/>
      <c r="EH101" s="1108"/>
      <c r="EI101" s="1108"/>
      <c r="EJ101" s="1108"/>
      <c r="EK101" s="1108"/>
      <c r="EL101" s="1108"/>
      <c r="EM101" s="1110"/>
      <c r="EN101" s="1108"/>
      <c r="EO101" s="1108"/>
      <c r="EP101" s="1108"/>
      <c r="EQ101" s="1108"/>
      <c r="ER101" s="1110"/>
      <c r="ES101" s="1108"/>
      <c r="ET101" s="1108"/>
      <c r="EU101" s="1108"/>
      <c r="EV101" s="1108"/>
      <c r="EW101" s="1108"/>
      <c r="EX101" s="1111"/>
      <c r="EY101" s="2"/>
      <c r="EZ101" s="2"/>
      <c r="FA101" s="2"/>
      <c r="FB101" s="2"/>
      <c r="FC101" s="2"/>
      <c r="FD101" s="2"/>
      <c r="FE101" s="2"/>
      <c r="FF101" s="2"/>
      <c r="FG101" s="2"/>
      <c r="FH101" s="2"/>
      <c r="FI101" s="2"/>
      <c r="FJ101" s="420"/>
      <c r="FK101" s="421"/>
      <c r="FL101" s="422"/>
      <c r="FM101" s="1153"/>
    </row>
    <row r="102" spans="1:169" s="13" customFormat="1" ht="12.75" customHeight="1">
      <c r="A102" s="221"/>
      <c r="B102" s="1329" t="s">
        <v>4320</v>
      </c>
      <c r="C102" s="403"/>
      <c r="D102" s="646"/>
      <c r="E102" s="404"/>
      <c r="F102" s="405"/>
      <c r="G102" s="405"/>
      <c r="H102" s="405"/>
      <c r="I102" s="637" cm="1">
        <f t="array" ref="I102">IF($CI102=0,0,IFERROR(INDEX(MHR[],$CI102,MATCH($CA102,MHR!$B$4:$AY$4,0)),0))</f>
        <v>0</v>
      </c>
      <c r="J102" s="634">
        <f t="shared" si="288"/>
        <v>0</v>
      </c>
      <c r="K102" s="406"/>
      <c r="L102" s="407"/>
      <c r="M102" s="871"/>
      <c r="N102" s="407"/>
      <c r="O102" s="405"/>
      <c r="P102" s="645" cm="1">
        <f t="array" ref="P102">IF($K102=0,0,IFERROR(ROUNDUP(IF(ISNUMBER($K102),$K102,INDEX($D$1:$D102,$CD102)*INDEX(Premises!$A$13:$F$13,1,$CH102)/IF(OR($K102="T",$K102="D"),250,IF($K102="W",50,IF($K102="M",12,IF(OR($K102="HJ",$K102="HY"),2,IF(OR($K102="J",$K102="Y"),1,0)))))),0),0))</f>
        <v>0</v>
      </c>
      <c r="Q102" s="637" cm="1">
        <f t="array" ref="Q102">IF($K102=0,0,IFERROR(INDEX(Premises!$A$22:$F$22,1,$CH102)*100/INDEX(Premises!$A$16:$F$16,1,$CH102),0))</f>
        <v>0</v>
      </c>
      <c r="R102" s="634">
        <f t="shared" si="289"/>
        <v>0</v>
      </c>
      <c r="S102" s="408"/>
      <c r="T102" s="409"/>
      <c r="U102" s="637" cm="1">
        <f t="array" ref="U102">IF(COUNTBLANK($S102:$T102),0,
IF(AND(INDEX(MHR[Schichtmodell],$CI102)&lt;&gt;0,INDEX(MHR[Schichtmodell],$CI102)&lt;&gt;INDEX(Premises!$A$20:$F$20,1,$CH102)),ExchangeRate*
IF(OR($T102="M",$T102="U"),IF(INDEX(MHR[Schichtmodell],$CI102)=1,INDEX(LOC[M1S],INDEX(Premises!$A$18:$F$18,1,$CH102+1)),IF(INDEX(MHR[Schichtmodell],$CI102)=2,INDEX(LOC[M2S],INDEX(Premises!$A$18:$F$18,1,$CH102+1),IF(INDEX(MHR[Schichtmodell],$CI102)=3,INDEX(LOC[M3S],INDEX(Premises!$A$18:$F$18,1,$CH102+1)),0)))),
IF(INDEX(MHR[Schichtmodell],$CI102)=1,INDEX(LOC[F1S],INDEX(Premises!$A$18:$F$18,1,$CH102+1)),IF(INDEX(MHR[Schichtmodell],$CI102)=2,INDEX(LOC[F2S],INDEX(Premises!$A$18:$F$18,1,$CH102+1)),IF(INDEX(MHR[Schichtmodell],$CI102)=3,INDEX(LOC[F3S],INDEX(Premises!$A$18:$F$18,1,$CH102+1)),0)))),
IF(OR($T102="M",$T102="U"),INDEX(Premises!$A$21:$F$21,1,$CH102),
IF(OR($T102="F",$T102="S"),INDEX(Premises!$A$22:$F$22,1,$CH102),0)))*100/INDEX(Premises!$A$16:$F$16,1,$CH102))</f>
        <v>0</v>
      </c>
      <c r="V102" s="631">
        <f t="shared" si="290"/>
        <v>0</v>
      </c>
      <c r="W102" s="410"/>
      <c r="X102" s="403"/>
      <c r="Y102" s="411"/>
      <c r="Z102" s="412"/>
      <c r="AA102" s="628">
        <f t="shared" si="291"/>
        <v>0</v>
      </c>
      <c r="AB102" s="410"/>
      <c r="AC102" s="403"/>
      <c r="AD102" s="411"/>
      <c r="AE102" s="413"/>
      <c r="AF102" s="628">
        <f t="shared" si="292"/>
        <v>0</v>
      </c>
      <c r="AG102" s="629" cm="1">
        <f t="array" ref="AG102">IF(($J102+$V102+$AF102)=0,0,INDEX(Premises!$A$30:$F$30,1,$CH102)/100)</f>
        <v>0</v>
      </c>
      <c r="AH102" s="414"/>
      <c r="AI102" s="415"/>
      <c r="AJ102" s="416"/>
      <c r="AK102" s="630">
        <f t="shared" si="293"/>
        <v>0</v>
      </c>
      <c r="AL102" s="631">
        <f t="shared" si="294"/>
        <v>0</v>
      </c>
      <c r="AM102" s="632" cm="1">
        <f t="array" ref="AM102">IF($CI102=0,0,IFERROR(INDEX(MHR[],$CI102,MATCH($CA102,MHR!$B$4:$AY$4,0)+11),0))</f>
        <v>0</v>
      </c>
      <c r="AN102" s="633" cm="1">
        <f t="array" ref="AN102">IF(($J102+$V102)=0,0,IFERROR(IF(INDEX(Premises!$A$41:$F$41,1,$CH102)&lt;&gt;0,INDEX(Premises!$A$41:$F$41,1,$CH102)/100,(IFERROR(($J102/$I102)*$AM102,0)/($V102+$J102+$R102+$AL102))),0))</f>
        <v>0</v>
      </c>
      <c r="AO102" s="634">
        <f t="shared" si="295"/>
        <v>0</v>
      </c>
      <c r="AP102" s="635">
        <f t="shared" si="296"/>
        <v>0</v>
      </c>
      <c r="AQ102" s="410"/>
      <c r="AR102" s="409"/>
      <c r="AS102" s="636" cm="1">
        <f t="array" ref="AS102">IF($CJ102=0,0,IFERROR(INDEX(MAT[Einheit],$CJ102,1),0))</f>
        <v>0</v>
      </c>
      <c r="AT102" s="637" cm="1">
        <f t="array" ref="AT102">IF($CJ102=0,0,IFERROR(INDEX(MAT[Preis],$CJ102,1),0))</f>
        <v>0</v>
      </c>
      <c r="AU102" s="638">
        <f t="shared" si="297"/>
        <v>0</v>
      </c>
      <c r="AV102" s="639" cm="1">
        <f t="array" ref="AV102">IF($AU102&lt;=0,0,INDEX(Premises!$A$30:$F$30,1,$CH102)/100)</f>
        <v>0</v>
      </c>
      <c r="AW102" s="409"/>
      <c r="AX102" s="631">
        <f t="shared" si="298"/>
        <v>0</v>
      </c>
      <c r="AY102" s="640" cm="1">
        <f t="array" ref="AY102">IF($AT102&lt;=0,0,IFERROR(IF(INDEX(Premises!$A$42:$F$42,1,$CH102)&lt;&gt;0,INDEX(Premises!$A$42:$F$42,1,$CH102)/100,(INDEX(MAT[],$CJ102,MATCH($CA102,MAT!$B$4:$AE$4,0))/($AR102*$CK102*INDEX(Premises!$A$13:$F$13,1,$CH102))+INDEX(MAT[],$CJ102,MATCH($CA102,MAT!$B$4:$AE$4,0)+7))/$AT102),0))</f>
        <v>0</v>
      </c>
      <c r="AZ102" s="631">
        <f t="shared" si="299"/>
        <v>0</v>
      </c>
      <c r="BA102" s="635">
        <f t="shared" si="300"/>
        <v>0</v>
      </c>
      <c r="BB102" s="635">
        <f t="shared" si="301"/>
        <v>0</v>
      </c>
      <c r="BC102" s="639" cm="1">
        <f t="array" ref="BC102">IF($BB102&lt;=0,0,IF(BC$2=-1,0,INDEX(Premises!$A$32:$F$32,1,$CH102)/100))</f>
        <v>0</v>
      </c>
      <c r="BD102" s="631">
        <f t="shared" si="302"/>
        <v>0</v>
      </c>
      <c r="BE102" s="639" cm="1">
        <f t="array" ref="BE102">IF($BB102&lt;=0,0,IF(BE$2=-1,0,INDEX(Premises!$A$33:$F$33,1,$CH102)/100))</f>
        <v>0</v>
      </c>
      <c r="BF102" s="631">
        <f t="shared" si="303"/>
        <v>0</v>
      </c>
      <c r="BG102" s="639" cm="1">
        <f t="array" ref="BG102">IF($BB102&lt;=0,0,IF(BG$2=-1,0,INDEX(Premises!$A$31:$F$31,1,$CH102)/100))</f>
        <v>0</v>
      </c>
      <c r="BH102" s="631">
        <f t="shared" si="304"/>
        <v>0</v>
      </c>
      <c r="BI102" s="635">
        <f t="shared" si="305"/>
        <v>0</v>
      </c>
      <c r="BJ102" s="639" cm="1">
        <f t="array" ref="BJ102">IF($BB102&lt;=0,0,IF(BJ$2=-1,0,INDEX(Premises!$A$35:$F$35,1,$CH102)/100))</f>
        <v>0</v>
      </c>
      <c r="BK102" s="631">
        <f t="shared" si="306"/>
        <v>0</v>
      </c>
      <c r="BL102" s="639" cm="1">
        <f t="array" ref="BL102">IF($BB102&lt;=0,0,IF(BL$2=-1,0,INDEX(Premises!$A$36:$F$36,1,$CH102)/100))</f>
        <v>0</v>
      </c>
      <c r="BM102" s="631">
        <f t="shared" si="307"/>
        <v>0</v>
      </c>
      <c r="BN102" s="639" cm="1">
        <f t="array" ref="BN102">IF($BB102&lt;=0,0,IF(BN$2=-1,0,INDEX(Premises!$A$34:$F$34,1,$CH102)/100))</f>
        <v>0</v>
      </c>
      <c r="BO102" s="631">
        <f t="shared" si="308"/>
        <v>0</v>
      </c>
      <c r="BP102" s="639" cm="1">
        <f t="array" ref="BP102">IF($BI102=0,0,INDEX(Premises!$A$37:$F$37,1,$CH102)/100)</f>
        <v>0</v>
      </c>
      <c r="BQ102" s="409"/>
      <c r="BR102" s="631">
        <f t="shared" si="309"/>
        <v>0</v>
      </c>
      <c r="BS102" s="641">
        <f t="shared" si="310"/>
        <v>0</v>
      </c>
      <c r="BT102" s="641">
        <f t="shared" si="311"/>
        <v>0</v>
      </c>
      <c r="BU102" s="642">
        <f t="shared" si="312"/>
        <v>0</v>
      </c>
      <c r="BV102" s="1147"/>
      <c r="BW102" s="418"/>
      <c r="BX102" s="418"/>
      <c r="BY102" s="419"/>
      <c r="BZ102" s="968"/>
      <c r="CA102" s="280" cm="1">
        <f t="array" ref="CA102">IF($BZ102&gt;0,VALUE(LEFT($BZ102,IF(ISERROR(FIND("-",$BZ102)),LEN($BZ102),FIND("-",$BZ102)-1))),INDEX($CA$1:$CA102,MAX(1,$CD102)))</f>
        <v>1</v>
      </c>
      <c r="CB102" s="280" cm="1">
        <f t="array" ref="CB102">IF($BT102=0,0,IF(LEN($BZ102)-LEN(SUBSTITUTE($BZ102,"-",""))&gt;1,
VALUE(MID($BZ102,FIND("-",$BZ102)+1,FIND("-",$BZ102,FIND("-",$BZ102)+1)-FIND("-",$BZ102)-1)),IF($BZ102&gt;0,0,INDEX($CB$1:$CB102,MAX(1,$CD102)))))</f>
        <v>0</v>
      </c>
      <c r="CC102" s="280" cm="1">
        <f t="array" ref="CC102">IF($BT102=0,0,IF(NOT(ISERROR(FIND("-",BZ102))),
VALUE(RIGHT($BZ102,LEN($BZ102)-IF(LEN($BZ102)-LEN(SUBSTITUTE($BZ102,"-",""))=1,FIND("-",$BZ102),FIND("-",$BZ102,FIND("-",$BZ102)+1)))),
IF($BZ102&gt;0,0,INDEX($CC$1:$CC102,MAX(1,$CD102)))))</f>
        <v>0</v>
      </c>
      <c r="CD102" s="393">
        <f>MATCH(0,$CE$1:$CE102,-1)</f>
        <v>98</v>
      </c>
      <c r="CE102" s="280"/>
      <c r="CF102" s="394"/>
      <c r="CG102" s="393" cm="1">
        <f t="array" ref="CG102">INDEX($CG$1:$CG102,$CD102)</f>
        <v>11</v>
      </c>
      <c r="CH102" s="280">
        <f>MATCH($CA102,Premises!$A$10:$F$10,0)</f>
        <v>4</v>
      </c>
      <c r="CI102" s="280">
        <f>IF(ISBLANK($E102),0,IFERROR(MATCH($E102,MHR[Bezeichnung],0),0))</f>
        <v>0</v>
      </c>
      <c r="CJ102" s="394">
        <f>IF(ISBLANK($AQ102),0,IFERROR(MATCH($AQ102,MAT[Bezeichnung],0),0))</f>
        <v>0</v>
      </c>
      <c r="CK102" s="280" cm="1">
        <f t="array" ref="CK102">INDEX($D$1:$D102,$CD102)</f>
        <v>1</v>
      </c>
      <c r="CL102" s="280"/>
      <c r="CM102" s="395"/>
      <c r="CN102" s="396" cm="1">
        <f t="array" ref="CN102">IF($CB102=0,0,IF($CB102=INDEX($CB$1:$CB102,$CD102),INDEX($CN$1:$CN102,$CD102),$CP102))</f>
        <v>0</v>
      </c>
      <c r="CO102" s="395"/>
      <c r="CP102" s="396" cm="1">
        <f t="array" ref="CP102">IF($CC102=0,0,INDEX($CP$1:$CP102,$CD102))</f>
        <v>0</v>
      </c>
      <c r="CQ102" s="397"/>
      <c r="CR102" s="398"/>
      <c r="CS102" s="398"/>
      <c r="CT102" s="1152"/>
      <c r="CU102" s="1149"/>
      <c r="CV102" s="647">
        <f t="shared" si="313"/>
        <v>0</v>
      </c>
      <c r="CW102" s="648">
        <f t="shared" si="314"/>
        <v>0</v>
      </c>
      <c r="CX102" s="648">
        <f t="shared" si="315"/>
        <v>0</v>
      </c>
      <c r="CY102" s="648">
        <f t="shared" si="316"/>
        <v>0</v>
      </c>
      <c r="CZ102" s="648">
        <f t="shared" si="317"/>
        <v>0</v>
      </c>
      <c r="DA102" s="648">
        <f t="shared" si="318"/>
        <v>0</v>
      </c>
      <c r="DB102" s="648">
        <f t="shared" si="319"/>
        <v>0</v>
      </c>
      <c r="DC102" s="649">
        <f t="shared" si="320"/>
        <v>0</v>
      </c>
      <c r="DD102" s="648">
        <f t="shared" si="321"/>
        <v>0</v>
      </c>
      <c r="DE102" s="648">
        <f t="shared" si="322"/>
        <v>0</v>
      </c>
      <c r="DF102" s="648">
        <f t="shared" si="323"/>
        <v>0</v>
      </c>
      <c r="DG102" s="649">
        <f t="shared" si="324"/>
        <v>0</v>
      </c>
      <c r="DH102" s="649">
        <f t="shared" si="325"/>
        <v>0</v>
      </c>
      <c r="DI102" s="648">
        <f t="shared" si="326"/>
        <v>0</v>
      </c>
      <c r="DJ102" s="648">
        <f t="shared" si="327"/>
        <v>0</v>
      </c>
      <c r="DK102" s="648">
        <f t="shared" si="328"/>
        <v>0</v>
      </c>
      <c r="DL102" s="648">
        <f t="shared" si="329"/>
        <v>0</v>
      </c>
      <c r="DM102" s="648">
        <f t="shared" si="330"/>
        <v>0</v>
      </c>
      <c r="DN102" s="648">
        <f t="shared" si="331"/>
        <v>0</v>
      </c>
      <c r="DO102" s="648">
        <f t="shared" si="332"/>
        <v>0</v>
      </c>
      <c r="DP102" s="651">
        <f t="shared" si="333"/>
        <v>0</v>
      </c>
      <c r="DQ102" s="951">
        <f>IF($CB102=0,0,$DP102*_xlfn.XLOOKUP($CB102,Premises!$A$10:$F$10,Premises!$A$30:$F$30)/100)</f>
        <v>0</v>
      </c>
      <c r="DR102" s="650">
        <f>IFERROR(SUM($DP102:$DQ102)*IF(INDEX(Premises!$A$42:$F$42,1,MATCH($CB102,Premises!$A$10:$F$10,0))&gt;0,INDEX(Premises!$A$42:$F$42,1,MATCH($CB102,Premises!$A$10:$F$10,0))%,$CN102),0)</f>
        <v>0</v>
      </c>
      <c r="DS102" s="650" cm="1">
        <f t="array" ref="DS102">IF($CB102=0,0,SUM($DP102:$DR102)*_xlfn.XLOOKUP($CB102,Premises!$A$10:$F$10,IF(INDEX(Settings[],MATCH(3001,Settings[ID],0),2)="B",Premises!$A$33:$F$33,Premises!$A$31:$F$31))/100)</f>
        <v>0</v>
      </c>
      <c r="DT102" s="650" cm="1">
        <f t="array" ref="DT102">IF($CB102=0,0,$DP102*_xlfn.XLOOKUP($CB102,Premises!$A$10:$F$10,IF(INDEX(Settings[],MATCH(3002,Settings[ID],0),2)="B",Premises!$A$36:$F$36,Premises!$A$34:$F$34))/100)</f>
        <v>0</v>
      </c>
      <c r="DU102" s="650">
        <f>IF($CB102=0,0,SUM($DP102:$DT102)*_xlfn.XLOOKUP($CB102,Premises!$A$10:$F$10,Premises!$A$37:$F$37)/100)</f>
        <v>0</v>
      </c>
      <c r="DV102" s="954">
        <f t="shared" si="334"/>
        <v>0</v>
      </c>
      <c r="DW102" s="951">
        <f>IF($CC102=0,0,$DV102*_xlfn.XLOOKUP($CC102,Premises!$A$10:$F$10,Premises!$A$30:$F$30)/100)</f>
        <v>0</v>
      </c>
      <c r="DX102" s="650">
        <f>IFERROR(SUM($DV102:$DW102)*IF(INDEX(Premises!$A$42:$F$42,1,MATCH($CC102,Premises!$A$10:$F$10,0))&gt;0,INDEX(Premises!$A$42:$F$42,1,MATCH($CC102,Premises!$A$10:$F$10,0))%,$CP102),0)</f>
        <v>0</v>
      </c>
      <c r="DY102" s="650" cm="1">
        <f t="array" ref="DY102">IF($CC102=0,0,SUM($DV102:$DX102)*_xlfn.XLOOKUP($CC102,Premises!$A$10:$F$10,IF(INDEX(Settings[],MATCH(3001,Settings[ID],0),2)="B",Premises!$A$33:$F$33,Premises!$A$31:$F$31))/100)</f>
        <v>0</v>
      </c>
      <c r="DZ102" s="650" cm="1">
        <f t="array" ref="DZ102">IF($CC102=0,0,$DV102*_xlfn.XLOOKUP($CC102,Premises!$A$10:$F$10,IF(INDEX(Settings[],MATCH(3002,Settings[ID],0),2)="B",Premises!$A$36:$F$36,Premises!$A$34:$F$34))/100)</f>
        <v>0</v>
      </c>
      <c r="EA102" s="650">
        <f>IF($CC102=0,0,SUM($DV102:$DZ102)*_xlfn.XLOOKUP($CC102,Premises!$A$10:$F$10,Premises!$A$37:$F$37)/100)</f>
        <v>0</v>
      </c>
      <c r="EB102" s="651">
        <f t="shared" si="335"/>
        <v>0</v>
      </c>
      <c r="EC102" s="805"/>
      <c r="ED102" s="1104"/>
      <c r="EE102" s="650"/>
      <c r="EF102" s="1110"/>
      <c r="EG102" s="1108"/>
      <c r="EH102" s="1108"/>
      <c r="EI102" s="1108"/>
      <c r="EJ102" s="1108"/>
      <c r="EK102" s="1108"/>
      <c r="EL102" s="1108"/>
      <c r="EM102" s="1110"/>
      <c r="EN102" s="1108"/>
      <c r="EO102" s="1108"/>
      <c r="EP102" s="1108"/>
      <c r="EQ102" s="1108"/>
      <c r="ER102" s="1110"/>
      <c r="ES102" s="1108"/>
      <c r="ET102" s="1108"/>
      <c r="EU102" s="1108"/>
      <c r="EV102" s="1108"/>
      <c r="EW102" s="1108"/>
      <c r="EX102" s="1111"/>
      <c r="EY102" s="2"/>
      <c r="EZ102" s="2"/>
      <c r="FA102" s="2"/>
      <c r="FB102" s="2"/>
      <c r="FC102" s="2"/>
      <c r="FD102" s="2"/>
      <c r="FE102" s="2"/>
      <c r="FF102" s="2"/>
      <c r="FG102" s="2"/>
      <c r="FH102" s="2"/>
      <c r="FI102" s="2"/>
      <c r="FJ102" s="420"/>
      <c r="FK102" s="421"/>
      <c r="FL102" s="422"/>
      <c r="FM102" s="1153"/>
    </row>
    <row r="103" spans="1:169" s="13" customFormat="1" ht="12.75" customHeight="1">
      <c r="A103" s="221"/>
      <c r="B103" s="402" t="s">
        <v>4321</v>
      </c>
      <c r="C103" s="403"/>
      <c r="D103" s="646"/>
      <c r="E103" s="404" t="s">
        <v>4331</v>
      </c>
      <c r="F103" s="405">
        <f>4.79</f>
        <v>4.79</v>
      </c>
      <c r="G103" s="405" t="s">
        <v>93</v>
      </c>
      <c r="H103" s="405">
        <v>1</v>
      </c>
      <c r="I103" s="637" cm="1">
        <f t="array" ref="I103">IF($CI103=0,0,IFERROR(INDEX(MHR[],$CI103,MATCH($CA103,MHR!$B$4:$AY$4,0)),0))</f>
        <v>53.32486055555556</v>
      </c>
      <c r="J103" s="634">
        <f t="shared" si="288"/>
        <v>7.0951689461419762E-2</v>
      </c>
      <c r="K103" s="406" t="s">
        <v>49</v>
      </c>
      <c r="L103" s="407">
        <v>30</v>
      </c>
      <c r="M103" s="871">
        <v>3</v>
      </c>
      <c r="N103" s="407"/>
      <c r="O103" s="405"/>
      <c r="P103" s="645" cm="1">
        <f t="array" ref="P103">IF($K103=0,0,IFERROR(ROUNDUP(IF(ISNUMBER($K103),$K103,INDEX($D$1:$D103,$CD103)*INDEX(Premises!$A$13:$F$13,1,$CH103)/IF(OR($K103="T",$K103="D"),250,IF($K103="W",50,IF($K103="M",12,IF(OR($K103="HJ",$K103="HY"),2,IF(OR($K103="J",$K103="Y"),1,0)))))),0),0))</f>
        <v>3334</v>
      </c>
      <c r="Q103" s="637" cm="1">
        <f t="array" ref="Q103">IF($K103=0,0,IFERROR(INDEX(Premises!$A$22:$F$22,1,$CH103)*100/INDEX(Premises!$A$16:$F$16,1,$CH103),0))</f>
        <v>16.925000000000001</v>
      </c>
      <c r="R103" s="634">
        <f t="shared" si="289"/>
        <v>1.5611856711990937E-2</v>
      </c>
      <c r="S103" s="408">
        <v>1.5</v>
      </c>
      <c r="T103" s="409" t="s">
        <v>275</v>
      </c>
      <c r="U103" s="637" cm="1">
        <f t="array" ref="U103">IF(COUNTBLANK($S103:$T103),0,
IF(AND(INDEX(MHR[Schichtmodell],$CI103)&lt;&gt;0,INDEX(MHR[Schichtmodell],$CI103)&lt;&gt;INDEX(Premises!$A$20:$F$20,1,$CH103)),ExchangeRate*
IF(OR($T103="M",$T103="U"),IF(INDEX(MHR[Schichtmodell],$CI103)=1,INDEX(LOC[M1S],INDEX(Premises!$A$18:$F$18,1,$CH103+1)),IF(INDEX(MHR[Schichtmodell],$CI103)=2,INDEX(LOC[M2S],INDEX(Premises!$A$18:$F$18,1,$CH103+1),IF(INDEX(MHR[Schichtmodell],$CI103)=3,INDEX(LOC[M3S],INDEX(Premises!$A$18:$F$18,1,$CH103+1)),0)))),
IF(INDEX(MHR[Schichtmodell],$CI103)=1,INDEX(LOC[F1S],INDEX(Premises!$A$18:$F$18,1,$CH103+1)),IF(INDEX(MHR[Schichtmodell],$CI103)=2,INDEX(LOC[F2S],INDEX(Premises!$A$18:$F$18,1,$CH103+1)),IF(INDEX(MHR[Schichtmodell],$CI103)=3,INDEX(LOC[F3S],INDEX(Premises!$A$18:$F$18,1,$CH103+1)),0)))),
IF(OR($T103="M",$T103="U"),INDEX(Premises!$A$21:$F$21,1,$CH103),
IF(OR($T103="F",$T103="S"),INDEX(Premises!$A$22:$F$22,1,$CH103),0)))*100/INDEX(Premises!$A$16:$F$16,1,$CH103))</f>
        <v>12.037500000000001</v>
      </c>
      <c r="V103" s="631">
        <f t="shared" si="290"/>
        <v>2.4024843750000004E-2</v>
      </c>
      <c r="W103" s="410"/>
      <c r="X103" s="403"/>
      <c r="Y103" s="411"/>
      <c r="Z103" s="412"/>
      <c r="AA103" s="628">
        <f t="shared" si="291"/>
        <v>0</v>
      </c>
      <c r="AB103" s="410"/>
      <c r="AC103" s="403"/>
      <c r="AD103" s="411"/>
      <c r="AE103" s="413"/>
      <c r="AF103" s="628">
        <f t="shared" si="292"/>
        <v>0</v>
      </c>
      <c r="AG103" s="629" cm="1">
        <f t="array" ref="AG103">IF(($J103+$V103+$AF103)=0,0,INDEX(Premises!$A$30:$F$30,1,$CH103)/100)</f>
        <v>0.01</v>
      </c>
      <c r="AH103" s="414"/>
      <c r="AI103" s="415"/>
      <c r="AJ103" s="416"/>
      <c r="AK103" s="630">
        <f t="shared" si="293"/>
        <v>0</v>
      </c>
      <c r="AL103" s="631">
        <f t="shared" si="294"/>
        <v>9.4976533211419778E-4</v>
      </c>
      <c r="AM103" s="632" cm="1">
        <f t="array" ref="AM103">IF($CI103=0,0,IFERROR(INDEX(MHR[],$CI103,MATCH($CA103,MHR!$B$4:$AY$4,0)+11),0))</f>
        <v>10.405203261471994</v>
      </c>
      <c r="AN103" s="633" cm="1">
        <f t="array" ref="AN103">IF(($J103+$V103)=0,0,IFERROR(IF(INDEX(Premises!$A$41:$F$41,1,$CH103)&lt;&gt;0,INDEX(Premises!$A$41:$F$41,1,$CH103)/100,(IFERROR(($J103/$I103)*$AM103,0)/($V103+$J103+$R103+$AL103))),0))</f>
        <v>0.12412524641921194</v>
      </c>
      <c r="AO103" s="634">
        <f t="shared" si="295"/>
        <v>1.3844701006236347E-2</v>
      </c>
      <c r="AP103" s="635">
        <f t="shared" si="296"/>
        <v>0.12538285626176127</v>
      </c>
      <c r="AQ103" s="410"/>
      <c r="AR103" s="409"/>
      <c r="AS103" s="636" cm="1">
        <f t="array" ref="AS103">IF($CJ103=0,0,IFERROR(INDEX(MAT[Einheit],$CJ103,1),0))</f>
        <v>0</v>
      </c>
      <c r="AT103" s="637" cm="1">
        <f t="array" ref="AT103">IF($CJ103=0,0,IFERROR(INDEX(MAT[Preis],$CJ103,1),0))</f>
        <v>0</v>
      </c>
      <c r="AU103" s="638">
        <f t="shared" si="297"/>
        <v>0</v>
      </c>
      <c r="AV103" s="639" cm="1">
        <f t="array" ref="AV103">IF($AU103&lt;=0,0,INDEX(Premises!$A$30:$F$30,1,$CH103)/100)</f>
        <v>0</v>
      </c>
      <c r="AW103" s="409"/>
      <c r="AX103" s="631">
        <f t="shared" si="298"/>
        <v>0</v>
      </c>
      <c r="AY103" s="640" cm="1">
        <f t="array" ref="AY103">IF($AT103&lt;=0,0,IFERROR(IF(INDEX(Premises!$A$42:$F$42,1,$CH103)&lt;&gt;0,INDEX(Premises!$A$42:$F$42,1,$CH103)/100,(INDEX(MAT[],$CJ103,MATCH($CA103,MAT!$B$4:$AE$4,0))/($AR103*$CK103*INDEX(Premises!$A$13:$F$13,1,$CH103))+INDEX(MAT[],$CJ103,MATCH($CA103,MAT!$B$4:$AE$4,0)+7))/$AT103),0))</f>
        <v>0</v>
      </c>
      <c r="AZ103" s="631">
        <f t="shared" si="299"/>
        <v>0</v>
      </c>
      <c r="BA103" s="635">
        <f t="shared" si="300"/>
        <v>0</v>
      </c>
      <c r="BB103" s="635">
        <f t="shared" si="301"/>
        <v>0.12538285626176127</v>
      </c>
      <c r="BC103" s="639" cm="1">
        <f t="array" ref="BC103">IF($BB103&lt;=0,0,IF(BC$2=-1,0,INDEX(Premises!$A$32:$F$32,1,$CH103)/100))</f>
        <v>0</v>
      </c>
      <c r="BD103" s="631">
        <f t="shared" si="302"/>
        <v>0</v>
      </c>
      <c r="BE103" s="639" cm="1">
        <f t="array" ref="BE103">IF($BB103&lt;=0,0,IF(BE$2=-1,0,INDEX(Premises!$A$33:$F$33,1,$CH103)/100))</f>
        <v>0</v>
      </c>
      <c r="BF103" s="631">
        <f t="shared" si="303"/>
        <v>0</v>
      </c>
      <c r="BG103" s="639" cm="1">
        <f t="array" ref="BG103">IF($BB103&lt;=0,0,IF(BG$2=-1,0,INDEX(Premises!$A$31:$F$31,1,$CH103)/100))</f>
        <v>0.125</v>
      </c>
      <c r="BH103" s="631">
        <f t="shared" si="304"/>
        <v>1.5554136366205883E-2</v>
      </c>
      <c r="BI103" s="635">
        <f t="shared" si="305"/>
        <v>0.14093699262796716</v>
      </c>
      <c r="BJ103" s="639" cm="1">
        <f t="array" ref="BJ103">IF($BB103&lt;=0,0,IF(BJ$2=-1,0,INDEX(Premises!$A$35:$F$35,1,$CH103)/100))</f>
        <v>0</v>
      </c>
      <c r="BK103" s="631">
        <f t="shared" si="306"/>
        <v>0</v>
      </c>
      <c r="BL103" s="639" cm="1">
        <f t="array" ref="BL103">IF($BB103&lt;=0,0,IF(BL$2=-1,0,INDEX(Premises!$A$36:$F$36,1,$CH103)/100))</f>
        <v>0</v>
      </c>
      <c r="BM103" s="631">
        <f t="shared" si="307"/>
        <v>0</v>
      </c>
      <c r="BN103" s="639" cm="1">
        <f t="array" ref="BN103">IF($BB103&lt;=0,0,IF(BN$2=-1,0,INDEX(Premises!$A$34:$F$34,1,$CH103)/100))</f>
        <v>0.06</v>
      </c>
      <c r="BO103" s="631">
        <f t="shared" si="308"/>
        <v>7.4659854557788232E-3</v>
      </c>
      <c r="BP103" s="639" cm="1">
        <f t="array" ref="BP103">IF($BI103=0,0,INDEX(Premises!$A$37:$F$37,1,$CH103)/100)</f>
        <v>0</v>
      </c>
      <c r="BQ103" s="409"/>
      <c r="BR103" s="631">
        <f t="shared" si="309"/>
        <v>0</v>
      </c>
      <c r="BS103" s="641">
        <f t="shared" si="310"/>
        <v>0.14840297808374597</v>
      </c>
      <c r="BT103" s="641">
        <f t="shared" si="311"/>
        <v>0.14840297808374597</v>
      </c>
      <c r="BU103" s="642">
        <f t="shared" si="312"/>
        <v>1</v>
      </c>
      <c r="BV103" s="1147"/>
      <c r="BW103" s="418"/>
      <c r="BX103" s="418"/>
      <c r="BY103" s="419"/>
      <c r="BZ103" s="968"/>
      <c r="CA103" s="280" cm="1">
        <f t="array" ref="CA103">IF($BZ103&gt;0,VALUE(LEFT($BZ103,IF(ISERROR(FIND("-",$BZ103)),LEN($BZ103),FIND("-",$BZ103)-1))),INDEX($CA$1:$CA103,MAX(1,$CD103)))</f>
        <v>1</v>
      </c>
      <c r="CB103" s="280" cm="1">
        <f t="array" ref="CB103">IF($BT103=0,0,IF(LEN($BZ103)-LEN(SUBSTITUTE($BZ103,"-",""))&gt;1,
VALUE(MID($BZ103,FIND("-",$BZ103)+1,FIND("-",$BZ103,FIND("-",$BZ103)+1)-FIND("-",$BZ103)-1)),IF($BZ103&gt;0,0,INDEX($CB$1:$CB103,MAX(1,$CD103)))))</f>
        <v>0</v>
      </c>
      <c r="CC103" s="280" cm="1">
        <f t="array" ref="CC103">IF($BT103=0,0,IF(NOT(ISERROR(FIND("-",BZ103))),
VALUE(RIGHT($BZ103,LEN($BZ103)-IF(LEN($BZ103)-LEN(SUBSTITUTE($BZ103,"-",""))=1,FIND("-",$BZ103),FIND("-",$BZ103,FIND("-",$BZ103)+1)))),
IF($BZ103&gt;0,0,INDEX($CC$1:$CC103,MAX(1,$CD103)))))</f>
        <v>0</v>
      </c>
      <c r="CD103" s="393">
        <f>MATCH(0,$CE$1:$CE103,-1)</f>
        <v>98</v>
      </c>
      <c r="CE103" s="280"/>
      <c r="CF103" s="394"/>
      <c r="CG103" s="393" cm="1">
        <f t="array" ref="CG103">INDEX($CG$1:$CG103,$CD103)</f>
        <v>11</v>
      </c>
      <c r="CH103" s="280">
        <f>MATCH($CA103,Premises!$A$10:$F$10,0)</f>
        <v>4</v>
      </c>
      <c r="CI103" s="280">
        <f>IF(ISBLANK($E103),0,IFERROR(MATCH($E103,MHR[Bezeichnung],0),0))</f>
        <v>4</v>
      </c>
      <c r="CJ103" s="394">
        <f>IF(ISBLANK($AQ103),0,IFERROR(MATCH($AQ103,MAT[Bezeichnung],0),0))</f>
        <v>0</v>
      </c>
      <c r="CK103" s="280" cm="1">
        <f t="array" ref="CK103">INDEX($D$1:$D103,$CD103)</f>
        <v>1</v>
      </c>
      <c r="CL103" s="280"/>
      <c r="CM103" s="395"/>
      <c r="CN103" s="396" cm="1">
        <f t="array" ref="CN103">IF($CB103=0,0,IF($CB103=INDEX($CB$1:$CB103,$CD103),INDEX($CN$1:$CN103,$CD103),$CP103))</f>
        <v>0</v>
      </c>
      <c r="CO103" s="395"/>
      <c r="CP103" s="396" cm="1">
        <f t="array" ref="CP103">IF($CC103=0,0,INDEX($CP$1:$CP103,$CD103))</f>
        <v>0</v>
      </c>
      <c r="CQ103" s="397"/>
      <c r="CR103" s="398"/>
      <c r="CS103" s="398"/>
      <c r="CT103" s="1152"/>
      <c r="CU103" s="1149"/>
      <c r="CV103" s="647">
        <f t="shared" si="313"/>
        <v>7.0951689461419762E-2</v>
      </c>
      <c r="CW103" s="648">
        <f t="shared" si="314"/>
        <v>1.5611856711990937E-2</v>
      </c>
      <c r="CX103" s="648">
        <f t="shared" si="315"/>
        <v>2.4024843750000004E-2</v>
      </c>
      <c r="CY103" s="648">
        <f t="shared" si="316"/>
        <v>0</v>
      </c>
      <c r="CZ103" s="648">
        <f t="shared" si="317"/>
        <v>0</v>
      </c>
      <c r="DA103" s="648">
        <f t="shared" si="318"/>
        <v>9.4976533211419778E-4</v>
      </c>
      <c r="DB103" s="648">
        <f t="shared" si="319"/>
        <v>1.3844701006236347E-2</v>
      </c>
      <c r="DC103" s="649">
        <f t="shared" si="320"/>
        <v>0.12538285626176127</v>
      </c>
      <c r="DD103" s="648">
        <f t="shared" si="321"/>
        <v>0</v>
      </c>
      <c r="DE103" s="648">
        <f t="shared" si="322"/>
        <v>0</v>
      </c>
      <c r="DF103" s="648">
        <f t="shared" si="323"/>
        <v>0</v>
      </c>
      <c r="DG103" s="649">
        <f t="shared" si="324"/>
        <v>0</v>
      </c>
      <c r="DH103" s="649">
        <f t="shared" si="325"/>
        <v>0.12538285626176127</v>
      </c>
      <c r="DI103" s="648">
        <f t="shared" si="326"/>
        <v>0</v>
      </c>
      <c r="DJ103" s="648">
        <f t="shared" si="327"/>
        <v>0</v>
      </c>
      <c r="DK103" s="648">
        <f t="shared" si="328"/>
        <v>1.5554136366205883E-2</v>
      </c>
      <c r="DL103" s="648">
        <f t="shared" si="329"/>
        <v>0</v>
      </c>
      <c r="DM103" s="648">
        <f t="shared" si="330"/>
        <v>0</v>
      </c>
      <c r="DN103" s="648">
        <f t="shared" si="331"/>
        <v>7.4659854557788232E-3</v>
      </c>
      <c r="DO103" s="648">
        <f t="shared" si="332"/>
        <v>0</v>
      </c>
      <c r="DP103" s="651">
        <f t="shared" si="333"/>
        <v>0.14840297808374597</v>
      </c>
      <c r="DQ103" s="951">
        <f>IF($CB103=0,0,$DP103*_xlfn.XLOOKUP($CB103,Premises!$A$10:$F$10,Premises!$A$30:$F$30)/100)</f>
        <v>0</v>
      </c>
      <c r="DR103" s="650">
        <f>IFERROR(SUM($DP103:$DQ103)*IF(INDEX(Premises!$A$42:$F$42,1,MATCH($CB103,Premises!$A$10:$F$10,0))&gt;0,INDEX(Premises!$A$42:$F$42,1,MATCH($CB103,Premises!$A$10:$F$10,0))%,$CN103),0)</f>
        <v>0</v>
      </c>
      <c r="DS103" s="650" cm="1">
        <f t="array" ref="DS103">IF($CB103=0,0,SUM($DP103:$DR103)*_xlfn.XLOOKUP($CB103,Premises!$A$10:$F$10,IF(INDEX(Settings[],MATCH(3001,Settings[ID],0),2)="B",Premises!$A$33:$F$33,Premises!$A$31:$F$31))/100)</f>
        <v>0</v>
      </c>
      <c r="DT103" s="650" cm="1">
        <f t="array" ref="DT103">IF($CB103=0,0,$DP103*_xlfn.XLOOKUP($CB103,Premises!$A$10:$F$10,IF(INDEX(Settings[],MATCH(3002,Settings[ID],0),2)="B",Premises!$A$36:$F$36,Premises!$A$34:$F$34))/100)</f>
        <v>0</v>
      </c>
      <c r="DU103" s="650">
        <f>IF($CB103=0,0,SUM($DP103:$DT103)*_xlfn.XLOOKUP($CB103,Premises!$A$10:$F$10,Premises!$A$37:$F$37)/100)</f>
        <v>0</v>
      </c>
      <c r="DV103" s="954">
        <f t="shared" si="334"/>
        <v>0.14840297808374597</v>
      </c>
      <c r="DW103" s="951">
        <f>IF($CC103=0,0,$DV103*_xlfn.XLOOKUP($CC103,Premises!$A$10:$F$10,Premises!$A$30:$F$30)/100)</f>
        <v>0</v>
      </c>
      <c r="DX103" s="650">
        <f>IFERROR(SUM($DV103:$DW103)*IF(INDEX(Premises!$A$42:$F$42,1,MATCH($CC103,Premises!$A$10:$F$10,0))&gt;0,INDEX(Premises!$A$42:$F$42,1,MATCH($CC103,Premises!$A$10:$F$10,0))%,$CP103),0)</f>
        <v>0</v>
      </c>
      <c r="DY103" s="650" cm="1">
        <f t="array" ref="DY103">IF($CC103=0,0,SUM($DV103:$DX103)*_xlfn.XLOOKUP($CC103,Premises!$A$10:$F$10,IF(INDEX(Settings[],MATCH(3001,Settings[ID],0),2)="B",Premises!$A$33:$F$33,Premises!$A$31:$F$31))/100)</f>
        <v>0</v>
      </c>
      <c r="DZ103" s="650" cm="1">
        <f t="array" ref="DZ103">IF($CC103=0,0,$DV103*_xlfn.XLOOKUP($CC103,Premises!$A$10:$F$10,IF(INDEX(Settings[],MATCH(3002,Settings[ID],0),2)="B",Premises!$A$36:$F$36,Premises!$A$34:$F$34))/100)</f>
        <v>0</v>
      </c>
      <c r="EA103" s="650">
        <f>IF($CC103=0,0,SUM($DV103:$DZ103)*_xlfn.XLOOKUP($CC103,Premises!$A$10:$F$10,Premises!$A$37:$F$37)/100)</f>
        <v>0</v>
      </c>
      <c r="EB103" s="651">
        <f t="shared" si="335"/>
        <v>0.14840297808374597</v>
      </c>
      <c r="EC103" s="805"/>
      <c r="ED103" s="1104"/>
      <c r="EE103" s="650"/>
      <c r="EF103" s="1110"/>
      <c r="EG103" s="1108"/>
      <c r="EH103" s="1108"/>
      <c r="EI103" s="1108"/>
      <c r="EJ103" s="1108"/>
      <c r="EK103" s="1108"/>
      <c r="EL103" s="1108"/>
      <c r="EM103" s="1110"/>
      <c r="EN103" s="1108"/>
      <c r="EO103" s="1108"/>
      <c r="EP103" s="1108"/>
      <c r="EQ103" s="1108"/>
      <c r="ER103" s="1110"/>
      <c r="ES103" s="1108"/>
      <c r="ET103" s="1108"/>
      <c r="EU103" s="1108"/>
      <c r="EV103" s="1108"/>
      <c r="EW103" s="1108"/>
      <c r="EX103" s="1111"/>
      <c r="EY103" s="2"/>
      <c r="EZ103" s="2"/>
      <c r="FA103" s="2"/>
      <c r="FB103" s="2"/>
      <c r="FC103" s="2"/>
      <c r="FD103" s="2"/>
      <c r="FE103" s="2"/>
      <c r="FF103" s="2"/>
      <c r="FG103" s="2"/>
      <c r="FH103" s="2"/>
      <c r="FI103" s="2"/>
      <c r="FJ103" s="420"/>
      <c r="FK103" s="421"/>
      <c r="FL103" s="422"/>
      <c r="FM103" s="1153"/>
    </row>
    <row r="104" spans="1:169" s="13" customFormat="1" ht="12.75" customHeight="1">
      <c r="A104" s="221"/>
      <c r="B104" s="402"/>
      <c r="C104" s="403"/>
      <c r="D104" s="646"/>
      <c r="E104" s="404"/>
      <c r="F104" s="405"/>
      <c r="G104" s="405"/>
      <c r="H104" s="405"/>
      <c r="I104" s="637" cm="1">
        <f t="array" ref="I104">IF($CI104=0,0,IFERROR(INDEX(MHR[],$CI104,MATCH($CA104,MHR!$B$4:$AY$4,0)),0))</f>
        <v>0</v>
      </c>
      <c r="J104" s="634">
        <f t="shared" si="288"/>
        <v>0</v>
      </c>
      <c r="K104" s="406"/>
      <c r="L104" s="407"/>
      <c r="M104" s="871"/>
      <c r="N104" s="407"/>
      <c r="O104" s="405"/>
      <c r="P104" s="645" cm="1">
        <f t="array" ref="P104">IF($K104=0,0,IFERROR(ROUNDUP(IF(ISNUMBER($K104),$K104,INDEX($D$1:$D104,$CD104)*INDEX(Premises!$A$13:$F$13,1,$CH104)/IF(OR($K104="T",$K104="D"),250,IF($K104="W",50,IF($K104="M",12,IF(OR($K104="HJ",$K104="HY"),2,IF(OR($K104="J",$K104="Y"),1,0)))))),0),0))</f>
        <v>0</v>
      </c>
      <c r="Q104" s="637" cm="1">
        <f t="array" ref="Q104">IF($K104=0,0,IFERROR(INDEX(Premises!$A$22:$F$22,1,$CH104)*100/INDEX(Premises!$A$16:$F$16,1,$CH104),0))</f>
        <v>0</v>
      </c>
      <c r="R104" s="634">
        <f t="shared" si="289"/>
        <v>0</v>
      </c>
      <c r="S104" s="408"/>
      <c r="T104" s="409"/>
      <c r="U104" s="637" cm="1">
        <f t="array" ref="U104">IF(COUNTBLANK($S104:$T104),0,
IF(AND(INDEX(MHR[Schichtmodell],$CI104)&lt;&gt;0,INDEX(MHR[Schichtmodell],$CI104)&lt;&gt;INDEX(Premises!$A$20:$F$20,1,$CH104)),ExchangeRate*
IF(OR($T104="M",$T104="U"),IF(INDEX(MHR[Schichtmodell],$CI104)=1,INDEX(LOC[M1S],INDEX(Premises!$A$18:$F$18,1,$CH104+1)),IF(INDEX(MHR[Schichtmodell],$CI104)=2,INDEX(LOC[M2S],INDEX(Premises!$A$18:$F$18,1,$CH104+1),IF(INDEX(MHR[Schichtmodell],$CI104)=3,INDEX(LOC[M3S],INDEX(Premises!$A$18:$F$18,1,$CH104+1)),0)))),
IF(INDEX(MHR[Schichtmodell],$CI104)=1,INDEX(LOC[F1S],INDEX(Premises!$A$18:$F$18,1,$CH104+1)),IF(INDEX(MHR[Schichtmodell],$CI104)=2,INDEX(LOC[F2S],INDEX(Premises!$A$18:$F$18,1,$CH104+1)),IF(INDEX(MHR[Schichtmodell],$CI104)=3,INDEX(LOC[F3S],INDEX(Premises!$A$18:$F$18,1,$CH104+1)),0)))),
IF(OR($T104="M",$T104="U"),INDEX(Premises!$A$21:$F$21,1,$CH104),
IF(OR($T104="F",$T104="S"),INDEX(Premises!$A$22:$F$22,1,$CH104),0)))*100/INDEX(Premises!$A$16:$F$16,1,$CH104))</f>
        <v>0</v>
      </c>
      <c r="V104" s="631">
        <f t="shared" si="290"/>
        <v>0</v>
      </c>
      <c r="W104" s="410"/>
      <c r="X104" s="403"/>
      <c r="Y104" s="411"/>
      <c r="Z104" s="412"/>
      <c r="AA104" s="628">
        <f t="shared" si="291"/>
        <v>0</v>
      </c>
      <c r="AB104" s="410"/>
      <c r="AC104" s="403"/>
      <c r="AD104" s="411"/>
      <c r="AE104" s="413"/>
      <c r="AF104" s="628">
        <f t="shared" si="292"/>
        <v>0</v>
      </c>
      <c r="AG104" s="629" cm="1">
        <f t="array" ref="AG104">IF(($J104+$V104+$AF104)=0,0,INDEX(Premises!$A$30:$F$30,1,$CH104)/100)</f>
        <v>0</v>
      </c>
      <c r="AH104" s="414"/>
      <c r="AI104" s="415"/>
      <c r="AJ104" s="416"/>
      <c r="AK104" s="630">
        <f t="shared" si="293"/>
        <v>0</v>
      </c>
      <c r="AL104" s="631">
        <f t="shared" si="294"/>
        <v>0</v>
      </c>
      <c r="AM104" s="632" cm="1">
        <f t="array" ref="AM104">IF($CI104=0,0,IFERROR(INDEX(MHR[],$CI104,MATCH($CA104,MHR!$B$4:$AY$4,0)+11),0))</f>
        <v>0</v>
      </c>
      <c r="AN104" s="633" cm="1">
        <f t="array" ref="AN104">IF(($J104+$V104)=0,0,IFERROR(IF(INDEX(Premises!$A$41:$F$41,1,$CH104)&lt;&gt;0,INDEX(Premises!$A$41:$F$41,1,$CH104)/100,(IFERROR(($J104/$I104)*$AM104,0)/($V104+$J104+$R104+$AL104))),0))</f>
        <v>0</v>
      </c>
      <c r="AO104" s="634">
        <f t="shared" si="295"/>
        <v>0</v>
      </c>
      <c r="AP104" s="635">
        <f t="shared" si="296"/>
        <v>0</v>
      </c>
      <c r="AQ104" s="410"/>
      <c r="AR104" s="409"/>
      <c r="AS104" s="636" cm="1">
        <f t="array" ref="AS104">IF($CJ104=0,0,IFERROR(INDEX(MAT[Einheit],$CJ104,1),0))</f>
        <v>0</v>
      </c>
      <c r="AT104" s="637" cm="1">
        <f t="array" ref="AT104">IF($CJ104=0,0,IFERROR(INDEX(MAT[Preis],$CJ104,1),0))</f>
        <v>0</v>
      </c>
      <c r="AU104" s="638">
        <f t="shared" si="297"/>
        <v>0</v>
      </c>
      <c r="AV104" s="639" cm="1">
        <f t="array" ref="AV104">IF($AU104&lt;=0,0,INDEX(Premises!$A$30:$F$30,1,$CH104)/100)</f>
        <v>0</v>
      </c>
      <c r="AW104" s="409"/>
      <c r="AX104" s="631">
        <f t="shared" si="298"/>
        <v>0</v>
      </c>
      <c r="AY104" s="640" cm="1">
        <f t="array" ref="AY104">IF($AT104&lt;=0,0,IFERROR(IF(INDEX(Premises!$A$42:$F$42,1,$CH104)&lt;&gt;0,INDEX(Premises!$A$42:$F$42,1,$CH104)/100,(INDEX(MAT[],$CJ104,MATCH($CA104,MAT!$B$4:$AE$4,0))/($AR104*$CK104*INDEX(Premises!$A$13:$F$13,1,$CH104))+INDEX(MAT[],$CJ104,MATCH($CA104,MAT!$B$4:$AE$4,0)+7))/$AT104),0))</f>
        <v>0</v>
      </c>
      <c r="AZ104" s="631">
        <f t="shared" si="299"/>
        <v>0</v>
      </c>
      <c r="BA104" s="635">
        <f t="shared" si="300"/>
        <v>0</v>
      </c>
      <c r="BB104" s="635">
        <f t="shared" si="301"/>
        <v>0</v>
      </c>
      <c r="BC104" s="639" cm="1">
        <f t="array" ref="BC104">IF($BB104&lt;=0,0,IF(BC$2=-1,0,INDEX(Premises!$A$32:$F$32,1,$CH104)/100))</f>
        <v>0</v>
      </c>
      <c r="BD104" s="631">
        <f t="shared" si="302"/>
        <v>0</v>
      </c>
      <c r="BE104" s="639" cm="1">
        <f t="array" ref="BE104">IF($BB104&lt;=0,0,IF(BE$2=-1,0,INDEX(Premises!$A$33:$F$33,1,$CH104)/100))</f>
        <v>0</v>
      </c>
      <c r="BF104" s="631">
        <f t="shared" si="303"/>
        <v>0</v>
      </c>
      <c r="BG104" s="639" cm="1">
        <f t="array" ref="BG104">IF($BB104&lt;=0,0,IF(BG$2=-1,0,INDEX(Premises!$A$31:$F$31,1,$CH104)/100))</f>
        <v>0</v>
      </c>
      <c r="BH104" s="631">
        <f t="shared" si="304"/>
        <v>0</v>
      </c>
      <c r="BI104" s="635">
        <f t="shared" si="305"/>
        <v>0</v>
      </c>
      <c r="BJ104" s="639" cm="1">
        <f t="array" ref="BJ104">IF($BB104&lt;=0,0,IF(BJ$2=-1,0,INDEX(Premises!$A$35:$F$35,1,$CH104)/100))</f>
        <v>0</v>
      </c>
      <c r="BK104" s="631">
        <f t="shared" si="306"/>
        <v>0</v>
      </c>
      <c r="BL104" s="639" cm="1">
        <f t="array" ref="BL104">IF($BB104&lt;=0,0,IF(BL$2=-1,0,INDEX(Premises!$A$36:$F$36,1,$CH104)/100))</f>
        <v>0</v>
      </c>
      <c r="BM104" s="631">
        <f t="shared" si="307"/>
        <v>0</v>
      </c>
      <c r="BN104" s="639" cm="1">
        <f t="array" ref="BN104">IF($BB104&lt;=0,0,IF(BN$2=-1,0,INDEX(Premises!$A$34:$F$34,1,$CH104)/100))</f>
        <v>0</v>
      </c>
      <c r="BO104" s="631">
        <f t="shared" si="308"/>
        <v>0</v>
      </c>
      <c r="BP104" s="639" cm="1">
        <f t="array" ref="BP104">IF($BI104=0,0,INDEX(Premises!$A$37:$F$37,1,$CH104)/100)</f>
        <v>0</v>
      </c>
      <c r="BQ104" s="409"/>
      <c r="BR104" s="631">
        <f t="shared" si="309"/>
        <v>0</v>
      </c>
      <c r="BS104" s="641">
        <f t="shared" si="310"/>
        <v>0</v>
      </c>
      <c r="BT104" s="641">
        <f t="shared" si="311"/>
        <v>0</v>
      </c>
      <c r="BU104" s="642">
        <f t="shared" si="312"/>
        <v>0</v>
      </c>
      <c r="BV104" s="1147"/>
      <c r="BW104" s="418"/>
      <c r="BX104" s="418"/>
      <c r="BY104" s="419"/>
      <c r="BZ104" s="968"/>
      <c r="CA104" s="280" cm="1">
        <f t="array" ref="CA104">IF($BZ104&gt;0,VALUE(LEFT($BZ104,IF(ISERROR(FIND("-",$BZ104)),LEN($BZ104),FIND("-",$BZ104)-1))),INDEX($CA$1:$CA104,MAX(1,$CD104)))</f>
        <v>1</v>
      </c>
      <c r="CB104" s="280" cm="1">
        <f t="array" ref="CB104">IF($BT104=0,0,IF(LEN($BZ104)-LEN(SUBSTITUTE($BZ104,"-",""))&gt;1,
VALUE(MID($BZ104,FIND("-",$BZ104)+1,FIND("-",$BZ104,FIND("-",$BZ104)+1)-FIND("-",$BZ104)-1)),IF($BZ104&gt;0,0,INDEX($CB$1:$CB104,MAX(1,$CD104)))))</f>
        <v>0</v>
      </c>
      <c r="CC104" s="280" cm="1">
        <f t="array" ref="CC104">IF($BT104=0,0,IF(NOT(ISERROR(FIND("-",BZ104))),
VALUE(RIGHT($BZ104,LEN($BZ104)-IF(LEN($BZ104)-LEN(SUBSTITUTE($BZ104,"-",""))=1,FIND("-",$BZ104),FIND("-",$BZ104,FIND("-",$BZ104)+1)))),
IF($BZ104&gt;0,0,INDEX($CC$1:$CC104,MAX(1,$CD104)))))</f>
        <v>0</v>
      </c>
      <c r="CD104" s="393">
        <f>MATCH(0,$CE$1:$CE104,-1)</f>
        <v>98</v>
      </c>
      <c r="CE104" s="280"/>
      <c r="CF104" s="394"/>
      <c r="CG104" s="393" cm="1">
        <f t="array" ref="CG104">INDEX($CG$1:$CG104,$CD104)</f>
        <v>11</v>
      </c>
      <c r="CH104" s="280">
        <f>MATCH($CA104,Premises!$A$10:$F$10,0)</f>
        <v>4</v>
      </c>
      <c r="CI104" s="280">
        <f>IF(ISBLANK($E104),0,IFERROR(MATCH($E104,MHR[Bezeichnung],0),0))</f>
        <v>0</v>
      </c>
      <c r="CJ104" s="394">
        <f>IF(ISBLANK($AQ104),0,IFERROR(MATCH($AQ104,MAT[Bezeichnung],0),0))</f>
        <v>0</v>
      </c>
      <c r="CK104" s="280" cm="1">
        <f t="array" ref="CK104">INDEX($D$1:$D104,$CD104)</f>
        <v>1</v>
      </c>
      <c r="CL104" s="280"/>
      <c r="CM104" s="395"/>
      <c r="CN104" s="396" cm="1">
        <f t="array" ref="CN104">IF($CB104=0,0,IF($CB104=INDEX($CB$1:$CB104,$CD104),INDEX($CN$1:$CN104,$CD104),$CP104))</f>
        <v>0</v>
      </c>
      <c r="CO104" s="395"/>
      <c r="CP104" s="396" cm="1">
        <f t="array" ref="CP104">IF($CC104=0,0,INDEX($CP$1:$CP104,$CD104))</f>
        <v>0</v>
      </c>
      <c r="CQ104" s="397"/>
      <c r="CR104" s="398"/>
      <c r="CS104" s="398"/>
      <c r="CT104" s="1152"/>
      <c r="CU104" s="1149"/>
      <c r="CV104" s="647">
        <f t="shared" si="313"/>
        <v>0</v>
      </c>
      <c r="CW104" s="648">
        <f t="shared" si="314"/>
        <v>0</v>
      </c>
      <c r="CX104" s="648">
        <f t="shared" si="315"/>
        <v>0</v>
      </c>
      <c r="CY104" s="648">
        <f t="shared" si="316"/>
        <v>0</v>
      </c>
      <c r="CZ104" s="648">
        <f t="shared" si="317"/>
        <v>0</v>
      </c>
      <c r="DA104" s="648">
        <f t="shared" si="318"/>
        <v>0</v>
      </c>
      <c r="DB104" s="648">
        <f t="shared" si="319"/>
        <v>0</v>
      </c>
      <c r="DC104" s="649">
        <f t="shared" si="320"/>
        <v>0</v>
      </c>
      <c r="DD104" s="648">
        <f t="shared" si="321"/>
        <v>0</v>
      </c>
      <c r="DE104" s="648">
        <f t="shared" si="322"/>
        <v>0</v>
      </c>
      <c r="DF104" s="648">
        <f t="shared" si="323"/>
        <v>0</v>
      </c>
      <c r="DG104" s="649">
        <f t="shared" si="324"/>
        <v>0</v>
      </c>
      <c r="DH104" s="649">
        <f t="shared" si="325"/>
        <v>0</v>
      </c>
      <c r="DI104" s="648">
        <f t="shared" si="326"/>
        <v>0</v>
      </c>
      <c r="DJ104" s="648">
        <f t="shared" si="327"/>
        <v>0</v>
      </c>
      <c r="DK104" s="648">
        <f t="shared" si="328"/>
        <v>0</v>
      </c>
      <c r="DL104" s="648">
        <f t="shared" si="329"/>
        <v>0</v>
      </c>
      <c r="DM104" s="648">
        <f t="shared" si="330"/>
        <v>0</v>
      </c>
      <c r="DN104" s="648">
        <f t="shared" si="331"/>
        <v>0</v>
      </c>
      <c r="DO104" s="648">
        <f t="shared" si="332"/>
        <v>0</v>
      </c>
      <c r="DP104" s="651">
        <f t="shared" si="333"/>
        <v>0</v>
      </c>
      <c r="DQ104" s="951">
        <f>IF($CB104=0,0,$DP104*_xlfn.XLOOKUP($CB104,Premises!$A$10:$F$10,Premises!$A$30:$F$30)/100)</f>
        <v>0</v>
      </c>
      <c r="DR104" s="650">
        <f>IFERROR(SUM($DP104:$DQ104)*IF(INDEX(Premises!$A$42:$F$42,1,MATCH($CB104,Premises!$A$10:$F$10,0))&gt;0,INDEX(Premises!$A$42:$F$42,1,MATCH($CB104,Premises!$A$10:$F$10,0))%,$CN104),0)</f>
        <v>0</v>
      </c>
      <c r="DS104" s="650" cm="1">
        <f t="array" ref="DS104">IF($CB104=0,0,SUM($DP104:$DR104)*_xlfn.XLOOKUP($CB104,Premises!$A$10:$F$10,IF(INDEX(Settings[],MATCH(3001,Settings[ID],0),2)="B",Premises!$A$33:$F$33,Premises!$A$31:$F$31))/100)</f>
        <v>0</v>
      </c>
      <c r="DT104" s="650" cm="1">
        <f t="array" ref="DT104">IF($CB104=0,0,$DP104*_xlfn.XLOOKUP($CB104,Premises!$A$10:$F$10,IF(INDEX(Settings[],MATCH(3002,Settings[ID],0),2)="B",Premises!$A$36:$F$36,Premises!$A$34:$F$34))/100)</f>
        <v>0</v>
      </c>
      <c r="DU104" s="650">
        <f>IF($CB104=0,0,SUM($DP104:$DT104)*_xlfn.XLOOKUP($CB104,Premises!$A$10:$F$10,Premises!$A$37:$F$37)/100)</f>
        <v>0</v>
      </c>
      <c r="DV104" s="954">
        <f t="shared" si="334"/>
        <v>0</v>
      </c>
      <c r="DW104" s="951">
        <f>IF($CC104=0,0,$DV104*_xlfn.XLOOKUP($CC104,Premises!$A$10:$F$10,Premises!$A$30:$F$30)/100)</f>
        <v>0</v>
      </c>
      <c r="DX104" s="650">
        <f>IFERROR(SUM($DV104:$DW104)*IF(INDEX(Premises!$A$42:$F$42,1,MATCH($CC104,Premises!$A$10:$F$10,0))&gt;0,INDEX(Premises!$A$42:$F$42,1,MATCH($CC104,Premises!$A$10:$F$10,0))%,$CP104),0)</f>
        <v>0</v>
      </c>
      <c r="DY104" s="650" cm="1">
        <f t="array" ref="DY104">IF($CC104=0,0,SUM($DV104:$DX104)*_xlfn.XLOOKUP($CC104,Premises!$A$10:$F$10,IF(INDEX(Settings[],MATCH(3001,Settings[ID],0),2)="B",Premises!$A$33:$F$33,Premises!$A$31:$F$31))/100)</f>
        <v>0</v>
      </c>
      <c r="DZ104" s="650" cm="1">
        <f t="array" ref="DZ104">IF($CC104=0,0,$DV104*_xlfn.XLOOKUP($CC104,Premises!$A$10:$F$10,IF(INDEX(Settings[],MATCH(3002,Settings[ID],0),2)="B",Premises!$A$36:$F$36,Premises!$A$34:$F$34))/100)</f>
        <v>0</v>
      </c>
      <c r="EA104" s="650">
        <f>IF($CC104=0,0,SUM($DV104:$DZ104)*_xlfn.XLOOKUP($CC104,Premises!$A$10:$F$10,Premises!$A$37:$F$37)/100)</f>
        <v>0</v>
      </c>
      <c r="EB104" s="651">
        <f t="shared" si="335"/>
        <v>0</v>
      </c>
      <c r="EC104" s="805"/>
      <c r="ED104" s="1104"/>
      <c r="EE104" s="650"/>
      <c r="EF104" s="1110"/>
      <c r="EG104" s="1108"/>
      <c r="EH104" s="1108"/>
      <c r="EI104" s="1108"/>
      <c r="EJ104" s="1108"/>
      <c r="EK104" s="1108"/>
      <c r="EL104" s="1108"/>
      <c r="EM104" s="1110"/>
      <c r="EN104" s="1108"/>
      <c r="EO104" s="1108"/>
      <c r="EP104" s="1108"/>
      <c r="EQ104" s="1108"/>
      <c r="ER104" s="1110"/>
      <c r="ES104" s="1108"/>
      <c r="ET104" s="1108"/>
      <c r="EU104" s="1108"/>
      <c r="EV104" s="1108"/>
      <c r="EW104" s="1108"/>
      <c r="EX104" s="1111"/>
      <c r="EY104" s="2"/>
      <c r="EZ104" s="2"/>
      <c r="FA104" s="2"/>
      <c r="FB104" s="2"/>
      <c r="FC104" s="2"/>
      <c r="FD104" s="2"/>
      <c r="FE104" s="2"/>
      <c r="FF104" s="2"/>
      <c r="FG104" s="2"/>
      <c r="FH104" s="2"/>
      <c r="FI104" s="2"/>
      <c r="FJ104" s="420"/>
      <c r="FK104" s="421"/>
      <c r="FL104" s="422"/>
      <c r="FM104" s="1153"/>
    </row>
    <row r="105" spans="1:169" s="13" customFormat="1" ht="12.75" customHeight="1">
      <c r="A105" s="221"/>
      <c r="B105" s="1329" t="s">
        <v>4323</v>
      </c>
      <c r="C105" s="403"/>
      <c r="D105" s="646"/>
      <c r="E105" s="404"/>
      <c r="F105" s="405"/>
      <c r="G105" s="405"/>
      <c r="H105" s="405"/>
      <c r="I105" s="637" cm="1">
        <f t="array" ref="I105">IF($CI105=0,0,IFERROR(INDEX(MHR[],$CI105,MATCH($CA105,MHR!$B$4:$AY$4,0)),0))</f>
        <v>0</v>
      </c>
      <c r="J105" s="634">
        <f t="shared" si="288"/>
        <v>0</v>
      </c>
      <c r="K105" s="406"/>
      <c r="L105" s="407"/>
      <c r="M105" s="871"/>
      <c r="N105" s="407"/>
      <c r="O105" s="405"/>
      <c r="P105" s="645" cm="1">
        <f t="array" ref="P105">IF($K105=0,0,IFERROR(ROUNDUP(IF(ISNUMBER($K105),$K105,INDEX($D$1:$D105,$CD105)*INDEX(Premises!$A$13:$F$13,1,$CH105)/IF(OR($K105="T",$K105="D"),250,IF($K105="W",50,IF($K105="M",12,IF(OR($K105="HJ",$K105="HY"),2,IF(OR($K105="J",$K105="Y"),1,0)))))),0),0))</f>
        <v>0</v>
      </c>
      <c r="Q105" s="637" cm="1">
        <f t="array" ref="Q105">IF($K105=0,0,IFERROR(INDEX(Premises!$A$22:$F$22,1,$CH105)*100/INDEX(Premises!$A$16:$F$16,1,$CH105),0))</f>
        <v>0</v>
      </c>
      <c r="R105" s="634">
        <f t="shared" si="289"/>
        <v>0</v>
      </c>
      <c r="S105" s="408"/>
      <c r="T105" s="409"/>
      <c r="U105" s="637" cm="1">
        <f t="array" ref="U105">IF(COUNTBLANK($S105:$T105),0,
IF(AND(INDEX(MHR[Schichtmodell],$CI105)&lt;&gt;0,INDEX(MHR[Schichtmodell],$CI105)&lt;&gt;INDEX(Premises!$A$20:$F$20,1,$CH105)),ExchangeRate*
IF(OR($T105="M",$T105="U"),IF(INDEX(MHR[Schichtmodell],$CI105)=1,INDEX(LOC[M1S],INDEX(Premises!$A$18:$F$18,1,$CH105+1)),IF(INDEX(MHR[Schichtmodell],$CI105)=2,INDEX(LOC[M2S],INDEX(Premises!$A$18:$F$18,1,$CH105+1),IF(INDEX(MHR[Schichtmodell],$CI105)=3,INDEX(LOC[M3S],INDEX(Premises!$A$18:$F$18,1,$CH105+1)),0)))),
IF(INDEX(MHR[Schichtmodell],$CI105)=1,INDEX(LOC[F1S],INDEX(Premises!$A$18:$F$18,1,$CH105+1)),IF(INDEX(MHR[Schichtmodell],$CI105)=2,INDEX(LOC[F2S],INDEX(Premises!$A$18:$F$18,1,$CH105+1)),IF(INDEX(MHR[Schichtmodell],$CI105)=3,INDEX(LOC[F3S],INDEX(Premises!$A$18:$F$18,1,$CH105+1)),0)))),
IF(OR($T105="M",$T105="U"),INDEX(Premises!$A$21:$F$21,1,$CH105),
IF(OR($T105="F",$T105="S"),INDEX(Premises!$A$22:$F$22,1,$CH105),0)))*100/INDEX(Premises!$A$16:$F$16,1,$CH105))</f>
        <v>0</v>
      </c>
      <c r="V105" s="631">
        <f t="shared" si="290"/>
        <v>0</v>
      </c>
      <c r="W105" s="410"/>
      <c r="X105" s="403"/>
      <c r="Y105" s="411"/>
      <c r="Z105" s="412"/>
      <c r="AA105" s="628">
        <f t="shared" si="291"/>
        <v>0</v>
      </c>
      <c r="AB105" s="410"/>
      <c r="AC105" s="403"/>
      <c r="AD105" s="411"/>
      <c r="AE105" s="413"/>
      <c r="AF105" s="628">
        <f t="shared" si="292"/>
        <v>0</v>
      </c>
      <c r="AG105" s="629" cm="1">
        <f t="array" ref="AG105">IF(($J105+$V105+$AF105)=0,0,INDEX(Premises!$A$30:$F$30,1,$CH105)/100)</f>
        <v>0</v>
      </c>
      <c r="AH105" s="414"/>
      <c r="AI105" s="415"/>
      <c r="AJ105" s="416"/>
      <c r="AK105" s="630">
        <f t="shared" si="293"/>
        <v>0</v>
      </c>
      <c r="AL105" s="631">
        <f t="shared" si="294"/>
        <v>0</v>
      </c>
      <c r="AM105" s="632" cm="1">
        <f t="array" ref="AM105">IF($CI105=0,0,IFERROR(INDEX(MHR[],$CI105,MATCH($CA105,MHR!$B$4:$AY$4,0)+11),0))</f>
        <v>0</v>
      </c>
      <c r="AN105" s="633" cm="1">
        <f t="array" ref="AN105">IF(($J105+$V105)=0,0,IFERROR(IF(INDEX(Premises!$A$41:$F$41,1,$CH105)&lt;&gt;0,INDEX(Premises!$A$41:$F$41,1,$CH105)/100,(IFERROR(($J105/$I105)*$AM105,0)/($V105+$J105+$R105+$AL105))),0))</f>
        <v>0</v>
      </c>
      <c r="AO105" s="634">
        <f t="shared" si="295"/>
        <v>0</v>
      </c>
      <c r="AP105" s="635">
        <f t="shared" si="296"/>
        <v>0</v>
      </c>
      <c r="AQ105" s="410"/>
      <c r="AR105" s="409"/>
      <c r="AS105" s="636" cm="1">
        <f t="array" ref="AS105">IF($CJ105=0,0,IFERROR(INDEX(MAT[Einheit],$CJ105,1),0))</f>
        <v>0</v>
      </c>
      <c r="AT105" s="637" cm="1">
        <f t="array" ref="AT105">IF($CJ105=0,0,IFERROR(INDEX(MAT[Preis],$CJ105,1),0))</f>
        <v>0</v>
      </c>
      <c r="AU105" s="638">
        <f t="shared" si="297"/>
        <v>0</v>
      </c>
      <c r="AV105" s="639" cm="1">
        <f t="array" ref="AV105">IF($AU105&lt;=0,0,INDEX(Premises!$A$30:$F$30,1,$CH105)/100)</f>
        <v>0</v>
      </c>
      <c r="AW105" s="409"/>
      <c r="AX105" s="631">
        <f t="shared" si="298"/>
        <v>0</v>
      </c>
      <c r="AY105" s="640" cm="1">
        <f t="array" ref="AY105">IF($AT105&lt;=0,0,IFERROR(IF(INDEX(Premises!$A$42:$F$42,1,$CH105)&lt;&gt;0,INDEX(Premises!$A$42:$F$42,1,$CH105)/100,(INDEX(MAT[],$CJ105,MATCH($CA105,MAT!$B$4:$AE$4,0))/($AR105*$CK105*INDEX(Premises!$A$13:$F$13,1,$CH105))+INDEX(MAT[],$CJ105,MATCH($CA105,MAT!$B$4:$AE$4,0)+7))/$AT105),0))</f>
        <v>0</v>
      </c>
      <c r="AZ105" s="631">
        <f t="shared" si="299"/>
        <v>0</v>
      </c>
      <c r="BA105" s="635">
        <f t="shared" si="300"/>
        <v>0</v>
      </c>
      <c r="BB105" s="635">
        <f t="shared" si="301"/>
        <v>0</v>
      </c>
      <c r="BC105" s="639" cm="1">
        <f t="array" ref="BC105">IF($BB105&lt;=0,0,IF(BC$2=-1,0,INDEX(Premises!$A$32:$F$32,1,$CH105)/100))</f>
        <v>0</v>
      </c>
      <c r="BD105" s="631">
        <f t="shared" si="302"/>
        <v>0</v>
      </c>
      <c r="BE105" s="639" cm="1">
        <f t="array" ref="BE105">IF($BB105&lt;=0,0,IF(BE$2=-1,0,INDEX(Premises!$A$33:$F$33,1,$CH105)/100))</f>
        <v>0</v>
      </c>
      <c r="BF105" s="631">
        <f t="shared" si="303"/>
        <v>0</v>
      </c>
      <c r="BG105" s="639" cm="1">
        <f t="array" ref="BG105">IF($BB105&lt;=0,0,IF(BG$2=-1,0,INDEX(Premises!$A$31:$F$31,1,$CH105)/100))</f>
        <v>0</v>
      </c>
      <c r="BH105" s="631">
        <f t="shared" si="304"/>
        <v>0</v>
      </c>
      <c r="BI105" s="635">
        <f t="shared" si="305"/>
        <v>0</v>
      </c>
      <c r="BJ105" s="639" cm="1">
        <f t="array" ref="BJ105">IF($BB105&lt;=0,0,IF(BJ$2=-1,0,INDEX(Premises!$A$35:$F$35,1,$CH105)/100))</f>
        <v>0</v>
      </c>
      <c r="BK105" s="631">
        <f t="shared" si="306"/>
        <v>0</v>
      </c>
      <c r="BL105" s="639" cm="1">
        <f t="array" ref="BL105">IF($BB105&lt;=0,0,IF(BL$2=-1,0,INDEX(Premises!$A$36:$F$36,1,$CH105)/100))</f>
        <v>0</v>
      </c>
      <c r="BM105" s="631">
        <f t="shared" si="307"/>
        <v>0</v>
      </c>
      <c r="BN105" s="639" cm="1">
        <f t="array" ref="BN105">IF($BB105&lt;=0,0,IF(BN$2=-1,0,INDEX(Premises!$A$34:$F$34,1,$CH105)/100))</f>
        <v>0</v>
      </c>
      <c r="BO105" s="631">
        <f t="shared" si="308"/>
        <v>0</v>
      </c>
      <c r="BP105" s="639" cm="1">
        <f t="array" ref="BP105">IF($BI105=0,0,INDEX(Premises!$A$37:$F$37,1,$CH105)/100)</f>
        <v>0</v>
      </c>
      <c r="BQ105" s="409"/>
      <c r="BR105" s="631">
        <f t="shared" si="309"/>
        <v>0</v>
      </c>
      <c r="BS105" s="641">
        <f t="shared" si="310"/>
        <v>0</v>
      </c>
      <c r="BT105" s="641">
        <f t="shared" si="311"/>
        <v>0</v>
      </c>
      <c r="BU105" s="642">
        <f t="shared" si="312"/>
        <v>0</v>
      </c>
      <c r="BV105" s="1147"/>
      <c r="BW105" s="418"/>
      <c r="BX105" s="418"/>
      <c r="BY105" s="419"/>
      <c r="BZ105" s="968"/>
      <c r="CA105" s="280" cm="1">
        <f t="array" ref="CA105">IF($BZ105&gt;0,VALUE(LEFT($BZ105,IF(ISERROR(FIND("-",$BZ105)),LEN($BZ105),FIND("-",$BZ105)-1))),INDEX($CA$1:$CA105,MAX(1,$CD105)))</f>
        <v>1</v>
      </c>
      <c r="CB105" s="280" cm="1">
        <f t="array" ref="CB105">IF($BT105=0,0,IF(LEN($BZ105)-LEN(SUBSTITUTE($BZ105,"-",""))&gt;1,
VALUE(MID($BZ105,FIND("-",$BZ105)+1,FIND("-",$BZ105,FIND("-",$BZ105)+1)-FIND("-",$BZ105)-1)),IF($BZ105&gt;0,0,INDEX($CB$1:$CB105,MAX(1,$CD105)))))</f>
        <v>0</v>
      </c>
      <c r="CC105" s="280" cm="1">
        <f t="array" ref="CC105">IF($BT105=0,0,IF(NOT(ISERROR(FIND("-",BZ105))),
VALUE(RIGHT($BZ105,LEN($BZ105)-IF(LEN($BZ105)-LEN(SUBSTITUTE($BZ105,"-",""))=1,FIND("-",$BZ105),FIND("-",$BZ105,FIND("-",$BZ105)+1)))),
IF($BZ105&gt;0,0,INDEX($CC$1:$CC105,MAX(1,$CD105)))))</f>
        <v>0</v>
      </c>
      <c r="CD105" s="393">
        <f>MATCH(0,$CE$1:$CE105,-1)</f>
        <v>98</v>
      </c>
      <c r="CE105" s="280"/>
      <c r="CF105" s="394"/>
      <c r="CG105" s="393" cm="1">
        <f t="array" ref="CG105">INDEX($CG$1:$CG105,$CD105)</f>
        <v>11</v>
      </c>
      <c r="CH105" s="280">
        <f>MATCH($CA105,Premises!$A$10:$F$10,0)</f>
        <v>4</v>
      </c>
      <c r="CI105" s="280">
        <f>IF(ISBLANK($E105),0,IFERROR(MATCH($E105,MHR[Bezeichnung],0),0))</f>
        <v>0</v>
      </c>
      <c r="CJ105" s="394">
        <f>IF(ISBLANK($AQ105),0,IFERROR(MATCH($AQ105,MAT[Bezeichnung],0),0))</f>
        <v>0</v>
      </c>
      <c r="CK105" s="280" cm="1">
        <f t="array" ref="CK105">INDEX($D$1:$D105,$CD105)</f>
        <v>1</v>
      </c>
      <c r="CL105" s="280"/>
      <c r="CM105" s="395"/>
      <c r="CN105" s="396" cm="1">
        <f t="array" ref="CN105">IF($CB105=0,0,IF($CB105=INDEX($CB$1:$CB105,$CD105),INDEX($CN$1:$CN105,$CD105),$CP105))</f>
        <v>0</v>
      </c>
      <c r="CO105" s="395"/>
      <c r="CP105" s="396" cm="1">
        <f t="array" ref="CP105">IF($CC105=0,0,INDEX($CP$1:$CP105,$CD105))</f>
        <v>0</v>
      </c>
      <c r="CQ105" s="397"/>
      <c r="CR105" s="398"/>
      <c r="CS105" s="398"/>
      <c r="CT105" s="1152"/>
      <c r="CU105" s="1149"/>
      <c r="CV105" s="647">
        <f t="shared" si="313"/>
        <v>0</v>
      </c>
      <c r="CW105" s="648">
        <f t="shared" si="314"/>
        <v>0</v>
      </c>
      <c r="CX105" s="648">
        <f t="shared" si="315"/>
        <v>0</v>
      </c>
      <c r="CY105" s="648">
        <f t="shared" si="316"/>
        <v>0</v>
      </c>
      <c r="CZ105" s="648">
        <f t="shared" si="317"/>
        <v>0</v>
      </c>
      <c r="DA105" s="648">
        <f t="shared" si="318"/>
        <v>0</v>
      </c>
      <c r="DB105" s="648">
        <f t="shared" si="319"/>
        <v>0</v>
      </c>
      <c r="DC105" s="649">
        <f t="shared" si="320"/>
        <v>0</v>
      </c>
      <c r="DD105" s="648">
        <f t="shared" si="321"/>
        <v>0</v>
      </c>
      <c r="DE105" s="648">
        <f t="shared" si="322"/>
        <v>0</v>
      </c>
      <c r="DF105" s="648">
        <f t="shared" si="323"/>
        <v>0</v>
      </c>
      <c r="DG105" s="649">
        <f t="shared" si="324"/>
        <v>0</v>
      </c>
      <c r="DH105" s="649">
        <f t="shared" si="325"/>
        <v>0</v>
      </c>
      <c r="DI105" s="648">
        <f t="shared" si="326"/>
        <v>0</v>
      </c>
      <c r="DJ105" s="648">
        <f t="shared" si="327"/>
        <v>0</v>
      </c>
      <c r="DK105" s="648">
        <f t="shared" si="328"/>
        <v>0</v>
      </c>
      <c r="DL105" s="648">
        <f t="shared" si="329"/>
        <v>0</v>
      </c>
      <c r="DM105" s="648">
        <f t="shared" si="330"/>
        <v>0</v>
      </c>
      <c r="DN105" s="648">
        <f t="shared" si="331"/>
        <v>0</v>
      </c>
      <c r="DO105" s="648">
        <f t="shared" si="332"/>
        <v>0</v>
      </c>
      <c r="DP105" s="651">
        <f t="shared" si="333"/>
        <v>0</v>
      </c>
      <c r="DQ105" s="951">
        <f>IF($CB105=0,0,$DP105*_xlfn.XLOOKUP($CB105,Premises!$A$10:$F$10,Premises!$A$30:$F$30)/100)</f>
        <v>0</v>
      </c>
      <c r="DR105" s="650">
        <f>IFERROR(SUM($DP105:$DQ105)*IF(INDEX(Premises!$A$42:$F$42,1,MATCH($CB105,Premises!$A$10:$F$10,0))&gt;0,INDEX(Premises!$A$42:$F$42,1,MATCH($CB105,Premises!$A$10:$F$10,0))%,$CN105),0)</f>
        <v>0</v>
      </c>
      <c r="DS105" s="650" cm="1">
        <f t="array" ref="DS105">IF($CB105=0,0,SUM($DP105:$DR105)*_xlfn.XLOOKUP($CB105,Premises!$A$10:$F$10,IF(INDEX(Settings[],MATCH(3001,Settings[ID],0),2)="B",Premises!$A$33:$F$33,Premises!$A$31:$F$31))/100)</f>
        <v>0</v>
      </c>
      <c r="DT105" s="650" cm="1">
        <f t="array" ref="DT105">IF($CB105=0,0,$DP105*_xlfn.XLOOKUP($CB105,Premises!$A$10:$F$10,IF(INDEX(Settings[],MATCH(3002,Settings[ID],0),2)="B",Premises!$A$36:$F$36,Premises!$A$34:$F$34))/100)</f>
        <v>0</v>
      </c>
      <c r="DU105" s="650">
        <f>IF($CB105=0,0,SUM($DP105:$DT105)*_xlfn.XLOOKUP($CB105,Premises!$A$10:$F$10,Premises!$A$37:$F$37)/100)</f>
        <v>0</v>
      </c>
      <c r="DV105" s="954">
        <f t="shared" si="334"/>
        <v>0</v>
      </c>
      <c r="DW105" s="951">
        <f>IF($CC105=0,0,$DV105*_xlfn.XLOOKUP($CC105,Premises!$A$10:$F$10,Premises!$A$30:$F$30)/100)</f>
        <v>0</v>
      </c>
      <c r="DX105" s="650">
        <f>IFERROR(SUM($DV105:$DW105)*IF(INDEX(Premises!$A$42:$F$42,1,MATCH($CC105,Premises!$A$10:$F$10,0))&gt;0,INDEX(Premises!$A$42:$F$42,1,MATCH($CC105,Premises!$A$10:$F$10,0))%,$CP105),0)</f>
        <v>0</v>
      </c>
      <c r="DY105" s="650" cm="1">
        <f t="array" ref="DY105">IF($CC105=0,0,SUM($DV105:$DX105)*_xlfn.XLOOKUP($CC105,Premises!$A$10:$F$10,IF(INDEX(Settings[],MATCH(3001,Settings[ID],0),2)="B",Premises!$A$33:$F$33,Premises!$A$31:$F$31))/100)</f>
        <v>0</v>
      </c>
      <c r="DZ105" s="650" cm="1">
        <f t="array" ref="DZ105">IF($CC105=0,0,$DV105*_xlfn.XLOOKUP($CC105,Premises!$A$10:$F$10,IF(INDEX(Settings[],MATCH(3002,Settings[ID],0),2)="B",Premises!$A$36:$F$36,Premises!$A$34:$F$34))/100)</f>
        <v>0</v>
      </c>
      <c r="EA105" s="650">
        <f>IF($CC105=0,0,SUM($DV105:$DZ105)*_xlfn.XLOOKUP($CC105,Premises!$A$10:$F$10,Premises!$A$37:$F$37)/100)</f>
        <v>0</v>
      </c>
      <c r="EB105" s="651">
        <f t="shared" si="335"/>
        <v>0</v>
      </c>
      <c r="EC105" s="805"/>
      <c r="ED105" s="1104"/>
      <c r="EE105" s="650"/>
      <c r="EF105" s="1110"/>
      <c r="EG105" s="1108"/>
      <c r="EH105" s="1108"/>
      <c r="EI105" s="1108"/>
      <c r="EJ105" s="1108"/>
      <c r="EK105" s="1108"/>
      <c r="EL105" s="1108"/>
      <c r="EM105" s="1110"/>
      <c r="EN105" s="1108"/>
      <c r="EO105" s="1108"/>
      <c r="EP105" s="1108"/>
      <c r="EQ105" s="1108"/>
      <c r="ER105" s="1110"/>
      <c r="ES105" s="1108"/>
      <c r="ET105" s="1108"/>
      <c r="EU105" s="1108"/>
      <c r="EV105" s="1108"/>
      <c r="EW105" s="1108"/>
      <c r="EX105" s="1111"/>
      <c r="EY105" s="2"/>
      <c r="EZ105" s="2"/>
      <c r="FA105" s="2"/>
      <c r="FB105" s="2"/>
      <c r="FC105" s="2"/>
      <c r="FD105" s="2"/>
      <c r="FE105" s="2"/>
      <c r="FF105" s="2"/>
      <c r="FG105" s="2"/>
      <c r="FH105" s="2"/>
      <c r="FI105" s="2"/>
      <c r="FJ105" s="420"/>
      <c r="FK105" s="421"/>
      <c r="FL105" s="422"/>
      <c r="FM105" s="1153"/>
    </row>
    <row r="106" spans="1:169" s="13" customFormat="1" ht="12.75" customHeight="1">
      <c r="A106" s="221"/>
      <c r="B106" s="402" t="s">
        <v>4335</v>
      </c>
      <c r="C106" s="403"/>
      <c r="D106" s="646"/>
      <c r="E106" s="404" t="s">
        <v>4328</v>
      </c>
      <c r="F106" s="405">
        <v>8.1349999999999998</v>
      </c>
      <c r="G106" s="405" t="s">
        <v>93</v>
      </c>
      <c r="H106" s="405">
        <v>1</v>
      </c>
      <c r="I106" s="637" cm="1">
        <f t="array" ref="I106">IF($CI106=0,0,IFERROR(INDEX(MHR[],$CI106,MATCH($CA106,MHR!$B$4:$AY$4,0)),0))</f>
        <v>8.8645982142857136</v>
      </c>
      <c r="J106" s="634">
        <f t="shared" si="288"/>
        <v>2.0031529575892854E-2</v>
      </c>
      <c r="K106" s="406" t="s">
        <v>49</v>
      </c>
      <c r="L106" s="407">
        <v>10</v>
      </c>
      <c r="M106" s="871">
        <v>1</v>
      </c>
      <c r="N106" s="407"/>
      <c r="O106" s="405"/>
      <c r="P106" s="645" cm="1">
        <f t="array" ref="P106">IF($K106=0,0,IFERROR(ROUNDUP(IF(ISNUMBER($K106),$K106,INDEX($D$1:$D106,$CD106)*INDEX(Premises!$A$13:$F$13,1,$CH106)/IF(OR($K106="T",$K106="D"),250,IF($K106="W",50,IF($K106="M",12,IF(OR($K106="HJ",$K106="HY"),2,IF(OR($K106="J",$K106="Y"),1,0)))))),0),0))</f>
        <v>3334</v>
      </c>
      <c r="Q106" s="637" cm="1">
        <f t="array" ref="Q106">IF($K106=0,0,IFERROR(INDEX(Premises!$A$22:$F$22,1,$CH106)*100/INDEX(Premises!$A$16:$F$16,1,$CH106),0))</f>
        <v>16.925000000000001</v>
      </c>
      <c r="R106" s="634">
        <f t="shared" si="289"/>
        <v>1.2892220663010255E-3</v>
      </c>
      <c r="S106" s="408">
        <v>0.2</v>
      </c>
      <c r="T106" s="409" t="s">
        <v>275</v>
      </c>
      <c r="U106" s="637" cm="1">
        <f t="array" ref="U106">IF(COUNTBLANK($S106:$T106),0,
IF(AND(INDEX(MHR[Schichtmodell],$CI106)&lt;&gt;0,INDEX(MHR[Schichtmodell],$CI106)&lt;&gt;INDEX(Premises!$A$20:$F$20,1,$CH106)),ExchangeRate*
IF(OR($T106="M",$T106="U"),IF(INDEX(MHR[Schichtmodell],$CI106)=1,INDEX(LOC[M1S],INDEX(Premises!$A$18:$F$18,1,$CH106+1)),IF(INDEX(MHR[Schichtmodell],$CI106)=2,INDEX(LOC[M2S],INDEX(Premises!$A$18:$F$18,1,$CH106+1),IF(INDEX(MHR[Schichtmodell],$CI106)=3,INDEX(LOC[M3S],INDEX(Premises!$A$18:$F$18,1,$CH106+1)),0)))),
IF(INDEX(MHR[Schichtmodell],$CI106)=1,INDEX(LOC[F1S],INDEX(Premises!$A$18:$F$18,1,$CH106+1)),IF(INDEX(MHR[Schichtmodell],$CI106)=2,INDEX(LOC[F2S],INDEX(Premises!$A$18:$F$18,1,$CH106+1)),IF(INDEX(MHR[Schichtmodell],$CI106)=3,INDEX(LOC[F3S],INDEX(Premises!$A$18:$F$18,1,$CH106+1)),0)))),
IF(OR($T106="M",$T106="U"),INDEX(Premises!$A$21:$F$21,1,$CH106),
IF(OR($T106="F",$T106="S"),INDEX(Premises!$A$22:$F$22,1,$CH106),0)))*100/INDEX(Premises!$A$16:$F$16,1,$CH106))</f>
        <v>12.037500000000001</v>
      </c>
      <c r="V106" s="631">
        <f t="shared" si="290"/>
        <v>5.4402812500000007E-3</v>
      </c>
      <c r="W106" s="410"/>
      <c r="X106" s="403"/>
      <c r="Y106" s="411"/>
      <c r="Z106" s="412"/>
      <c r="AA106" s="628">
        <f t="shared" si="291"/>
        <v>0</v>
      </c>
      <c r="AB106" s="410"/>
      <c r="AC106" s="403"/>
      <c r="AD106" s="411"/>
      <c r="AE106" s="413"/>
      <c r="AF106" s="628">
        <f t="shared" si="292"/>
        <v>0</v>
      </c>
      <c r="AG106" s="629" cm="1">
        <f t="array" ref="AG106">IF(($J106+$V106+$AF106)=0,0,INDEX(Premises!$A$30:$F$30,1,$CH106)/100)</f>
        <v>0.01</v>
      </c>
      <c r="AH106" s="414"/>
      <c r="AI106" s="415"/>
      <c r="AJ106" s="416"/>
      <c r="AK106" s="630">
        <f t="shared" si="293"/>
        <v>0</v>
      </c>
      <c r="AL106" s="631">
        <f t="shared" si="294"/>
        <v>2.5471810825892854E-4</v>
      </c>
      <c r="AM106" s="632" cm="1">
        <f t="array" ref="AM106">IF($CI106=0,0,IFERROR(INDEX(MHR[],$CI106,MATCH($CA106,MHR!$B$4:$AY$4,0)+11),0))</f>
        <v>2.4753275148630598</v>
      </c>
      <c r="AN106" s="633" cm="1">
        <f t="array" ref="AN106">IF(($J106+$V106)=0,0,IFERROR(IF(INDEX(Premises!$A$41:$F$41,1,$CH106)&lt;&gt;0,INDEX(Premises!$A$41:$F$41,1,$CH106)/100,(IFERROR(($J106/$I106)*$AM106,0)/($V106+$J106+$R106+$AL106))),0))</f>
        <v>0.20704782896912288</v>
      </c>
      <c r="AO106" s="634">
        <f t="shared" si="295"/>
        <v>5.5935525926141634E-3</v>
      </c>
      <c r="AP106" s="635">
        <f t="shared" si="296"/>
        <v>3.260930359306697E-2</v>
      </c>
      <c r="AQ106" s="410"/>
      <c r="AR106" s="409"/>
      <c r="AS106" s="636" cm="1">
        <f t="array" ref="AS106">IF($CJ106=0,0,IFERROR(INDEX(MAT[Einheit],$CJ106,1),0))</f>
        <v>0</v>
      </c>
      <c r="AT106" s="637" cm="1">
        <f t="array" ref="AT106">IF($CJ106=0,0,IFERROR(INDEX(MAT[Preis],$CJ106,1),0))</f>
        <v>0</v>
      </c>
      <c r="AU106" s="638">
        <f t="shared" si="297"/>
        <v>0</v>
      </c>
      <c r="AV106" s="639" cm="1">
        <f t="array" ref="AV106">IF($AU106&lt;=0,0,INDEX(Premises!$A$30:$F$30,1,$CH106)/100)</f>
        <v>0</v>
      </c>
      <c r="AW106" s="409"/>
      <c r="AX106" s="631">
        <f t="shared" si="298"/>
        <v>0</v>
      </c>
      <c r="AY106" s="640" cm="1">
        <f t="array" ref="AY106">IF($AT106&lt;=0,0,IFERROR(IF(INDEX(Premises!$A$42:$F$42,1,$CH106)&lt;&gt;0,INDEX(Premises!$A$42:$F$42,1,$CH106)/100,(INDEX(MAT[],$CJ106,MATCH($CA106,MAT!$B$4:$AE$4,0))/($AR106*$CK106*INDEX(Premises!$A$13:$F$13,1,$CH106))+INDEX(MAT[],$CJ106,MATCH($CA106,MAT!$B$4:$AE$4,0)+7))/$AT106),0))</f>
        <v>0</v>
      </c>
      <c r="AZ106" s="631">
        <f t="shared" si="299"/>
        <v>0</v>
      </c>
      <c r="BA106" s="635">
        <f t="shared" si="300"/>
        <v>0</v>
      </c>
      <c r="BB106" s="635">
        <f t="shared" si="301"/>
        <v>3.260930359306697E-2</v>
      </c>
      <c r="BC106" s="639" cm="1">
        <f t="array" ref="BC106">IF($BB106&lt;=0,0,IF(BC$2=-1,0,INDEX(Premises!$A$32:$F$32,1,$CH106)/100))</f>
        <v>0</v>
      </c>
      <c r="BD106" s="631">
        <f t="shared" si="302"/>
        <v>0</v>
      </c>
      <c r="BE106" s="639" cm="1">
        <f t="array" ref="BE106">IF($BB106&lt;=0,0,IF(BE$2=-1,0,INDEX(Premises!$A$33:$F$33,1,$CH106)/100))</f>
        <v>0</v>
      </c>
      <c r="BF106" s="631">
        <f t="shared" si="303"/>
        <v>0</v>
      </c>
      <c r="BG106" s="639" cm="1">
        <f t="array" ref="BG106">IF($BB106&lt;=0,0,IF(BG$2=-1,0,INDEX(Premises!$A$31:$F$31,1,$CH106)/100))</f>
        <v>0.125</v>
      </c>
      <c r="BH106" s="631">
        <f t="shared" si="304"/>
        <v>4.0443231856010049E-3</v>
      </c>
      <c r="BI106" s="635">
        <f t="shared" si="305"/>
        <v>3.6653626778667972E-2</v>
      </c>
      <c r="BJ106" s="639" cm="1">
        <f t="array" ref="BJ106">IF($BB106&lt;=0,0,IF(BJ$2=-1,0,INDEX(Premises!$A$35:$F$35,1,$CH106)/100))</f>
        <v>0</v>
      </c>
      <c r="BK106" s="631">
        <f t="shared" si="306"/>
        <v>0</v>
      </c>
      <c r="BL106" s="639" cm="1">
        <f t="array" ref="BL106">IF($BB106&lt;=0,0,IF(BL$2=-1,0,INDEX(Premises!$A$36:$F$36,1,$CH106)/100))</f>
        <v>0</v>
      </c>
      <c r="BM106" s="631">
        <f t="shared" si="307"/>
        <v>0</v>
      </c>
      <c r="BN106" s="639" cm="1">
        <f t="array" ref="BN106">IF($BB106&lt;=0,0,IF(BN$2=-1,0,INDEX(Premises!$A$34:$F$34,1,$CH106)/100))</f>
        <v>0.06</v>
      </c>
      <c r="BO106" s="631">
        <f t="shared" si="308"/>
        <v>1.9412751290884822E-3</v>
      </c>
      <c r="BP106" s="639" cm="1">
        <f t="array" ref="BP106">IF($BI106=0,0,INDEX(Premises!$A$37:$F$37,1,$CH106)/100)</f>
        <v>0</v>
      </c>
      <c r="BQ106" s="409"/>
      <c r="BR106" s="631">
        <f t="shared" si="309"/>
        <v>0</v>
      </c>
      <c r="BS106" s="641">
        <f t="shared" si="310"/>
        <v>3.8594901907756454E-2</v>
      </c>
      <c r="BT106" s="641">
        <f t="shared" si="311"/>
        <v>3.8594901907756454E-2</v>
      </c>
      <c r="BU106" s="642">
        <f t="shared" si="312"/>
        <v>1</v>
      </c>
      <c r="BV106" s="1147"/>
      <c r="BW106" s="418"/>
      <c r="BX106" s="418"/>
      <c r="BY106" s="419"/>
      <c r="BZ106" s="968"/>
      <c r="CA106" s="280" cm="1">
        <f t="array" ref="CA106">IF($BZ106&gt;0,VALUE(LEFT($BZ106,IF(ISERROR(FIND("-",$BZ106)),LEN($BZ106),FIND("-",$BZ106)-1))),INDEX($CA$1:$CA106,MAX(1,$CD106)))</f>
        <v>1</v>
      </c>
      <c r="CB106" s="280" cm="1">
        <f t="array" ref="CB106">IF($BT106=0,0,IF(LEN($BZ106)-LEN(SUBSTITUTE($BZ106,"-",""))&gt;1,
VALUE(MID($BZ106,FIND("-",$BZ106)+1,FIND("-",$BZ106,FIND("-",$BZ106)+1)-FIND("-",$BZ106)-1)),IF($BZ106&gt;0,0,INDEX($CB$1:$CB106,MAX(1,$CD106)))))</f>
        <v>0</v>
      </c>
      <c r="CC106" s="280" cm="1">
        <f t="array" ref="CC106">IF($BT106=0,0,IF(NOT(ISERROR(FIND("-",BZ106))),
VALUE(RIGHT($BZ106,LEN($BZ106)-IF(LEN($BZ106)-LEN(SUBSTITUTE($BZ106,"-",""))=1,FIND("-",$BZ106),FIND("-",$BZ106,FIND("-",$BZ106)+1)))),
IF($BZ106&gt;0,0,INDEX($CC$1:$CC106,MAX(1,$CD106)))))</f>
        <v>0</v>
      </c>
      <c r="CD106" s="393">
        <f>MATCH(0,$CE$1:$CE106,-1)</f>
        <v>98</v>
      </c>
      <c r="CE106" s="280"/>
      <c r="CF106" s="394"/>
      <c r="CG106" s="393" cm="1">
        <f t="array" ref="CG106">INDEX($CG$1:$CG106,$CD106)</f>
        <v>11</v>
      </c>
      <c r="CH106" s="280">
        <f>MATCH($CA106,Premises!$A$10:$F$10,0)</f>
        <v>4</v>
      </c>
      <c r="CI106" s="280">
        <f>IF(ISBLANK($E106),0,IFERROR(MATCH($E106,MHR[Bezeichnung],0),0))</f>
        <v>3</v>
      </c>
      <c r="CJ106" s="394">
        <f>IF(ISBLANK($AQ106),0,IFERROR(MATCH($AQ106,MAT[Bezeichnung],0),0))</f>
        <v>0</v>
      </c>
      <c r="CK106" s="280" cm="1">
        <f t="array" ref="CK106">INDEX($D$1:$D106,$CD106)</f>
        <v>1</v>
      </c>
      <c r="CL106" s="280"/>
      <c r="CM106" s="395"/>
      <c r="CN106" s="396" cm="1">
        <f t="array" ref="CN106">IF($CB106=0,0,IF($CB106=INDEX($CB$1:$CB106,$CD106),INDEX($CN$1:$CN106,$CD106),$CP106))</f>
        <v>0</v>
      </c>
      <c r="CO106" s="395"/>
      <c r="CP106" s="396" cm="1">
        <f t="array" ref="CP106">IF($CC106=0,0,INDEX($CP$1:$CP106,$CD106))</f>
        <v>0</v>
      </c>
      <c r="CQ106" s="397"/>
      <c r="CR106" s="398"/>
      <c r="CS106" s="398"/>
      <c r="CT106" s="1152"/>
      <c r="CU106" s="1149"/>
      <c r="CV106" s="647">
        <f t="shared" si="313"/>
        <v>2.0031529575892854E-2</v>
      </c>
      <c r="CW106" s="648">
        <f t="shared" si="314"/>
        <v>1.2892220663010255E-3</v>
      </c>
      <c r="CX106" s="648">
        <f t="shared" si="315"/>
        <v>5.4402812500000007E-3</v>
      </c>
      <c r="CY106" s="648">
        <f t="shared" si="316"/>
        <v>0</v>
      </c>
      <c r="CZ106" s="648">
        <f t="shared" si="317"/>
        <v>0</v>
      </c>
      <c r="DA106" s="648">
        <f t="shared" si="318"/>
        <v>2.5471810825892854E-4</v>
      </c>
      <c r="DB106" s="648">
        <f t="shared" si="319"/>
        <v>5.5935525926141634E-3</v>
      </c>
      <c r="DC106" s="649">
        <f t="shared" si="320"/>
        <v>3.260930359306697E-2</v>
      </c>
      <c r="DD106" s="648">
        <f t="shared" si="321"/>
        <v>0</v>
      </c>
      <c r="DE106" s="648">
        <f t="shared" si="322"/>
        <v>0</v>
      </c>
      <c r="DF106" s="648">
        <f t="shared" si="323"/>
        <v>0</v>
      </c>
      <c r="DG106" s="649">
        <f t="shared" si="324"/>
        <v>0</v>
      </c>
      <c r="DH106" s="649">
        <f t="shared" si="325"/>
        <v>3.260930359306697E-2</v>
      </c>
      <c r="DI106" s="648">
        <f t="shared" si="326"/>
        <v>0</v>
      </c>
      <c r="DJ106" s="648">
        <f t="shared" si="327"/>
        <v>0</v>
      </c>
      <c r="DK106" s="648">
        <f t="shared" si="328"/>
        <v>4.0443231856010049E-3</v>
      </c>
      <c r="DL106" s="648">
        <f t="shared" si="329"/>
        <v>0</v>
      </c>
      <c r="DM106" s="648">
        <f t="shared" si="330"/>
        <v>0</v>
      </c>
      <c r="DN106" s="648">
        <f t="shared" si="331"/>
        <v>1.9412751290884822E-3</v>
      </c>
      <c r="DO106" s="648">
        <f t="shared" si="332"/>
        <v>0</v>
      </c>
      <c r="DP106" s="651">
        <f t="shared" si="333"/>
        <v>3.8594901907756454E-2</v>
      </c>
      <c r="DQ106" s="951">
        <f>IF($CB106=0,0,$DP106*_xlfn.XLOOKUP($CB106,Premises!$A$10:$F$10,Premises!$A$30:$F$30)/100)</f>
        <v>0</v>
      </c>
      <c r="DR106" s="650">
        <f>IFERROR(SUM($DP106:$DQ106)*IF(INDEX(Premises!$A$42:$F$42,1,MATCH($CB106,Premises!$A$10:$F$10,0))&gt;0,INDEX(Premises!$A$42:$F$42,1,MATCH($CB106,Premises!$A$10:$F$10,0))%,$CN106),0)</f>
        <v>0</v>
      </c>
      <c r="DS106" s="650" cm="1">
        <f t="array" ref="DS106">IF($CB106=0,0,SUM($DP106:$DR106)*_xlfn.XLOOKUP($CB106,Premises!$A$10:$F$10,IF(INDEX(Settings[],MATCH(3001,Settings[ID],0),2)="B",Premises!$A$33:$F$33,Premises!$A$31:$F$31))/100)</f>
        <v>0</v>
      </c>
      <c r="DT106" s="650" cm="1">
        <f t="array" ref="DT106">IF($CB106=0,0,$DP106*_xlfn.XLOOKUP($CB106,Premises!$A$10:$F$10,IF(INDEX(Settings[],MATCH(3002,Settings[ID],0),2)="B",Premises!$A$36:$F$36,Premises!$A$34:$F$34))/100)</f>
        <v>0</v>
      </c>
      <c r="DU106" s="650">
        <f>IF($CB106=0,0,SUM($DP106:$DT106)*_xlfn.XLOOKUP($CB106,Premises!$A$10:$F$10,Premises!$A$37:$F$37)/100)</f>
        <v>0</v>
      </c>
      <c r="DV106" s="954">
        <f t="shared" si="334"/>
        <v>3.8594901907756454E-2</v>
      </c>
      <c r="DW106" s="951">
        <f>IF($CC106=0,0,$DV106*_xlfn.XLOOKUP($CC106,Premises!$A$10:$F$10,Premises!$A$30:$F$30)/100)</f>
        <v>0</v>
      </c>
      <c r="DX106" s="650">
        <f>IFERROR(SUM($DV106:$DW106)*IF(INDEX(Premises!$A$42:$F$42,1,MATCH($CC106,Premises!$A$10:$F$10,0))&gt;0,INDEX(Premises!$A$42:$F$42,1,MATCH($CC106,Premises!$A$10:$F$10,0))%,$CP106),0)</f>
        <v>0</v>
      </c>
      <c r="DY106" s="650" cm="1">
        <f t="array" ref="DY106">IF($CC106=0,0,SUM($DV106:$DX106)*_xlfn.XLOOKUP($CC106,Premises!$A$10:$F$10,IF(INDEX(Settings[],MATCH(3001,Settings[ID],0),2)="B",Premises!$A$33:$F$33,Premises!$A$31:$F$31))/100)</f>
        <v>0</v>
      </c>
      <c r="DZ106" s="650" cm="1">
        <f t="array" ref="DZ106">IF($CC106=0,0,$DV106*_xlfn.XLOOKUP($CC106,Premises!$A$10:$F$10,IF(INDEX(Settings[],MATCH(3002,Settings[ID],0),2)="B",Premises!$A$36:$F$36,Premises!$A$34:$F$34))/100)</f>
        <v>0</v>
      </c>
      <c r="EA106" s="650">
        <f>IF($CC106=0,0,SUM($DV106:$DZ106)*_xlfn.XLOOKUP($CC106,Premises!$A$10:$F$10,Premises!$A$37:$F$37)/100)</f>
        <v>0</v>
      </c>
      <c r="EB106" s="651">
        <f t="shared" si="335"/>
        <v>3.8594901907756454E-2</v>
      </c>
      <c r="EC106" s="805"/>
      <c r="ED106" s="1104"/>
      <c r="EE106" s="650"/>
      <c r="EF106" s="1110"/>
      <c r="EG106" s="1108"/>
      <c r="EH106" s="1108"/>
      <c r="EI106" s="1108"/>
      <c r="EJ106" s="1108"/>
      <c r="EK106" s="1108"/>
      <c r="EL106" s="1108"/>
      <c r="EM106" s="1110"/>
      <c r="EN106" s="1108"/>
      <c r="EO106" s="1108"/>
      <c r="EP106" s="1108"/>
      <c r="EQ106" s="1108"/>
      <c r="ER106" s="1110"/>
      <c r="ES106" s="1108"/>
      <c r="ET106" s="1108"/>
      <c r="EU106" s="1108"/>
      <c r="EV106" s="1108"/>
      <c r="EW106" s="1108"/>
      <c r="EX106" s="1111"/>
      <c r="EY106" s="2"/>
      <c r="EZ106" s="2"/>
      <c r="FA106" s="2"/>
      <c r="FB106" s="2"/>
      <c r="FC106" s="2"/>
      <c r="FD106" s="2"/>
      <c r="FE106" s="2"/>
      <c r="FF106" s="2"/>
      <c r="FG106" s="2"/>
      <c r="FH106" s="2"/>
      <c r="FI106" s="2"/>
      <c r="FJ106" s="420"/>
      <c r="FK106" s="421"/>
      <c r="FL106" s="422"/>
      <c r="FM106" s="1153"/>
    </row>
    <row r="107" spans="1:169" s="13" customFormat="1" ht="12.75" customHeight="1">
      <c r="A107" s="221"/>
      <c r="B107" s="402"/>
      <c r="C107" s="403"/>
      <c r="D107" s="646"/>
      <c r="E107" s="404"/>
      <c r="F107" s="405"/>
      <c r="G107" s="405"/>
      <c r="H107" s="405"/>
      <c r="I107" s="637" cm="1">
        <f t="array" ref="I107">IF($CI107=0,0,IFERROR(INDEX(MHR[],$CI107,MATCH($CA107,MHR!$B$4:$AY$4,0)),0))</f>
        <v>0</v>
      </c>
      <c r="J107" s="634">
        <f t="shared" si="288"/>
        <v>0</v>
      </c>
      <c r="K107" s="406"/>
      <c r="L107" s="407"/>
      <c r="M107" s="871"/>
      <c r="N107" s="407"/>
      <c r="O107" s="405"/>
      <c r="P107" s="645" cm="1">
        <f t="array" ref="P107">IF($K107=0,0,IFERROR(ROUNDUP(IF(ISNUMBER($K107),$K107,INDEX($D$1:$D107,$CD107)*INDEX(Premises!$A$13:$F$13,1,$CH107)/IF(OR($K107="T",$K107="D"),250,IF($K107="W",50,IF($K107="M",12,IF(OR($K107="HJ",$K107="HY"),2,IF(OR($K107="J",$K107="Y"),1,0)))))),0),0))</f>
        <v>0</v>
      </c>
      <c r="Q107" s="637" cm="1">
        <f t="array" ref="Q107">IF($K107=0,0,IFERROR(INDEX(Premises!$A$22:$F$22,1,$CH107)*100/INDEX(Premises!$A$16:$F$16,1,$CH107),0))</f>
        <v>0</v>
      </c>
      <c r="R107" s="634">
        <f t="shared" si="289"/>
        <v>0</v>
      </c>
      <c r="S107" s="408"/>
      <c r="T107" s="409"/>
      <c r="U107" s="637" cm="1">
        <f t="array" ref="U107">IF(COUNTBLANK($S107:$T107),0,
IF(AND(INDEX(MHR[Schichtmodell],$CI107)&lt;&gt;0,INDEX(MHR[Schichtmodell],$CI107)&lt;&gt;INDEX(Premises!$A$20:$F$20,1,$CH107)),ExchangeRate*
IF(OR($T107="M",$T107="U"),IF(INDEX(MHR[Schichtmodell],$CI107)=1,INDEX(LOC[M1S],INDEX(Premises!$A$18:$F$18,1,$CH107+1)),IF(INDEX(MHR[Schichtmodell],$CI107)=2,INDEX(LOC[M2S],INDEX(Premises!$A$18:$F$18,1,$CH107+1),IF(INDEX(MHR[Schichtmodell],$CI107)=3,INDEX(LOC[M3S],INDEX(Premises!$A$18:$F$18,1,$CH107+1)),0)))),
IF(INDEX(MHR[Schichtmodell],$CI107)=1,INDEX(LOC[F1S],INDEX(Premises!$A$18:$F$18,1,$CH107+1)),IF(INDEX(MHR[Schichtmodell],$CI107)=2,INDEX(LOC[F2S],INDEX(Premises!$A$18:$F$18,1,$CH107+1)),IF(INDEX(MHR[Schichtmodell],$CI107)=3,INDEX(LOC[F3S],INDEX(Premises!$A$18:$F$18,1,$CH107+1)),0)))),
IF(OR($T107="M",$T107="U"),INDEX(Premises!$A$21:$F$21,1,$CH107),
IF(OR($T107="F",$T107="S"),INDEX(Premises!$A$22:$F$22,1,$CH107),0)))*100/INDEX(Premises!$A$16:$F$16,1,$CH107))</f>
        <v>0</v>
      </c>
      <c r="V107" s="631">
        <f t="shared" si="290"/>
        <v>0</v>
      </c>
      <c r="W107" s="410"/>
      <c r="X107" s="403"/>
      <c r="Y107" s="411"/>
      <c r="Z107" s="412"/>
      <c r="AA107" s="628">
        <f t="shared" si="291"/>
        <v>0</v>
      </c>
      <c r="AB107" s="410"/>
      <c r="AC107" s="403"/>
      <c r="AD107" s="411"/>
      <c r="AE107" s="413"/>
      <c r="AF107" s="628">
        <f t="shared" si="292"/>
        <v>0</v>
      </c>
      <c r="AG107" s="629" cm="1">
        <f t="array" ref="AG107">IF(($J107+$V107+$AF107)=0,0,INDEX(Premises!$A$30:$F$30,1,$CH107)/100)</f>
        <v>0</v>
      </c>
      <c r="AH107" s="414"/>
      <c r="AI107" s="415"/>
      <c r="AJ107" s="416"/>
      <c r="AK107" s="630">
        <f t="shared" si="293"/>
        <v>0</v>
      </c>
      <c r="AL107" s="631">
        <f t="shared" si="294"/>
        <v>0</v>
      </c>
      <c r="AM107" s="632" cm="1">
        <f t="array" ref="AM107">IF($CI107=0,0,IFERROR(INDEX(MHR[],$CI107,MATCH($CA107,MHR!$B$4:$AY$4,0)+11),0))</f>
        <v>0</v>
      </c>
      <c r="AN107" s="633" cm="1">
        <f t="array" ref="AN107">IF(($J107+$V107)=0,0,IFERROR(IF(INDEX(Premises!$A$41:$F$41,1,$CH107)&lt;&gt;0,INDEX(Premises!$A$41:$F$41,1,$CH107)/100,(IFERROR(($J107/$I107)*$AM107,0)/($V107+$J107+$R107+$AL107))),0))</f>
        <v>0</v>
      </c>
      <c r="AO107" s="634">
        <f t="shared" si="295"/>
        <v>0</v>
      </c>
      <c r="AP107" s="635">
        <f t="shared" si="296"/>
        <v>0</v>
      </c>
      <c r="AQ107" s="410"/>
      <c r="AR107" s="409"/>
      <c r="AS107" s="636" cm="1">
        <f t="array" ref="AS107">IF($CJ107=0,0,IFERROR(INDEX(MAT[Einheit],$CJ107,1),0))</f>
        <v>0</v>
      </c>
      <c r="AT107" s="637" cm="1">
        <f t="array" ref="AT107">IF($CJ107=0,0,IFERROR(INDEX(MAT[Preis],$CJ107,1),0))</f>
        <v>0</v>
      </c>
      <c r="AU107" s="638">
        <f t="shared" si="297"/>
        <v>0</v>
      </c>
      <c r="AV107" s="639" cm="1">
        <f t="array" ref="AV107">IF($AU107&lt;=0,0,INDEX(Premises!$A$30:$F$30,1,$CH107)/100)</f>
        <v>0</v>
      </c>
      <c r="AW107" s="409"/>
      <c r="AX107" s="631">
        <f t="shared" si="298"/>
        <v>0</v>
      </c>
      <c r="AY107" s="640" cm="1">
        <f t="array" ref="AY107">IF($AT107&lt;=0,0,IFERROR(IF(INDEX(Premises!$A$42:$F$42,1,$CH107)&lt;&gt;0,INDEX(Premises!$A$42:$F$42,1,$CH107)/100,(INDEX(MAT[],$CJ107,MATCH($CA107,MAT!$B$4:$AE$4,0))/($AR107*$CK107*INDEX(Premises!$A$13:$F$13,1,$CH107))+INDEX(MAT[],$CJ107,MATCH($CA107,MAT!$B$4:$AE$4,0)+7))/$AT107),0))</f>
        <v>0</v>
      </c>
      <c r="AZ107" s="631">
        <f t="shared" si="299"/>
        <v>0</v>
      </c>
      <c r="BA107" s="635">
        <f t="shared" si="300"/>
        <v>0</v>
      </c>
      <c r="BB107" s="635">
        <f t="shared" si="301"/>
        <v>0</v>
      </c>
      <c r="BC107" s="639" cm="1">
        <f t="array" ref="BC107">IF($BB107&lt;=0,0,IF(BC$2=-1,0,INDEX(Premises!$A$32:$F$32,1,$CH107)/100))</f>
        <v>0</v>
      </c>
      <c r="BD107" s="631">
        <f t="shared" si="302"/>
        <v>0</v>
      </c>
      <c r="BE107" s="639" cm="1">
        <f t="array" ref="BE107">IF($BB107&lt;=0,0,IF(BE$2=-1,0,INDEX(Premises!$A$33:$F$33,1,$CH107)/100))</f>
        <v>0</v>
      </c>
      <c r="BF107" s="631">
        <f t="shared" si="303"/>
        <v>0</v>
      </c>
      <c r="BG107" s="639" cm="1">
        <f t="array" ref="BG107">IF($BB107&lt;=0,0,IF(BG$2=-1,0,INDEX(Premises!$A$31:$F$31,1,$CH107)/100))</f>
        <v>0</v>
      </c>
      <c r="BH107" s="631">
        <f t="shared" si="304"/>
        <v>0</v>
      </c>
      <c r="BI107" s="635">
        <f t="shared" si="305"/>
        <v>0</v>
      </c>
      <c r="BJ107" s="639" cm="1">
        <f t="array" ref="BJ107">IF($BB107&lt;=0,0,IF(BJ$2=-1,0,INDEX(Premises!$A$35:$F$35,1,$CH107)/100))</f>
        <v>0</v>
      </c>
      <c r="BK107" s="631">
        <f t="shared" si="306"/>
        <v>0</v>
      </c>
      <c r="BL107" s="639" cm="1">
        <f t="array" ref="BL107">IF($BB107&lt;=0,0,IF(BL$2=-1,0,INDEX(Premises!$A$36:$F$36,1,$CH107)/100))</f>
        <v>0</v>
      </c>
      <c r="BM107" s="631">
        <f t="shared" si="307"/>
        <v>0</v>
      </c>
      <c r="BN107" s="639" cm="1">
        <f t="array" ref="BN107">IF($BB107&lt;=0,0,IF(BN$2=-1,0,INDEX(Premises!$A$34:$F$34,1,$CH107)/100))</f>
        <v>0</v>
      </c>
      <c r="BO107" s="631">
        <f t="shared" si="308"/>
        <v>0</v>
      </c>
      <c r="BP107" s="639" cm="1">
        <f t="array" ref="BP107">IF($BI107=0,0,INDEX(Premises!$A$37:$F$37,1,$CH107)/100)</f>
        <v>0</v>
      </c>
      <c r="BQ107" s="409"/>
      <c r="BR107" s="631">
        <f t="shared" si="309"/>
        <v>0</v>
      </c>
      <c r="BS107" s="641">
        <f t="shared" si="310"/>
        <v>0</v>
      </c>
      <c r="BT107" s="641">
        <f t="shared" si="311"/>
        <v>0</v>
      </c>
      <c r="BU107" s="642">
        <f t="shared" si="312"/>
        <v>0</v>
      </c>
      <c r="BV107" s="1147"/>
      <c r="BW107" s="418"/>
      <c r="BX107" s="418"/>
      <c r="BY107" s="419"/>
      <c r="BZ107" s="968"/>
      <c r="CA107" s="280" cm="1">
        <f t="array" ref="CA107">IF($BZ107&gt;0,VALUE(LEFT($BZ107,IF(ISERROR(FIND("-",$BZ107)),LEN($BZ107),FIND("-",$BZ107)-1))),INDEX($CA$1:$CA107,MAX(1,$CD107)))</f>
        <v>1</v>
      </c>
      <c r="CB107" s="280" cm="1">
        <f t="array" ref="CB107">IF($BT107=0,0,IF(LEN($BZ107)-LEN(SUBSTITUTE($BZ107,"-",""))&gt;1,
VALUE(MID($BZ107,FIND("-",$BZ107)+1,FIND("-",$BZ107,FIND("-",$BZ107)+1)-FIND("-",$BZ107)-1)),IF($BZ107&gt;0,0,INDEX($CB$1:$CB107,MAX(1,$CD107)))))</f>
        <v>0</v>
      </c>
      <c r="CC107" s="280" cm="1">
        <f t="array" ref="CC107">IF($BT107=0,0,IF(NOT(ISERROR(FIND("-",BZ107))),
VALUE(RIGHT($BZ107,LEN($BZ107)-IF(LEN($BZ107)-LEN(SUBSTITUTE($BZ107,"-",""))=1,FIND("-",$BZ107),FIND("-",$BZ107,FIND("-",$BZ107)+1)))),
IF($BZ107&gt;0,0,INDEX($CC$1:$CC107,MAX(1,$CD107)))))</f>
        <v>0</v>
      </c>
      <c r="CD107" s="393">
        <f>MATCH(0,$CE$1:$CE107,-1)</f>
        <v>98</v>
      </c>
      <c r="CE107" s="280"/>
      <c r="CF107" s="394"/>
      <c r="CG107" s="393" cm="1">
        <f t="array" ref="CG107">INDEX($CG$1:$CG107,$CD107)</f>
        <v>11</v>
      </c>
      <c r="CH107" s="280">
        <f>MATCH($CA107,Premises!$A$10:$F$10,0)</f>
        <v>4</v>
      </c>
      <c r="CI107" s="280">
        <f>IF(ISBLANK($E107),0,IFERROR(MATCH($E107,MHR[Bezeichnung],0),0))</f>
        <v>0</v>
      </c>
      <c r="CJ107" s="394">
        <f>IF(ISBLANK($AQ107),0,IFERROR(MATCH($AQ107,MAT[Bezeichnung],0),0))</f>
        <v>0</v>
      </c>
      <c r="CK107" s="280" cm="1">
        <f t="array" ref="CK107">INDEX($D$1:$D107,$CD107)</f>
        <v>1</v>
      </c>
      <c r="CL107" s="280"/>
      <c r="CM107" s="395"/>
      <c r="CN107" s="396" cm="1">
        <f t="array" ref="CN107">IF($CB107=0,0,IF($CB107=INDEX($CB$1:$CB107,$CD107),INDEX($CN$1:$CN107,$CD107),$CP107))</f>
        <v>0</v>
      </c>
      <c r="CO107" s="395"/>
      <c r="CP107" s="396" cm="1">
        <f t="array" ref="CP107">IF($CC107=0,0,INDEX($CP$1:$CP107,$CD107))</f>
        <v>0</v>
      </c>
      <c r="CQ107" s="397"/>
      <c r="CR107" s="398"/>
      <c r="CS107" s="398"/>
      <c r="CT107" s="1152"/>
      <c r="CU107" s="1149"/>
      <c r="CV107" s="647">
        <f t="shared" si="313"/>
        <v>0</v>
      </c>
      <c r="CW107" s="648">
        <f t="shared" si="314"/>
        <v>0</v>
      </c>
      <c r="CX107" s="648">
        <f t="shared" si="315"/>
        <v>0</v>
      </c>
      <c r="CY107" s="648">
        <f t="shared" si="316"/>
        <v>0</v>
      </c>
      <c r="CZ107" s="648">
        <f t="shared" si="317"/>
        <v>0</v>
      </c>
      <c r="DA107" s="648">
        <f t="shared" si="318"/>
        <v>0</v>
      </c>
      <c r="DB107" s="648">
        <f t="shared" si="319"/>
        <v>0</v>
      </c>
      <c r="DC107" s="649">
        <f t="shared" si="320"/>
        <v>0</v>
      </c>
      <c r="DD107" s="648">
        <f t="shared" si="321"/>
        <v>0</v>
      </c>
      <c r="DE107" s="648">
        <f t="shared" si="322"/>
        <v>0</v>
      </c>
      <c r="DF107" s="648">
        <f t="shared" si="323"/>
        <v>0</v>
      </c>
      <c r="DG107" s="649">
        <f t="shared" si="324"/>
        <v>0</v>
      </c>
      <c r="DH107" s="649">
        <f t="shared" si="325"/>
        <v>0</v>
      </c>
      <c r="DI107" s="648">
        <f t="shared" si="326"/>
        <v>0</v>
      </c>
      <c r="DJ107" s="648">
        <f t="shared" si="327"/>
        <v>0</v>
      </c>
      <c r="DK107" s="648">
        <f t="shared" si="328"/>
        <v>0</v>
      </c>
      <c r="DL107" s="648">
        <f t="shared" si="329"/>
        <v>0</v>
      </c>
      <c r="DM107" s="648">
        <f t="shared" si="330"/>
        <v>0</v>
      </c>
      <c r="DN107" s="648">
        <f t="shared" si="331"/>
        <v>0</v>
      </c>
      <c r="DO107" s="648">
        <f t="shared" si="332"/>
        <v>0</v>
      </c>
      <c r="DP107" s="651">
        <f t="shared" si="333"/>
        <v>0</v>
      </c>
      <c r="DQ107" s="951">
        <f>IF($CB107=0,0,$DP107*_xlfn.XLOOKUP($CB107,Premises!$A$10:$F$10,Premises!$A$30:$F$30)/100)</f>
        <v>0</v>
      </c>
      <c r="DR107" s="650">
        <f>IFERROR(SUM($DP107:$DQ107)*IF(INDEX(Premises!$A$42:$F$42,1,MATCH($CB107,Premises!$A$10:$F$10,0))&gt;0,INDEX(Premises!$A$42:$F$42,1,MATCH($CB107,Premises!$A$10:$F$10,0))%,$CN107),0)</f>
        <v>0</v>
      </c>
      <c r="DS107" s="650" cm="1">
        <f t="array" ref="DS107">IF($CB107=0,0,SUM($DP107:$DR107)*_xlfn.XLOOKUP($CB107,Premises!$A$10:$F$10,IF(INDEX(Settings[],MATCH(3001,Settings[ID],0),2)="B",Premises!$A$33:$F$33,Premises!$A$31:$F$31))/100)</f>
        <v>0</v>
      </c>
      <c r="DT107" s="650" cm="1">
        <f t="array" ref="DT107">IF($CB107=0,0,$DP107*_xlfn.XLOOKUP($CB107,Premises!$A$10:$F$10,IF(INDEX(Settings[],MATCH(3002,Settings[ID],0),2)="B",Premises!$A$36:$F$36,Premises!$A$34:$F$34))/100)</f>
        <v>0</v>
      </c>
      <c r="DU107" s="650">
        <f>IF($CB107=0,0,SUM($DP107:$DT107)*_xlfn.XLOOKUP($CB107,Premises!$A$10:$F$10,Premises!$A$37:$F$37)/100)</f>
        <v>0</v>
      </c>
      <c r="DV107" s="954">
        <f t="shared" si="334"/>
        <v>0</v>
      </c>
      <c r="DW107" s="951">
        <f>IF($CC107=0,0,$DV107*_xlfn.XLOOKUP($CC107,Premises!$A$10:$F$10,Premises!$A$30:$F$30)/100)</f>
        <v>0</v>
      </c>
      <c r="DX107" s="650">
        <f>IFERROR(SUM($DV107:$DW107)*IF(INDEX(Premises!$A$42:$F$42,1,MATCH($CC107,Premises!$A$10:$F$10,0))&gt;0,INDEX(Premises!$A$42:$F$42,1,MATCH($CC107,Premises!$A$10:$F$10,0))%,$CP107),0)</f>
        <v>0</v>
      </c>
      <c r="DY107" s="650" cm="1">
        <f t="array" ref="DY107">IF($CC107=0,0,SUM($DV107:$DX107)*_xlfn.XLOOKUP($CC107,Premises!$A$10:$F$10,IF(INDEX(Settings[],MATCH(3001,Settings[ID],0),2)="B",Premises!$A$33:$F$33,Premises!$A$31:$F$31))/100)</f>
        <v>0</v>
      </c>
      <c r="DZ107" s="650" cm="1">
        <f t="array" ref="DZ107">IF($CC107=0,0,$DV107*_xlfn.XLOOKUP($CC107,Premises!$A$10:$F$10,IF(INDEX(Settings[],MATCH(3002,Settings[ID],0),2)="B",Premises!$A$36:$F$36,Premises!$A$34:$F$34))/100)</f>
        <v>0</v>
      </c>
      <c r="EA107" s="650">
        <f>IF($CC107=0,0,SUM($DV107:$DZ107)*_xlfn.XLOOKUP($CC107,Premises!$A$10:$F$10,Premises!$A$37:$F$37)/100)</f>
        <v>0</v>
      </c>
      <c r="EB107" s="651">
        <f t="shared" si="335"/>
        <v>0</v>
      </c>
      <c r="EC107" s="805"/>
      <c r="ED107" s="1104"/>
      <c r="EE107" s="650"/>
      <c r="EF107" s="1110"/>
      <c r="EG107" s="1108"/>
      <c r="EH107" s="1108"/>
      <c r="EI107" s="1108"/>
      <c r="EJ107" s="1108"/>
      <c r="EK107" s="1108"/>
      <c r="EL107" s="1108"/>
      <c r="EM107" s="1110"/>
      <c r="EN107" s="1108"/>
      <c r="EO107" s="1108"/>
      <c r="EP107" s="1108"/>
      <c r="EQ107" s="1108"/>
      <c r="ER107" s="1110"/>
      <c r="ES107" s="1108"/>
      <c r="ET107" s="1108"/>
      <c r="EU107" s="1108"/>
      <c r="EV107" s="1108"/>
      <c r="EW107" s="1108"/>
      <c r="EX107" s="1111"/>
      <c r="EY107" s="2"/>
      <c r="EZ107" s="2"/>
      <c r="FA107" s="2"/>
      <c r="FB107" s="2"/>
      <c r="FC107" s="2"/>
      <c r="FD107" s="2"/>
      <c r="FE107" s="2"/>
      <c r="FF107" s="2"/>
      <c r="FG107" s="2"/>
      <c r="FH107" s="2"/>
      <c r="FI107" s="2"/>
      <c r="FJ107" s="420"/>
      <c r="FK107" s="421"/>
      <c r="FL107" s="422"/>
      <c r="FM107" s="1153"/>
    </row>
    <row r="108" spans="1:169" s="13" customFormat="1" ht="12.75" customHeight="1">
      <c r="A108" s="221"/>
      <c r="B108" s="1329" t="s">
        <v>4324</v>
      </c>
      <c r="C108" s="403"/>
      <c r="D108" s="646"/>
      <c r="E108" s="404" t="s">
        <v>4325</v>
      </c>
      <c r="F108" s="405">
        <v>12.7</v>
      </c>
      <c r="G108" s="405" t="s">
        <v>93</v>
      </c>
      <c r="H108" s="405">
        <v>1</v>
      </c>
      <c r="I108" s="637" cm="1">
        <f t="array" ref="I108">IF($CI108=0,0,IFERROR(INDEX(MHR[],$CI108,MATCH($CA108,MHR!$B$4:$AY$4,0)),0))</f>
        <v>4.9595213293650797</v>
      </c>
      <c r="J108" s="634">
        <f t="shared" si="288"/>
        <v>1.7496089134149032E-2</v>
      </c>
      <c r="K108" s="406" t="s">
        <v>49</v>
      </c>
      <c r="L108" s="407">
        <v>15</v>
      </c>
      <c r="M108" s="871">
        <v>1</v>
      </c>
      <c r="N108" s="407"/>
      <c r="O108" s="405"/>
      <c r="P108" s="645" cm="1">
        <f t="array" ref="P108">IF($K108=0,0,IFERROR(ROUNDUP(IF(ISNUMBER($K108),$K108,INDEX($D$1:$D108,$CD108)*INDEX(Premises!$A$13:$F$13,1,$CH108)/IF(OR($K108="T",$K108="D"),250,IF($K108="W",50,IF($K108="M",12,IF(OR($K108="HJ",$K108="HY"),2,IF(OR($K108="J",$K108="Y"),1,0)))))),0),0))</f>
        <v>3334</v>
      </c>
      <c r="Q108" s="637" cm="1">
        <f t="array" ref="Q108">IF($K108=0,0,IFERROR(INDEX(Premises!$A$22:$F$22,1,$CH108)*100/INDEX(Premises!$A$16:$F$16,1,$CH108),0))</f>
        <v>16.925000000000001</v>
      </c>
      <c r="R108" s="634">
        <f t="shared" si="289"/>
        <v>1.6410108975228764E-3</v>
      </c>
      <c r="S108" s="408">
        <v>0.5</v>
      </c>
      <c r="T108" s="409" t="s">
        <v>275</v>
      </c>
      <c r="U108" s="637" cm="1">
        <f t="array" ref="U108">IF(COUNTBLANK($S108:$T108),0,
IF(AND(INDEX(MHR[Schichtmodell],$CI108)&lt;&gt;0,INDEX(MHR[Schichtmodell],$CI108)&lt;&gt;INDEX(Premises!$A$20:$F$20,1,$CH108)),ExchangeRate*
IF(OR($T108="M",$T108="U"),IF(INDEX(MHR[Schichtmodell],$CI108)=1,INDEX(LOC[M1S],INDEX(Premises!$A$18:$F$18,1,$CH108+1)),IF(INDEX(MHR[Schichtmodell],$CI108)=2,INDEX(LOC[M2S],INDEX(Premises!$A$18:$F$18,1,$CH108+1),IF(INDEX(MHR[Schichtmodell],$CI108)=3,INDEX(LOC[M3S],INDEX(Premises!$A$18:$F$18,1,$CH108+1)),0)))),
IF(INDEX(MHR[Schichtmodell],$CI108)=1,INDEX(LOC[F1S],INDEX(Premises!$A$18:$F$18,1,$CH108+1)),IF(INDEX(MHR[Schichtmodell],$CI108)=2,INDEX(LOC[F2S],INDEX(Premises!$A$18:$F$18,1,$CH108+1)),IF(INDEX(MHR[Schichtmodell],$CI108)=3,INDEX(LOC[F3S],INDEX(Premises!$A$18:$F$18,1,$CH108+1)),0)))),
IF(OR($T108="M",$T108="U"),INDEX(Premises!$A$21:$F$21,1,$CH108),
IF(OR($T108="F",$T108="S"),INDEX(Premises!$A$22:$F$22,1,$CH108),0)))*100/INDEX(Premises!$A$16:$F$16,1,$CH108))</f>
        <v>12.037500000000001</v>
      </c>
      <c r="V108" s="631">
        <f t="shared" si="290"/>
        <v>2.1232812500000003E-2</v>
      </c>
      <c r="W108" s="410"/>
      <c r="X108" s="403"/>
      <c r="Y108" s="411"/>
      <c r="Z108" s="412"/>
      <c r="AA108" s="628">
        <f t="shared" si="291"/>
        <v>0</v>
      </c>
      <c r="AB108" s="410"/>
      <c r="AC108" s="403"/>
      <c r="AD108" s="411"/>
      <c r="AE108" s="413"/>
      <c r="AF108" s="628">
        <f t="shared" si="292"/>
        <v>0</v>
      </c>
      <c r="AG108" s="629" cm="1">
        <f t="array" ref="AG108">IF(($J108+$V108+$AF108)=0,0,INDEX(Premises!$A$30:$F$30,1,$CH108)/100)</f>
        <v>0.01</v>
      </c>
      <c r="AH108" s="414"/>
      <c r="AI108" s="415"/>
      <c r="AJ108" s="416"/>
      <c r="AK108" s="630">
        <f t="shared" si="293"/>
        <v>0</v>
      </c>
      <c r="AL108" s="631">
        <f t="shared" si="294"/>
        <v>3.8728901634149036E-4</v>
      </c>
      <c r="AM108" s="632" cm="1">
        <f t="array" ref="AM108">IF($CI108=0,0,IFERROR(INDEX(MHR[],$CI108,MATCH($CA108,MHR!$B$4:$AY$4,0)+11),0))</f>
        <v>1.6554212648630602</v>
      </c>
      <c r="AN108" s="633" cm="1">
        <f t="array" ref="AN108">IF(($J108+$V108)=0,0,IFERROR(IF(INDEX(Premises!$A$41:$F$41,1,$CH108)&lt;&gt;0,INDEX(Premises!$A$41:$F$41,1,$CH108)/100,(IFERROR(($J108/$I108)*$AM108,0)/($V108+$J108+$R108+$AL108))),0))</f>
        <v>0.14328653904672556</v>
      </c>
      <c r="AO108" s="634">
        <f t="shared" si="295"/>
        <v>5.8399583510446848E-3</v>
      </c>
      <c r="AP108" s="635">
        <f t="shared" si="296"/>
        <v>4.6597159899058084E-2</v>
      </c>
      <c r="AQ108" s="410"/>
      <c r="AR108" s="409"/>
      <c r="AS108" s="636" cm="1">
        <f t="array" ref="AS108">IF($CJ108=0,0,IFERROR(INDEX(MAT[Einheit],$CJ108,1),0))</f>
        <v>0</v>
      </c>
      <c r="AT108" s="637" cm="1">
        <f t="array" ref="AT108">IF($CJ108=0,0,IFERROR(INDEX(MAT[Preis],$CJ108,1),0))</f>
        <v>0</v>
      </c>
      <c r="AU108" s="638">
        <f t="shared" si="297"/>
        <v>0</v>
      </c>
      <c r="AV108" s="639" cm="1">
        <f t="array" ref="AV108">IF($AU108&lt;=0,0,INDEX(Premises!$A$30:$F$30,1,$CH108)/100)</f>
        <v>0</v>
      </c>
      <c r="AW108" s="409"/>
      <c r="AX108" s="631">
        <f t="shared" si="298"/>
        <v>0</v>
      </c>
      <c r="AY108" s="640" cm="1">
        <f t="array" ref="AY108">IF($AT108&lt;=0,0,IFERROR(IF(INDEX(Premises!$A$42:$F$42,1,$CH108)&lt;&gt;0,INDEX(Premises!$A$42:$F$42,1,$CH108)/100,(INDEX(MAT[],$CJ108,MATCH($CA108,MAT!$B$4:$AE$4,0))/($AR108*$CK108*INDEX(Premises!$A$13:$F$13,1,$CH108))+INDEX(MAT[],$CJ108,MATCH($CA108,MAT!$B$4:$AE$4,0)+7))/$AT108),0))</f>
        <v>0</v>
      </c>
      <c r="AZ108" s="631">
        <f t="shared" si="299"/>
        <v>0</v>
      </c>
      <c r="BA108" s="635">
        <f t="shared" si="300"/>
        <v>0</v>
      </c>
      <c r="BB108" s="635">
        <f t="shared" si="301"/>
        <v>4.6597159899058084E-2</v>
      </c>
      <c r="BC108" s="639" cm="1">
        <f t="array" ref="BC108">IF($BB108&lt;=0,0,IF(BC$2=-1,0,INDEX(Premises!$A$32:$F$32,1,$CH108)/100))</f>
        <v>0</v>
      </c>
      <c r="BD108" s="631">
        <f t="shared" si="302"/>
        <v>0</v>
      </c>
      <c r="BE108" s="639" cm="1">
        <f t="array" ref="BE108">IF($BB108&lt;=0,0,IF(BE$2=-1,0,INDEX(Premises!$A$33:$F$33,1,$CH108)/100))</f>
        <v>0</v>
      </c>
      <c r="BF108" s="631">
        <f t="shared" si="303"/>
        <v>0</v>
      </c>
      <c r="BG108" s="639" cm="1">
        <f t="array" ref="BG108">IF($BB108&lt;=0,0,IF(BG$2=-1,0,INDEX(Premises!$A$31:$F$31,1,$CH108)/100))</f>
        <v>0.125</v>
      </c>
      <c r="BH108" s="631">
        <f t="shared" si="304"/>
        <v>5.7762338603395743E-3</v>
      </c>
      <c r="BI108" s="635">
        <f t="shared" si="305"/>
        <v>5.237339375939766E-2</v>
      </c>
      <c r="BJ108" s="639" cm="1">
        <f t="array" ref="BJ108">IF($BB108&lt;=0,0,IF(BJ$2=-1,0,INDEX(Premises!$A$35:$F$35,1,$CH108)/100))</f>
        <v>0</v>
      </c>
      <c r="BK108" s="631">
        <f t="shared" si="306"/>
        <v>0</v>
      </c>
      <c r="BL108" s="639" cm="1">
        <f t="array" ref="BL108">IF($BB108&lt;=0,0,IF(BL$2=-1,0,INDEX(Premises!$A$36:$F$36,1,$CH108)/100))</f>
        <v>0</v>
      </c>
      <c r="BM108" s="631">
        <f t="shared" si="307"/>
        <v>0</v>
      </c>
      <c r="BN108" s="639" cm="1">
        <f t="array" ref="BN108">IF($BB108&lt;=0,0,IF(BN$2=-1,0,INDEX(Premises!$A$34:$F$34,1,$CH108)/100))</f>
        <v>0.06</v>
      </c>
      <c r="BO108" s="631">
        <f t="shared" si="308"/>
        <v>2.7725922529629955E-3</v>
      </c>
      <c r="BP108" s="639" cm="1">
        <f t="array" ref="BP108">IF($BI108=0,0,INDEX(Premises!$A$37:$F$37,1,$CH108)/100)</f>
        <v>0</v>
      </c>
      <c r="BQ108" s="409"/>
      <c r="BR108" s="631">
        <f t="shared" si="309"/>
        <v>0</v>
      </c>
      <c r="BS108" s="641">
        <f t="shared" si="310"/>
        <v>5.5145986012360655E-2</v>
      </c>
      <c r="BT108" s="641">
        <f t="shared" si="311"/>
        <v>5.5145986012360655E-2</v>
      </c>
      <c r="BU108" s="642">
        <f t="shared" si="312"/>
        <v>1</v>
      </c>
      <c r="BV108" s="1147"/>
      <c r="BW108" s="418"/>
      <c r="BX108" s="418"/>
      <c r="BY108" s="419"/>
      <c r="BZ108" s="968"/>
      <c r="CA108" s="280" cm="1">
        <f t="array" ref="CA108">IF($BZ108&gt;0,VALUE(LEFT($BZ108,IF(ISERROR(FIND("-",$BZ108)),LEN($BZ108),FIND("-",$BZ108)-1))),INDEX($CA$1:$CA108,MAX(1,$CD108)))</f>
        <v>1</v>
      </c>
      <c r="CB108" s="280" cm="1">
        <f t="array" ref="CB108">IF($BT108=0,0,IF(LEN($BZ108)-LEN(SUBSTITUTE($BZ108,"-",""))&gt;1,
VALUE(MID($BZ108,FIND("-",$BZ108)+1,FIND("-",$BZ108,FIND("-",$BZ108)+1)-FIND("-",$BZ108)-1)),IF($BZ108&gt;0,0,INDEX($CB$1:$CB108,MAX(1,$CD108)))))</f>
        <v>0</v>
      </c>
      <c r="CC108" s="280" cm="1">
        <f t="array" ref="CC108">IF($BT108=0,0,IF(NOT(ISERROR(FIND("-",BZ108))),
VALUE(RIGHT($BZ108,LEN($BZ108)-IF(LEN($BZ108)-LEN(SUBSTITUTE($BZ108,"-",""))=1,FIND("-",$BZ108),FIND("-",$BZ108,FIND("-",$BZ108)+1)))),
IF($BZ108&gt;0,0,INDEX($CC$1:$CC108,MAX(1,$CD108)))))</f>
        <v>0</v>
      </c>
      <c r="CD108" s="393">
        <f>MATCH(0,$CE$1:$CE108,-1)</f>
        <v>98</v>
      </c>
      <c r="CE108" s="280"/>
      <c r="CF108" s="394"/>
      <c r="CG108" s="393" cm="1">
        <f t="array" ref="CG108">INDEX($CG$1:$CG108,$CD108)</f>
        <v>11</v>
      </c>
      <c r="CH108" s="280">
        <f>MATCH($CA108,Premises!$A$10:$F$10,0)</f>
        <v>4</v>
      </c>
      <c r="CI108" s="280">
        <f>IF(ISBLANK($E108),0,IFERROR(MATCH($E108,MHR[Bezeichnung],0),0))</f>
        <v>2</v>
      </c>
      <c r="CJ108" s="394">
        <f>IF(ISBLANK($AQ108),0,IFERROR(MATCH($AQ108,MAT[Bezeichnung],0),0))</f>
        <v>0</v>
      </c>
      <c r="CK108" s="280" cm="1">
        <f t="array" ref="CK108">INDEX($D$1:$D108,$CD108)</f>
        <v>1</v>
      </c>
      <c r="CL108" s="280"/>
      <c r="CM108" s="395"/>
      <c r="CN108" s="396" cm="1">
        <f t="array" ref="CN108">IF($CB108=0,0,IF($CB108=INDEX($CB$1:$CB108,$CD108),INDEX($CN$1:$CN108,$CD108),$CP108))</f>
        <v>0</v>
      </c>
      <c r="CO108" s="395"/>
      <c r="CP108" s="396" cm="1">
        <f t="array" ref="CP108">IF($CC108=0,0,INDEX($CP$1:$CP108,$CD108))</f>
        <v>0</v>
      </c>
      <c r="CQ108" s="397"/>
      <c r="CR108" s="398"/>
      <c r="CS108" s="398"/>
      <c r="CT108" s="1152"/>
      <c r="CU108" s="1149"/>
      <c r="CV108" s="647">
        <f t="shared" si="313"/>
        <v>1.7496089134149032E-2</v>
      </c>
      <c r="CW108" s="648">
        <f t="shared" si="314"/>
        <v>1.6410108975228764E-3</v>
      </c>
      <c r="CX108" s="648">
        <f t="shared" si="315"/>
        <v>2.1232812500000003E-2</v>
      </c>
      <c r="CY108" s="648">
        <f t="shared" si="316"/>
        <v>0</v>
      </c>
      <c r="CZ108" s="648">
        <f t="shared" si="317"/>
        <v>0</v>
      </c>
      <c r="DA108" s="648">
        <f t="shared" si="318"/>
        <v>3.8728901634149036E-4</v>
      </c>
      <c r="DB108" s="648">
        <f t="shared" si="319"/>
        <v>5.8399583510446848E-3</v>
      </c>
      <c r="DC108" s="649">
        <f t="shared" si="320"/>
        <v>4.6597159899058084E-2</v>
      </c>
      <c r="DD108" s="648">
        <f t="shared" si="321"/>
        <v>0</v>
      </c>
      <c r="DE108" s="648">
        <f t="shared" si="322"/>
        <v>0</v>
      </c>
      <c r="DF108" s="648">
        <f t="shared" si="323"/>
        <v>0</v>
      </c>
      <c r="DG108" s="649">
        <f t="shared" si="324"/>
        <v>0</v>
      </c>
      <c r="DH108" s="649">
        <f t="shared" si="325"/>
        <v>4.6597159899058084E-2</v>
      </c>
      <c r="DI108" s="648">
        <f t="shared" si="326"/>
        <v>0</v>
      </c>
      <c r="DJ108" s="648">
        <f t="shared" si="327"/>
        <v>0</v>
      </c>
      <c r="DK108" s="648">
        <f t="shared" si="328"/>
        <v>5.7762338603395743E-3</v>
      </c>
      <c r="DL108" s="648">
        <f t="shared" si="329"/>
        <v>0</v>
      </c>
      <c r="DM108" s="648">
        <f t="shared" si="330"/>
        <v>0</v>
      </c>
      <c r="DN108" s="648">
        <f t="shared" si="331"/>
        <v>2.7725922529629955E-3</v>
      </c>
      <c r="DO108" s="648">
        <f t="shared" si="332"/>
        <v>0</v>
      </c>
      <c r="DP108" s="651">
        <f t="shared" si="333"/>
        <v>5.5145986012360655E-2</v>
      </c>
      <c r="DQ108" s="951">
        <f>IF($CB108=0,0,$DP108*_xlfn.XLOOKUP($CB108,Premises!$A$10:$F$10,Premises!$A$30:$F$30)/100)</f>
        <v>0</v>
      </c>
      <c r="DR108" s="650">
        <f>IFERROR(SUM($DP108:$DQ108)*IF(INDEX(Premises!$A$42:$F$42,1,MATCH($CB108,Premises!$A$10:$F$10,0))&gt;0,INDEX(Premises!$A$42:$F$42,1,MATCH($CB108,Premises!$A$10:$F$10,0))%,$CN108),0)</f>
        <v>0</v>
      </c>
      <c r="DS108" s="650" cm="1">
        <f t="array" ref="DS108">IF($CB108=0,0,SUM($DP108:$DR108)*_xlfn.XLOOKUP($CB108,Premises!$A$10:$F$10,IF(INDEX(Settings[],MATCH(3001,Settings[ID],0),2)="B",Premises!$A$33:$F$33,Premises!$A$31:$F$31))/100)</f>
        <v>0</v>
      </c>
      <c r="DT108" s="650" cm="1">
        <f t="array" ref="DT108">IF($CB108=0,0,$DP108*_xlfn.XLOOKUP($CB108,Premises!$A$10:$F$10,IF(INDEX(Settings[],MATCH(3002,Settings[ID],0),2)="B",Premises!$A$36:$F$36,Premises!$A$34:$F$34))/100)</f>
        <v>0</v>
      </c>
      <c r="DU108" s="650">
        <f>IF($CB108=0,0,SUM($DP108:$DT108)*_xlfn.XLOOKUP($CB108,Premises!$A$10:$F$10,Premises!$A$37:$F$37)/100)</f>
        <v>0</v>
      </c>
      <c r="DV108" s="954">
        <f t="shared" si="334"/>
        <v>5.5145986012360655E-2</v>
      </c>
      <c r="DW108" s="951">
        <f>IF($CC108=0,0,$DV108*_xlfn.XLOOKUP($CC108,Premises!$A$10:$F$10,Premises!$A$30:$F$30)/100)</f>
        <v>0</v>
      </c>
      <c r="DX108" s="650">
        <f>IFERROR(SUM($DV108:$DW108)*IF(INDEX(Premises!$A$42:$F$42,1,MATCH($CC108,Premises!$A$10:$F$10,0))&gt;0,INDEX(Premises!$A$42:$F$42,1,MATCH($CC108,Premises!$A$10:$F$10,0))%,$CP108),0)</f>
        <v>0</v>
      </c>
      <c r="DY108" s="650" cm="1">
        <f t="array" ref="DY108">IF($CC108=0,0,SUM($DV108:$DX108)*_xlfn.XLOOKUP($CC108,Premises!$A$10:$F$10,IF(INDEX(Settings[],MATCH(3001,Settings[ID],0),2)="B",Premises!$A$33:$F$33,Premises!$A$31:$F$31))/100)</f>
        <v>0</v>
      </c>
      <c r="DZ108" s="650" cm="1">
        <f t="array" ref="DZ108">IF($CC108=0,0,$DV108*_xlfn.XLOOKUP($CC108,Premises!$A$10:$F$10,IF(INDEX(Settings[],MATCH(3002,Settings[ID],0),2)="B",Premises!$A$36:$F$36,Premises!$A$34:$F$34))/100)</f>
        <v>0</v>
      </c>
      <c r="EA108" s="650">
        <f>IF($CC108=0,0,SUM($DV108:$DZ108)*_xlfn.XLOOKUP($CC108,Premises!$A$10:$F$10,Premises!$A$37:$F$37)/100)</f>
        <v>0</v>
      </c>
      <c r="EB108" s="651">
        <f t="shared" si="335"/>
        <v>5.5145986012360655E-2</v>
      </c>
      <c r="EC108" s="805"/>
      <c r="ED108" s="1104"/>
      <c r="EE108" s="650"/>
      <c r="EF108" s="1110"/>
      <c r="EG108" s="1108"/>
      <c r="EH108" s="1108"/>
      <c r="EI108" s="1108"/>
      <c r="EJ108" s="1108"/>
      <c r="EK108" s="1108"/>
      <c r="EL108" s="1108"/>
      <c r="EM108" s="1110"/>
      <c r="EN108" s="1108"/>
      <c r="EO108" s="1108"/>
      <c r="EP108" s="1108"/>
      <c r="EQ108" s="1108"/>
      <c r="ER108" s="1110"/>
      <c r="ES108" s="1108"/>
      <c r="ET108" s="1108"/>
      <c r="EU108" s="1108"/>
      <c r="EV108" s="1108"/>
      <c r="EW108" s="1108"/>
      <c r="EX108" s="1111"/>
      <c r="EY108" s="2"/>
      <c r="EZ108" s="2"/>
      <c r="FA108" s="2"/>
      <c r="FB108" s="2"/>
      <c r="FC108" s="2"/>
      <c r="FD108" s="2"/>
      <c r="FE108" s="2"/>
      <c r="FF108" s="2"/>
      <c r="FG108" s="2"/>
      <c r="FH108" s="2"/>
      <c r="FI108" s="2"/>
      <c r="FJ108" s="420"/>
      <c r="FK108" s="421"/>
      <c r="FL108" s="422"/>
      <c r="FM108" s="1153"/>
    </row>
    <row r="109" spans="1:169" s="13" customFormat="1" ht="12.75" customHeight="1">
      <c r="A109" s="221"/>
      <c r="B109" s="402"/>
      <c r="C109" s="403"/>
      <c r="D109" s="646"/>
      <c r="E109" s="404"/>
      <c r="F109" s="405"/>
      <c r="G109" s="405"/>
      <c r="H109" s="405"/>
      <c r="I109" s="637" cm="1">
        <f t="array" ref="I109">IF($CI109=0,0,IFERROR(INDEX(MHR[],$CI109,MATCH($CA109,MHR!$B$4:$AY$4,0)),0))</f>
        <v>0</v>
      </c>
      <c r="J109" s="634">
        <f t="shared" si="288"/>
        <v>0</v>
      </c>
      <c r="K109" s="406"/>
      <c r="L109" s="407"/>
      <c r="M109" s="871"/>
      <c r="N109" s="407"/>
      <c r="O109" s="405"/>
      <c r="P109" s="645" cm="1">
        <f t="array" ref="P109">IF($K109=0,0,IFERROR(ROUNDUP(IF(ISNUMBER($K109),$K109,INDEX($D$1:$D109,$CD109)*INDEX(Premises!$A$13:$F$13,1,$CH109)/IF(OR($K109="T",$K109="D"),250,IF($K109="W",50,IF($K109="M",12,IF(OR($K109="HJ",$K109="HY"),2,IF(OR($K109="J",$K109="Y"),1,0)))))),0),0))</f>
        <v>0</v>
      </c>
      <c r="Q109" s="637" cm="1">
        <f t="array" ref="Q109">IF($K109=0,0,IFERROR(INDEX(Premises!$A$22:$F$22,1,$CH109)*100/INDEX(Premises!$A$16:$F$16,1,$CH109),0))</f>
        <v>0</v>
      </c>
      <c r="R109" s="634">
        <f t="shared" si="289"/>
        <v>0</v>
      </c>
      <c r="S109" s="408"/>
      <c r="T109" s="409"/>
      <c r="U109" s="637" cm="1">
        <f t="array" ref="U109">IF(COUNTBLANK($S109:$T109),0,
IF(AND(INDEX(MHR[Schichtmodell],$CI109)&lt;&gt;0,INDEX(MHR[Schichtmodell],$CI109)&lt;&gt;INDEX(Premises!$A$20:$F$20,1,$CH109)),ExchangeRate*
IF(OR($T109="M",$T109="U"),IF(INDEX(MHR[Schichtmodell],$CI109)=1,INDEX(LOC[M1S],INDEX(Premises!$A$18:$F$18,1,$CH109+1)),IF(INDEX(MHR[Schichtmodell],$CI109)=2,INDEX(LOC[M2S],INDEX(Premises!$A$18:$F$18,1,$CH109+1),IF(INDEX(MHR[Schichtmodell],$CI109)=3,INDEX(LOC[M3S],INDEX(Premises!$A$18:$F$18,1,$CH109+1)),0)))),
IF(INDEX(MHR[Schichtmodell],$CI109)=1,INDEX(LOC[F1S],INDEX(Premises!$A$18:$F$18,1,$CH109+1)),IF(INDEX(MHR[Schichtmodell],$CI109)=2,INDEX(LOC[F2S],INDEX(Premises!$A$18:$F$18,1,$CH109+1)),IF(INDEX(MHR[Schichtmodell],$CI109)=3,INDEX(LOC[F3S],INDEX(Premises!$A$18:$F$18,1,$CH109+1)),0)))),
IF(OR($T109="M",$T109="U"),INDEX(Premises!$A$21:$F$21,1,$CH109),
IF(OR($T109="F",$T109="S"),INDEX(Premises!$A$22:$F$22,1,$CH109),0)))*100/INDEX(Premises!$A$16:$F$16,1,$CH109))</f>
        <v>0</v>
      </c>
      <c r="V109" s="631">
        <f t="shared" si="290"/>
        <v>0</v>
      </c>
      <c r="W109" s="410"/>
      <c r="X109" s="403"/>
      <c r="Y109" s="411"/>
      <c r="Z109" s="412"/>
      <c r="AA109" s="628">
        <f t="shared" si="291"/>
        <v>0</v>
      </c>
      <c r="AB109" s="410"/>
      <c r="AC109" s="403"/>
      <c r="AD109" s="411"/>
      <c r="AE109" s="413"/>
      <c r="AF109" s="628">
        <f t="shared" si="292"/>
        <v>0</v>
      </c>
      <c r="AG109" s="629" cm="1">
        <f t="array" ref="AG109">IF(($J109+$V109+$AF109)=0,0,INDEX(Premises!$A$30:$F$30,1,$CH109)/100)</f>
        <v>0</v>
      </c>
      <c r="AH109" s="414"/>
      <c r="AI109" s="415"/>
      <c r="AJ109" s="416"/>
      <c r="AK109" s="630">
        <f t="shared" si="293"/>
        <v>0</v>
      </c>
      <c r="AL109" s="631">
        <f t="shared" si="294"/>
        <v>0</v>
      </c>
      <c r="AM109" s="632" cm="1">
        <f t="array" ref="AM109">IF($CI109=0,0,IFERROR(INDEX(MHR[],$CI109,MATCH($CA109,MHR!$B$4:$AY$4,0)+11),0))</f>
        <v>0</v>
      </c>
      <c r="AN109" s="633" cm="1">
        <f t="array" ref="AN109">IF(($J109+$V109)=0,0,IFERROR(IF(INDEX(Premises!$A$41:$F$41,1,$CH109)&lt;&gt;0,INDEX(Premises!$A$41:$F$41,1,$CH109)/100,(IFERROR(($J109/$I109)*$AM109,0)/($V109+$J109+$R109+$AL109))),0))</f>
        <v>0</v>
      </c>
      <c r="AO109" s="634">
        <f t="shared" si="295"/>
        <v>0</v>
      </c>
      <c r="AP109" s="635">
        <f t="shared" si="296"/>
        <v>0</v>
      </c>
      <c r="AQ109" s="410"/>
      <c r="AR109" s="409"/>
      <c r="AS109" s="636" cm="1">
        <f t="array" ref="AS109">IF($CJ109=0,0,IFERROR(INDEX(MAT[Einheit],$CJ109,1),0))</f>
        <v>0</v>
      </c>
      <c r="AT109" s="637" cm="1">
        <f t="array" ref="AT109">IF($CJ109=0,0,IFERROR(INDEX(MAT[Preis],$CJ109,1),0))</f>
        <v>0</v>
      </c>
      <c r="AU109" s="638">
        <f t="shared" si="297"/>
        <v>0</v>
      </c>
      <c r="AV109" s="639" cm="1">
        <f t="array" ref="AV109">IF($AU109&lt;=0,0,INDEX(Premises!$A$30:$F$30,1,$CH109)/100)</f>
        <v>0</v>
      </c>
      <c r="AW109" s="409"/>
      <c r="AX109" s="631">
        <f t="shared" si="298"/>
        <v>0</v>
      </c>
      <c r="AY109" s="640" cm="1">
        <f t="array" ref="AY109">IF($AT109&lt;=0,0,IFERROR(IF(INDEX(Premises!$A$42:$F$42,1,$CH109)&lt;&gt;0,INDEX(Premises!$A$42:$F$42,1,$CH109)/100,(INDEX(MAT[],$CJ109,MATCH($CA109,MAT!$B$4:$AE$4,0))/($AR109*$CK109*INDEX(Premises!$A$13:$F$13,1,$CH109))+INDEX(MAT[],$CJ109,MATCH($CA109,MAT!$B$4:$AE$4,0)+7))/$AT109),0))</f>
        <v>0</v>
      </c>
      <c r="AZ109" s="631">
        <f t="shared" si="299"/>
        <v>0</v>
      </c>
      <c r="BA109" s="635">
        <f t="shared" si="300"/>
        <v>0</v>
      </c>
      <c r="BB109" s="635">
        <f t="shared" si="301"/>
        <v>0</v>
      </c>
      <c r="BC109" s="639" cm="1">
        <f t="array" ref="BC109">IF($BB109&lt;=0,0,IF(BC$2=-1,0,INDEX(Premises!$A$32:$F$32,1,$CH109)/100))</f>
        <v>0</v>
      </c>
      <c r="BD109" s="631">
        <f t="shared" si="302"/>
        <v>0</v>
      </c>
      <c r="BE109" s="639" cm="1">
        <f t="array" ref="BE109">IF($BB109&lt;=0,0,IF(BE$2=-1,0,INDEX(Premises!$A$33:$F$33,1,$CH109)/100))</f>
        <v>0</v>
      </c>
      <c r="BF109" s="631">
        <f t="shared" si="303"/>
        <v>0</v>
      </c>
      <c r="BG109" s="639" cm="1">
        <f t="array" ref="BG109">IF($BB109&lt;=0,0,IF(BG$2=-1,0,INDEX(Premises!$A$31:$F$31,1,$CH109)/100))</f>
        <v>0</v>
      </c>
      <c r="BH109" s="631">
        <f t="shared" si="304"/>
        <v>0</v>
      </c>
      <c r="BI109" s="635">
        <f t="shared" si="305"/>
        <v>0</v>
      </c>
      <c r="BJ109" s="639" cm="1">
        <f t="array" ref="BJ109">IF($BB109&lt;=0,0,IF(BJ$2=-1,0,INDEX(Premises!$A$35:$F$35,1,$CH109)/100))</f>
        <v>0</v>
      </c>
      <c r="BK109" s="631">
        <f t="shared" si="306"/>
        <v>0</v>
      </c>
      <c r="BL109" s="639" cm="1">
        <f t="array" ref="BL109">IF($BB109&lt;=0,0,IF(BL$2=-1,0,INDEX(Premises!$A$36:$F$36,1,$CH109)/100))</f>
        <v>0</v>
      </c>
      <c r="BM109" s="631">
        <f t="shared" si="307"/>
        <v>0</v>
      </c>
      <c r="BN109" s="639" cm="1">
        <f t="array" ref="BN109">IF($BB109&lt;=0,0,IF(BN$2=-1,0,INDEX(Premises!$A$34:$F$34,1,$CH109)/100))</f>
        <v>0</v>
      </c>
      <c r="BO109" s="631">
        <f t="shared" si="308"/>
        <v>0</v>
      </c>
      <c r="BP109" s="639" cm="1">
        <f t="array" ref="BP109">IF($BI109=0,0,INDEX(Premises!$A$37:$F$37,1,$CH109)/100)</f>
        <v>0</v>
      </c>
      <c r="BQ109" s="409"/>
      <c r="BR109" s="631">
        <f t="shared" si="309"/>
        <v>0</v>
      </c>
      <c r="BS109" s="641">
        <f t="shared" si="310"/>
        <v>0</v>
      </c>
      <c r="BT109" s="641">
        <f t="shared" si="311"/>
        <v>0</v>
      </c>
      <c r="BU109" s="642">
        <f t="shared" si="312"/>
        <v>0</v>
      </c>
      <c r="BV109" s="1147"/>
      <c r="BW109" s="418"/>
      <c r="BX109" s="418"/>
      <c r="BY109" s="419"/>
      <c r="BZ109" s="968"/>
      <c r="CA109" s="280" cm="1">
        <f t="array" ref="CA109">IF($BZ109&gt;0,VALUE(LEFT($BZ109,IF(ISERROR(FIND("-",$BZ109)),LEN($BZ109),FIND("-",$BZ109)-1))),INDEX($CA$1:$CA109,MAX(1,$CD109)))</f>
        <v>1</v>
      </c>
      <c r="CB109" s="280" cm="1">
        <f t="array" ref="CB109">IF($BT109=0,0,IF(LEN($BZ109)-LEN(SUBSTITUTE($BZ109,"-",""))&gt;1,
VALUE(MID($BZ109,FIND("-",$BZ109)+1,FIND("-",$BZ109,FIND("-",$BZ109)+1)-FIND("-",$BZ109)-1)),IF($BZ109&gt;0,0,INDEX($CB$1:$CB109,MAX(1,$CD109)))))</f>
        <v>0</v>
      </c>
      <c r="CC109" s="280" cm="1">
        <f t="array" ref="CC109">IF($BT109=0,0,IF(NOT(ISERROR(FIND("-",BZ109))),
VALUE(RIGHT($BZ109,LEN($BZ109)-IF(LEN($BZ109)-LEN(SUBSTITUTE($BZ109,"-",""))=1,FIND("-",$BZ109),FIND("-",$BZ109,FIND("-",$BZ109)+1)))),
IF($BZ109&gt;0,0,INDEX($CC$1:$CC109,MAX(1,$CD109)))))</f>
        <v>0</v>
      </c>
      <c r="CD109" s="393">
        <f>MATCH(0,$CE$1:$CE109,-1)</f>
        <v>98</v>
      </c>
      <c r="CE109" s="280"/>
      <c r="CF109" s="394"/>
      <c r="CG109" s="393" cm="1">
        <f t="array" ref="CG109">INDEX($CG$1:$CG109,$CD109)</f>
        <v>11</v>
      </c>
      <c r="CH109" s="280">
        <f>MATCH($CA109,Premises!$A$10:$F$10,0)</f>
        <v>4</v>
      </c>
      <c r="CI109" s="280">
        <f>IF(ISBLANK($E109),0,IFERROR(MATCH($E109,MHR[Bezeichnung],0),0))</f>
        <v>0</v>
      </c>
      <c r="CJ109" s="394">
        <f>IF(ISBLANK($AQ109),0,IFERROR(MATCH($AQ109,MAT[Bezeichnung],0),0))</f>
        <v>0</v>
      </c>
      <c r="CK109" s="280" cm="1">
        <f t="array" ref="CK109">INDEX($D$1:$D109,$CD109)</f>
        <v>1</v>
      </c>
      <c r="CL109" s="280"/>
      <c r="CM109" s="395"/>
      <c r="CN109" s="396" cm="1">
        <f t="array" ref="CN109">IF($CB109=0,0,IF($CB109=INDEX($CB$1:$CB109,$CD109),INDEX($CN$1:$CN109,$CD109),$CP109))</f>
        <v>0</v>
      </c>
      <c r="CO109" s="395"/>
      <c r="CP109" s="396" cm="1">
        <f t="array" ref="CP109">IF($CC109=0,0,INDEX($CP$1:$CP109,$CD109))</f>
        <v>0</v>
      </c>
      <c r="CQ109" s="397"/>
      <c r="CR109" s="398"/>
      <c r="CS109" s="398"/>
      <c r="CT109" s="1152"/>
      <c r="CU109" s="1149"/>
      <c r="CV109" s="647">
        <f t="shared" si="313"/>
        <v>0</v>
      </c>
      <c r="CW109" s="648">
        <f t="shared" si="314"/>
        <v>0</v>
      </c>
      <c r="CX109" s="648">
        <f t="shared" si="315"/>
        <v>0</v>
      </c>
      <c r="CY109" s="648">
        <f t="shared" si="316"/>
        <v>0</v>
      </c>
      <c r="CZ109" s="648">
        <f t="shared" si="317"/>
        <v>0</v>
      </c>
      <c r="DA109" s="648">
        <f t="shared" si="318"/>
        <v>0</v>
      </c>
      <c r="DB109" s="648">
        <f t="shared" si="319"/>
        <v>0</v>
      </c>
      <c r="DC109" s="649">
        <f t="shared" si="320"/>
        <v>0</v>
      </c>
      <c r="DD109" s="648">
        <f t="shared" si="321"/>
        <v>0</v>
      </c>
      <c r="DE109" s="648">
        <f t="shared" si="322"/>
        <v>0</v>
      </c>
      <c r="DF109" s="648">
        <f t="shared" si="323"/>
        <v>0</v>
      </c>
      <c r="DG109" s="649">
        <f t="shared" si="324"/>
        <v>0</v>
      </c>
      <c r="DH109" s="649">
        <f t="shared" si="325"/>
        <v>0</v>
      </c>
      <c r="DI109" s="648">
        <f t="shared" si="326"/>
        <v>0</v>
      </c>
      <c r="DJ109" s="648">
        <f t="shared" si="327"/>
        <v>0</v>
      </c>
      <c r="DK109" s="648">
        <f t="shared" si="328"/>
        <v>0</v>
      </c>
      <c r="DL109" s="648">
        <f t="shared" si="329"/>
        <v>0</v>
      </c>
      <c r="DM109" s="648">
        <f t="shared" si="330"/>
        <v>0</v>
      </c>
      <c r="DN109" s="648">
        <f t="shared" si="331"/>
        <v>0</v>
      </c>
      <c r="DO109" s="648">
        <f t="shared" si="332"/>
        <v>0</v>
      </c>
      <c r="DP109" s="651">
        <f t="shared" si="333"/>
        <v>0</v>
      </c>
      <c r="DQ109" s="951">
        <f>IF($CB109=0,0,$DP109*_xlfn.XLOOKUP($CB109,Premises!$A$10:$F$10,Premises!$A$30:$F$30)/100)</f>
        <v>0</v>
      </c>
      <c r="DR109" s="650">
        <f>IFERROR(SUM($DP109:$DQ109)*IF(INDEX(Premises!$A$42:$F$42,1,MATCH($CB109,Premises!$A$10:$F$10,0))&gt;0,INDEX(Premises!$A$42:$F$42,1,MATCH($CB109,Premises!$A$10:$F$10,0))%,$CN109),0)</f>
        <v>0</v>
      </c>
      <c r="DS109" s="650" cm="1">
        <f t="array" ref="DS109">IF($CB109=0,0,SUM($DP109:$DR109)*_xlfn.XLOOKUP($CB109,Premises!$A$10:$F$10,IF(INDEX(Settings[],MATCH(3001,Settings[ID],0),2)="B",Premises!$A$33:$F$33,Premises!$A$31:$F$31))/100)</f>
        <v>0</v>
      </c>
      <c r="DT109" s="650" cm="1">
        <f t="array" ref="DT109">IF($CB109=0,0,$DP109*_xlfn.XLOOKUP($CB109,Premises!$A$10:$F$10,IF(INDEX(Settings[],MATCH(3002,Settings[ID],0),2)="B",Premises!$A$36:$F$36,Premises!$A$34:$F$34))/100)</f>
        <v>0</v>
      </c>
      <c r="DU109" s="650">
        <f>IF($CB109=0,0,SUM($DP109:$DT109)*_xlfn.XLOOKUP($CB109,Premises!$A$10:$F$10,Premises!$A$37:$F$37)/100)</f>
        <v>0</v>
      </c>
      <c r="DV109" s="954">
        <f t="shared" si="334"/>
        <v>0</v>
      </c>
      <c r="DW109" s="951">
        <f>IF($CC109=0,0,$DV109*_xlfn.XLOOKUP($CC109,Premises!$A$10:$F$10,Premises!$A$30:$F$30)/100)</f>
        <v>0</v>
      </c>
      <c r="DX109" s="650">
        <f>IFERROR(SUM($DV109:$DW109)*IF(INDEX(Premises!$A$42:$F$42,1,MATCH($CC109,Premises!$A$10:$F$10,0))&gt;0,INDEX(Premises!$A$42:$F$42,1,MATCH($CC109,Premises!$A$10:$F$10,0))%,$CP109),0)</f>
        <v>0</v>
      </c>
      <c r="DY109" s="650" cm="1">
        <f t="array" ref="DY109">IF($CC109=0,0,SUM($DV109:$DX109)*_xlfn.XLOOKUP($CC109,Premises!$A$10:$F$10,IF(INDEX(Settings[],MATCH(3001,Settings[ID],0),2)="B",Premises!$A$33:$F$33,Premises!$A$31:$F$31))/100)</f>
        <v>0</v>
      </c>
      <c r="DZ109" s="650" cm="1">
        <f t="array" ref="DZ109">IF($CC109=0,0,$DV109*_xlfn.XLOOKUP($CC109,Premises!$A$10:$F$10,IF(INDEX(Settings[],MATCH(3002,Settings[ID],0),2)="B",Premises!$A$36:$F$36,Premises!$A$34:$F$34))/100)</f>
        <v>0</v>
      </c>
      <c r="EA109" s="650">
        <f>IF($CC109=0,0,SUM($DV109:$DZ109)*_xlfn.XLOOKUP($CC109,Premises!$A$10:$F$10,Premises!$A$37:$F$37)/100)</f>
        <v>0</v>
      </c>
      <c r="EB109" s="651">
        <f t="shared" si="335"/>
        <v>0</v>
      </c>
      <c r="EC109" s="805"/>
      <c r="ED109" s="1104"/>
      <c r="EE109" s="650"/>
      <c r="EF109" s="1110"/>
      <c r="EG109" s="1108"/>
      <c r="EH109" s="1108"/>
      <c r="EI109" s="1108"/>
      <c r="EJ109" s="1108"/>
      <c r="EK109" s="1108"/>
      <c r="EL109" s="1108"/>
      <c r="EM109" s="1110"/>
      <c r="EN109" s="1108"/>
      <c r="EO109" s="1108"/>
      <c r="EP109" s="1108"/>
      <c r="EQ109" s="1108"/>
      <c r="ER109" s="1110"/>
      <c r="ES109" s="1108"/>
      <c r="ET109" s="1108"/>
      <c r="EU109" s="1108"/>
      <c r="EV109" s="1108"/>
      <c r="EW109" s="1108"/>
      <c r="EX109" s="1111"/>
      <c r="EY109" s="2"/>
      <c r="EZ109" s="2"/>
      <c r="FA109" s="2"/>
      <c r="FB109" s="2"/>
      <c r="FC109" s="2"/>
      <c r="FD109" s="2"/>
      <c r="FE109" s="2"/>
      <c r="FF109" s="2"/>
      <c r="FG109" s="2"/>
      <c r="FH109" s="2"/>
      <c r="FI109" s="2"/>
      <c r="FJ109" s="420"/>
      <c r="FK109" s="421"/>
      <c r="FL109" s="422"/>
      <c r="FM109" s="1153"/>
    </row>
    <row r="110" spans="1:169" s="13" customFormat="1" ht="12.75" customHeight="1">
      <c r="A110" s="221"/>
      <c r="B110" s="1329" t="s">
        <v>4348</v>
      </c>
      <c r="C110" s="403"/>
      <c r="D110" s="646"/>
      <c r="E110" s="404" t="s">
        <v>4349</v>
      </c>
      <c r="F110" s="405">
        <v>6</v>
      </c>
      <c r="G110" s="405" t="s">
        <v>93</v>
      </c>
      <c r="H110" s="405">
        <v>1</v>
      </c>
      <c r="I110" s="637" cm="1">
        <f t="array" ref="I110">IF($CI110=0,0,IFERROR(INDEX(MHR[],$CI110,MATCH($CA110,MHR!$B$4:$AY$4,0)),0))</f>
        <v>8.4611687662095143</v>
      </c>
      <c r="J110" s="634">
        <f>IF(COUNTBLANK($E110:$H110),0,IFERROR($F110/$H110/IF($G110="s",3600,IF($G110="min",60,IF($G110="h",1,0)))*I110,0))</f>
        <v>1.4101947943682525E-2</v>
      </c>
      <c r="K110" s="406" t="s">
        <v>49</v>
      </c>
      <c r="L110" s="407">
        <v>30</v>
      </c>
      <c r="M110" s="871">
        <v>1</v>
      </c>
      <c r="N110" s="407"/>
      <c r="O110" s="405"/>
      <c r="P110" s="645" cm="1">
        <f t="array" ref="P110">IF($K110=0,0,IFERROR(ROUNDUP(IF(ISNUMBER($K110),$K110,INDEX($D$1:$D110,$CD110)*INDEX(Premises!$A$13:$F$13,1,$CH110)/IF(OR($K110="T",$K110="D"),250,IF($K110="W",50,IF($K110="M",12,IF(OR($K110="HJ",$K110="HY"),2,IF(OR($K110="J",$K110="Y"),1,0)))))),0),0))</f>
        <v>3334</v>
      </c>
      <c r="Q110" s="637" cm="1">
        <f t="array" ref="Q110">IF($K110=0,0,IFERROR(INDEX(Premises!$A$22:$F$22,1,$CH110)*100/INDEX(Premises!$A$16:$F$16,1,$CH110),0))</f>
        <v>16.925000000000001</v>
      </c>
      <c r="R110" s="634">
        <f>IF($P110=0,0,IFERROR(($L110/60*($I110+$Q110*$M110)+($N110/60*($Q110*$O110)))/$P110,0))</f>
        <v>3.8071638821549963E-3</v>
      </c>
      <c r="S110" s="408">
        <v>0.2</v>
      </c>
      <c r="T110" s="409" t="s">
        <v>275</v>
      </c>
      <c r="U110" s="637" cm="1">
        <f t="array" ref="U110">IF(COUNTBLANK($S110:$T110),0,
IF(AND(INDEX(MHR[Schichtmodell],$CI110)&lt;&gt;0,INDEX(MHR[Schichtmodell],$CI110)&lt;&gt;INDEX(Premises!$A$20:$F$20,1,$CH110)),ExchangeRate*
IF(OR($T110="M",$T110="U"),IF(INDEX(MHR[Schichtmodell],$CI110)=1,INDEX(LOC[M1S],INDEX(Premises!$A$18:$F$18,1,$CH110+1)),IF(INDEX(MHR[Schichtmodell],$CI110)=2,INDEX(LOC[M2S],INDEX(Premises!$A$18:$F$18,1,$CH110+1),IF(INDEX(MHR[Schichtmodell],$CI110)=3,INDEX(LOC[M3S],INDEX(Premises!$A$18:$F$18,1,$CH110+1)),0)))),
IF(INDEX(MHR[Schichtmodell],$CI110)=1,INDEX(LOC[F1S],INDEX(Premises!$A$18:$F$18,1,$CH110+1)),IF(INDEX(MHR[Schichtmodell],$CI110)=2,INDEX(LOC[F2S],INDEX(Premises!$A$18:$F$18,1,$CH110+1)),IF(INDEX(MHR[Schichtmodell],$CI110)=3,INDEX(LOC[F3S],INDEX(Premises!$A$18:$F$18,1,$CH110+1)),0)))),
IF(OR($T110="M",$T110="U"),INDEX(Premises!$A$21:$F$21,1,$CH110),
IF(OR($T110="F",$T110="S"),INDEX(Premises!$A$22:$F$22,1,$CH110),0)))*100/INDEX(Premises!$A$16:$F$16,1,$CH110))</f>
        <v>12.037500000000001</v>
      </c>
      <c r="V110" s="631">
        <f>IF($U110=0,0,IFERROR($F110/$H110/IF($G110="s",3600,IF($G110="min",60,IF($G110="h",1,0)))*$S110*$U110,0))</f>
        <v>4.0125000000000013E-3</v>
      </c>
      <c r="W110" s="410"/>
      <c r="X110" s="403"/>
      <c r="Y110" s="411"/>
      <c r="Z110" s="412"/>
      <c r="AA110" s="628">
        <f>IFERROR($X110*$Z110/$Y110/MAX(1,$H110),0)</f>
        <v>0</v>
      </c>
      <c r="AB110" s="410"/>
      <c r="AC110" s="403"/>
      <c r="AD110" s="411"/>
      <c r="AE110" s="413"/>
      <c r="AF110" s="628">
        <f>IFERROR($AC110*$AE110/$AD110,0)</f>
        <v>0</v>
      </c>
      <c r="AG110" s="629" cm="1">
        <f t="array" ref="AG110">IF(($J110+$V110+$AF110)=0,0,INDEX(Premises!$A$30:$F$30,1,$CH110)/100)</f>
        <v>0.01</v>
      </c>
      <c r="AH110" s="414"/>
      <c r="AI110" s="415"/>
      <c r="AJ110" s="416"/>
      <c r="AK110" s="630">
        <f>IF(COUNTBLANK($AH110:$AI110),0,$AH110*$AI110*$AG110)</f>
        <v>0</v>
      </c>
      <c r="AL110" s="631">
        <f>($AK110+$AJ110*$AG110*(1-$AH110)+($J110+$V110+$AF110)*$AG110*(1-$AH110))</f>
        <v>1.8114447943682528E-4</v>
      </c>
      <c r="AM110" s="632" cm="1">
        <f t="array" ref="AM110">IF($CI110=0,0,IFERROR(INDEX(MHR[],$CI110,MATCH($CA110,MHR!$B$4:$AY$4,0)+11),0))</f>
        <v>2.9276087435140492</v>
      </c>
      <c r="AN110" s="633" cm="1">
        <f t="array" ref="AN110">IF(($J110+$V110)=0,0,IFERROR(IF(INDEX(Premises!$A$41:$F$41,1,$CH110)&lt;&gt;0,INDEX(Premises!$A$41:$F$41,1,$CH110)/100,(IFERROR(($J110/$I110)*$AM110,0)/($V110+$J110+$R110+$AL110))),0))</f>
        <v>0.22075744031491662</v>
      </c>
      <c r="AO110" s="634">
        <f>IF(($J110+$V110)=0,0,IF(IFERROR(($J110+$R110+$V110+$AL110)*$AN110,0)&lt;&gt;IFERROR(($J110/$I110)*$AM110,0),($J110+$R110+$V110+$AL110)*$AN110,IFERROR(($J110/$I110)*$AM110,0)))</f>
        <v>4.879347905856749E-3</v>
      </c>
      <c r="AP110" s="635">
        <f>$V110+$J110+$R110+$AA110+$AF110+$AL110+$AO110</f>
        <v>2.6982104211131099E-2</v>
      </c>
      <c r="AQ110" s="410"/>
      <c r="AR110" s="409"/>
      <c r="AS110" s="636" cm="1">
        <f t="array" ref="AS110">IF($CJ110=0,0,IFERROR(INDEX(MAT[Einheit],$CJ110,1),0))</f>
        <v>0</v>
      </c>
      <c r="AT110" s="637" cm="1">
        <f t="array" ref="AT110">IF($CJ110=0,0,IFERROR(INDEX(MAT[Preis],$CJ110,1),0))</f>
        <v>0</v>
      </c>
      <c r="AU110" s="638">
        <f>$AR110*$AT110</f>
        <v>0</v>
      </c>
      <c r="AV110" s="639" cm="1">
        <f t="array" ref="AV110">IF($AU110&lt;=0,0,INDEX(Premises!$A$30:$F$30,1,$CH110)/100)</f>
        <v>0</v>
      </c>
      <c r="AW110" s="409"/>
      <c r="AX110" s="631">
        <f>IF($AV110=0,0,($AU110+$AW110)*$AV110)</f>
        <v>0</v>
      </c>
      <c r="AY110" s="640" cm="1">
        <f t="array" ref="AY110">IF($AT110&lt;=0,0,IFERROR(IF(INDEX(Premises!$A$42:$F$42,1,$CH110)&lt;&gt;0,INDEX(Premises!$A$42:$F$42,1,$CH110)/100,(INDEX(MAT[],$CJ110,MATCH($CA110,MAT!$B$4:$AE$4,0))/($AR110*$CK110*INDEX(Premises!$A$13:$F$13,1,$CH110))+INDEX(MAT[],$CJ110,MATCH($CA110,MAT!$B$4:$AE$4,0)+7))/$AT110),0))</f>
        <v>0</v>
      </c>
      <c r="AZ110" s="631">
        <f>IF($AY110=0,0,($AU110+$AX110)*$AY110)</f>
        <v>0</v>
      </c>
      <c r="BA110" s="635">
        <f>$AU110+$AX110+$AZ110</f>
        <v>0</v>
      </c>
      <c r="BB110" s="635">
        <f>$AP110+$BA110</f>
        <v>2.6982104211131099E-2</v>
      </c>
      <c r="BC110" s="639" cm="1">
        <f t="array" ref="BC110">IF($BB110&lt;=0,0,IF(BC$2=-1,0,INDEX(Premises!$A$32:$F$32,1,$CH110)/100))</f>
        <v>0</v>
      </c>
      <c r="BD110" s="631">
        <f>IF($AP110&lt;=0,0,($AP110-$AA110-$AL110)*$BC110)</f>
        <v>0</v>
      </c>
      <c r="BE110" s="639" cm="1">
        <f t="array" ref="BE110">IF($BB110&lt;=0,0,IF(BE$2=-1,0,INDEX(Premises!$A$33:$F$33,1,$CH110)/100))</f>
        <v>0</v>
      </c>
      <c r="BF110" s="631">
        <f>IF($BA110&lt;=0,0,$BA110*$BE110)</f>
        <v>0</v>
      </c>
      <c r="BG110" s="639" cm="1">
        <f t="array" ref="BG110">IF($BB110&lt;=0,0,IF(BG$2=-1,0,INDEX(Premises!$A$31:$F$31,1,$CH110)/100))</f>
        <v>0.125</v>
      </c>
      <c r="BH110" s="631">
        <f>(($AP110-$AA110-$AL110)+$BA110)*$BG110</f>
        <v>3.3501199664617842E-3</v>
      </c>
      <c r="BI110" s="635">
        <f>$BB110+$BD110+$BF110+$BH110</f>
        <v>3.0332224177592883E-2</v>
      </c>
      <c r="BJ110" s="639" cm="1">
        <f t="array" ref="BJ110">IF($BB110&lt;=0,0,IF(BJ$2=-1,0,INDEX(Premises!$A$35:$F$35,1,$CH110)/100))</f>
        <v>0</v>
      </c>
      <c r="BK110" s="631">
        <f>IF($AP110&lt;=0,0,($AP110-$AL110-$AA110)*$BJ110)</f>
        <v>0</v>
      </c>
      <c r="BL110" s="639" cm="1">
        <f t="array" ref="BL110">IF($BB110&lt;=0,0,IF(BL$2=-1,0,INDEX(Premises!$A$36:$F$36,1,$CH110)/100))</f>
        <v>0</v>
      </c>
      <c r="BM110" s="631">
        <f>IF($AU110&lt;=0,0,($AR110*$AT110)*$BL110)</f>
        <v>0</v>
      </c>
      <c r="BN110" s="639" cm="1">
        <f t="array" ref="BN110">IF($BB110&lt;=0,0,IF(BN$2=-1,0,INDEX(Premises!$A$34:$F$34,1,$CH110)/100))</f>
        <v>0.06</v>
      </c>
      <c r="BO110" s="631">
        <f>(($AP110-$AL110-$AA110)+($AR110*$AT110))*$BN110</f>
        <v>1.6080575839016564E-3</v>
      </c>
      <c r="BP110" s="639" cm="1">
        <f t="array" ref="BP110">IF($BI110=0,0,INDEX(Premises!$A$37:$F$37,1,$CH110)/100)</f>
        <v>0</v>
      </c>
      <c r="BQ110" s="409"/>
      <c r="BR110" s="631">
        <f>($BI110+$BK110+$BM110+$BO110)*$BP110+$BQ110</f>
        <v>0</v>
      </c>
      <c r="BS110" s="641">
        <f>BI110+BK110+BM110+BO110+BR110</f>
        <v>3.1940281761494542E-2</v>
      </c>
      <c r="BT110" s="641">
        <f>IF($BS110=0,0,$CK110*$BS110)</f>
        <v>3.1940281761494542E-2</v>
      </c>
      <c r="BU110" s="642">
        <f>IF($BT110=0,0,MAX(1,$EB110/$DP110))</f>
        <v>1</v>
      </c>
      <c r="BV110" s="1147"/>
      <c r="BW110" s="418"/>
      <c r="BX110" s="418"/>
      <c r="BY110" s="419"/>
      <c r="BZ110" s="968"/>
      <c r="CA110" s="280" cm="1">
        <f t="array" ref="CA110">IF($BZ110&gt;0,VALUE(LEFT($BZ110,IF(ISERROR(FIND("-",$BZ110)),LEN($BZ110),FIND("-",$BZ110)-1))),INDEX($CA$1:$CA110,MAX(1,$CD110)))</f>
        <v>1</v>
      </c>
      <c r="CB110" s="280" cm="1">
        <f t="array" ref="CB110">IF($BT110=0,0,IF(LEN($BZ110)-LEN(SUBSTITUTE($BZ110,"-",""))&gt;1,
VALUE(MID($BZ110,FIND("-",$BZ110)+1,FIND("-",$BZ110,FIND("-",$BZ110)+1)-FIND("-",$BZ110)-1)),IF($BZ110&gt;0,0,INDEX($CB$1:$CB110,MAX(1,$CD110)))))</f>
        <v>0</v>
      </c>
      <c r="CC110" s="280" cm="1">
        <f t="array" ref="CC110">IF($BT110=0,0,IF(NOT(ISERROR(FIND("-",BZ110))),
VALUE(RIGHT($BZ110,LEN($BZ110)-IF(LEN($BZ110)-LEN(SUBSTITUTE($BZ110,"-",""))=1,FIND("-",$BZ110),FIND("-",$BZ110,FIND("-",$BZ110)+1)))),
IF($BZ110&gt;0,0,INDEX($CC$1:$CC110,MAX(1,$CD110)))))</f>
        <v>0</v>
      </c>
      <c r="CD110" s="393">
        <f>MATCH(0,$CE$1:$CE110,-1)</f>
        <v>98</v>
      </c>
      <c r="CE110" s="280"/>
      <c r="CF110" s="394"/>
      <c r="CG110" s="393" cm="1">
        <f t="array" ref="CG110">INDEX($CG$1:$CG110,$CD110)</f>
        <v>11</v>
      </c>
      <c r="CH110" s="280">
        <f>MATCH($CA110,Premises!$A$10:$F$10,0)</f>
        <v>4</v>
      </c>
      <c r="CI110" s="280">
        <f>IF(ISBLANK($E110),0,IFERROR(MATCH($E110,MHR[Bezeichnung],0),0))</f>
        <v>7</v>
      </c>
      <c r="CJ110" s="394">
        <f>IF(ISBLANK($AQ110),0,IFERROR(MATCH($AQ110,MAT[Bezeichnung],0),0))</f>
        <v>0</v>
      </c>
      <c r="CK110" s="280" cm="1">
        <f t="array" ref="CK110">INDEX($D$1:$D110,$CD110)</f>
        <v>1</v>
      </c>
      <c r="CL110" s="280"/>
      <c r="CM110" s="395"/>
      <c r="CN110" s="396" cm="1">
        <f t="array" ref="CN110">IF($CB110=0,0,IF($CB110=INDEX($CB$1:$CB110,$CD110),INDEX($CN$1:$CN110,$CD110),$CP110))</f>
        <v>0</v>
      </c>
      <c r="CO110" s="395"/>
      <c r="CP110" s="396" cm="1">
        <f t="array" ref="CP110">IF($CC110=0,0,INDEX($CP$1:$CP110,$CD110))</f>
        <v>0</v>
      </c>
      <c r="CQ110" s="397"/>
      <c r="CR110" s="398"/>
      <c r="CS110" s="398"/>
      <c r="CT110" s="1152"/>
      <c r="CU110" s="1149"/>
      <c r="CV110" s="647">
        <f>$J110*$CK110</f>
        <v>1.4101947943682525E-2</v>
      </c>
      <c r="CW110" s="648">
        <f>$R110*$CK110</f>
        <v>3.8071638821549963E-3</v>
      </c>
      <c r="CX110" s="648">
        <f>$V110*$CK110</f>
        <v>4.0125000000000013E-3</v>
      </c>
      <c r="CY110" s="648">
        <f>$AA110*$CK110</f>
        <v>0</v>
      </c>
      <c r="CZ110" s="648">
        <f>$AF110*$CK110</f>
        <v>0</v>
      </c>
      <c r="DA110" s="648">
        <f>$AL110*$CK110</f>
        <v>1.8114447943682528E-4</v>
      </c>
      <c r="DB110" s="648">
        <f>$AO110*$CK110</f>
        <v>4.879347905856749E-3</v>
      </c>
      <c r="DC110" s="649">
        <f>$AP110*$CK110</f>
        <v>2.6982104211131099E-2</v>
      </c>
      <c r="DD110" s="648">
        <f>$AU110*$CK110</f>
        <v>0</v>
      </c>
      <c r="DE110" s="648">
        <f>$AX110*$CK110</f>
        <v>0</v>
      </c>
      <c r="DF110" s="648">
        <f>$AZ110*$CK110</f>
        <v>0</v>
      </c>
      <c r="DG110" s="649">
        <f>$BA110*$CK110</f>
        <v>0</v>
      </c>
      <c r="DH110" s="649">
        <f>$BB110*$CK110</f>
        <v>2.6982104211131099E-2</v>
      </c>
      <c r="DI110" s="648">
        <f>$BD110*$CK110</f>
        <v>0</v>
      </c>
      <c r="DJ110" s="648">
        <f>$BF110*$CK110</f>
        <v>0</v>
      </c>
      <c r="DK110" s="648">
        <f>$BH110*$CK110</f>
        <v>3.3501199664617842E-3</v>
      </c>
      <c r="DL110" s="648">
        <f>$BK110*$CK110</f>
        <v>0</v>
      </c>
      <c r="DM110" s="648">
        <f>$BM110*$CK110</f>
        <v>0</v>
      </c>
      <c r="DN110" s="648">
        <f>$BO110*$CK110</f>
        <v>1.6080575839016564E-3</v>
      </c>
      <c r="DO110" s="648">
        <f>$BR110*$CK110</f>
        <v>0</v>
      </c>
      <c r="DP110" s="651">
        <f>$CK110*($BB110+$BD110+$BF110+$BH110+$BK110+$BM110+$BO110+$BR110)</f>
        <v>3.1940281761494542E-2</v>
      </c>
      <c r="DQ110" s="951">
        <f>IF($CB110=0,0,$DP110*_xlfn.XLOOKUP($CB110,Premises!$A$10:$F$10,Premises!$A$30:$F$30)/100)</f>
        <v>0</v>
      </c>
      <c r="DR110" s="650">
        <f>IFERROR(SUM($DP110:$DQ110)*IF(INDEX(Premises!$A$42:$F$42,1,MATCH($CB110,Premises!$A$10:$F$10,0))&gt;0,INDEX(Premises!$A$42:$F$42,1,MATCH($CB110,Premises!$A$10:$F$10,0))%,$CN110),0)</f>
        <v>0</v>
      </c>
      <c r="DS110" s="650" cm="1">
        <f t="array" ref="DS110">IF($CB110=0,0,SUM($DP110:$DR110)*_xlfn.XLOOKUP($CB110,Premises!$A$10:$F$10,IF(INDEX(Settings[],MATCH(3001,Settings[ID],0),2)="B",Premises!$A$33:$F$33,Premises!$A$31:$F$31))/100)</f>
        <v>0</v>
      </c>
      <c r="DT110" s="650" cm="1">
        <f t="array" ref="DT110">IF($CB110=0,0,$DP110*_xlfn.XLOOKUP($CB110,Premises!$A$10:$F$10,IF(INDEX(Settings[],MATCH(3002,Settings[ID],0),2)="B",Premises!$A$36:$F$36,Premises!$A$34:$F$34))/100)</f>
        <v>0</v>
      </c>
      <c r="DU110" s="650">
        <f>IF($CB110=0,0,SUM($DP110:$DT110)*_xlfn.XLOOKUP($CB110,Premises!$A$10:$F$10,Premises!$A$37:$F$37)/100)</f>
        <v>0</v>
      </c>
      <c r="DV110" s="954">
        <f>SUM($DP110:$DU110)</f>
        <v>3.1940281761494542E-2</v>
      </c>
      <c r="DW110" s="951">
        <f>IF($CC110=0,0,$DV110*_xlfn.XLOOKUP($CC110,Premises!$A$10:$F$10,Premises!$A$30:$F$30)/100)</f>
        <v>0</v>
      </c>
      <c r="DX110" s="650">
        <f>IFERROR(SUM($DV110:$DW110)*IF(INDEX(Premises!$A$42:$F$42,1,MATCH($CC110,Premises!$A$10:$F$10,0))&gt;0,INDEX(Premises!$A$42:$F$42,1,MATCH($CC110,Premises!$A$10:$F$10,0))%,$CP110),0)</f>
        <v>0</v>
      </c>
      <c r="DY110" s="650" cm="1">
        <f t="array" ref="DY110">IF($CC110=0,0,SUM($DV110:$DX110)*_xlfn.XLOOKUP($CC110,Premises!$A$10:$F$10,IF(INDEX(Settings[],MATCH(3001,Settings[ID],0),2)="B",Premises!$A$33:$F$33,Premises!$A$31:$F$31))/100)</f>
        <v>0</v>
      </c>
      <c r="DZ110" s="650" cm="1">
        <f t="array" ref="DZ110">IF($CC110=0,0,$DV110*_xlfn.XLOOKUP($CC110,Premises!$A$10:$F$10,IF(INDEX(Settings[],MATCH(3002,Settings[ID],0),2)="B",Premises!$A$36:$F$36,Premises!$A$34:$F$34))/100)</f>
        <v>0</v>
      </c>
      <c r="EA110" s="650">
        <f>IF($CC110=0,0,SUM($DV110:$DZ110)*_xlfn.XLOOKUP($CC110,Premises!$A$10:$F$10,Premises!$A$37:$F$37)/100)</f>
        <v>0</v>
      </c>
      <c r="EB110" s="651">
        <f>SUM($DV110:$EA110)</f>
        <v>3.1940281761494542E-2</v>
      </c>
      <c r="EC110" s="805"/>
      <c r="ED110" s="1104"/>
      <c r="EE110" s="650"/>
      <c r="EF110" s="1110"/>
      <c r="EG110" s="1108"/>
      <c r="EH110" s="1108"/>
      <c r="EI110" s="1108"/>
      <c r="EJ110" s="1108"/>
      <c r="EK110" s="1108"/>
      <c r="EL110" s="1108"/>
      <c r="EM110" s="1110"/>
      <c r="EN110" s="1108"/>
      <c r="EO110" s="1108"/>
      <c r="EP110" s="1108"/>
      <c r="EQ110" s="1108"/>
      <c r="ER110" s="1110"/>
      <c r="ES110" s="1108"/>
      <c r="ET110" s="1108"/>
      <c r="EU110" s="1108"/>
      <c r="EV110" s="1108"/>
      <c r="EW110" s="1108"/>
      <c r="EX110" s="1111"/>
      <c r="EY110" s="2"/>
      <c r="EZ110" s="2"/>
      <c r="FA110" s="2"/>
      <c r="FB110" s="2"/>
      <c r="FC110" s="2"/>
      <c r="FD110" s="2"/>
      <c r="FE110" s="2"/>
      <c r="FF110" s="2"/>
      <c r="FG110" s="2"/>
      <c r="FH110" s="2"/>
      <c r="FI110" s="2"/>
      <c r="FJ110" s="420"/>
      <c r="FK110" s="421"/>
      <c r="FL110" s="422"/>
      <c r="FM110" s="1153"/>
    </row>
    <row r="111" spans="1:169" s="13" customFormat="1" ht="12.75" customHeight="1">
      <c r="A111" s="221"/>
      <c r="B111" s="402"/>
      <c r="C111" s="403"/>
      <c r="D111" s="646"/>
      <c r="E111" s="404"/>
      <c r="F111" s="405"/>
      <c r="G111" s="405"/>
      <c r="H111" s="405"/>
      <c r="I111" s="637" cm="1">
        <f t="array" ref="I111">IF($CI111=0,0,IFERROR(INDEX(MHR[],$CI111,MATCH($CA111,MHR!$B$4:$AY$4,0)),0))</f>
        <v>0</v>
      </c>
      <c r="J111" s="634">
        <f>IF(COUNTBLANK($E111:$H111),0,IFERROR($F111/$H111/IF($G111="s",3600,IF($G111="min",60,IF($G111="h",1,0)))*I111,0))</f>
        <v>0</v>
      </c>
      <c r="K111" s="406"/>
      <c r="L111" s="407"/>
      <c r="M111" s="871"/>
      <c r="N111" s="407"/>
      <c r="O111" s="405"/>
      <c r="P111" s="645" cm="1">
        <f t="array" ref="P111">IF($K111=0,0,IFERROR(ROUNDUP(IF(ISNUMBER($K111),$K111,INDEX($D$1:$D111,$CD111)*INDEX(Premises!$A$13:$F$13,1,$CH111)/IF(OR($K111="T",$K111="D"),250,IF($K111="W",50,IF($K111="M",12,IF(OR($K111="HJ",$K111="HY"),2,IF(OR($K111="J",$K111="Y"),1,0)))))),0),0))</f>
        <v>0</v>
      </c>
      <c r="Q111" s="637" cm="1">
        <f t="array" ref="Q111">IF($K111=0,0,IFERROR(INDEX(Premises!$A$22:$F$22,1,$CH111)*100/INDEX(Premises!$A$16:$F$16,1,$CH111),0))</f>
        <v>0</v>
      </c>
      <c r="R111" s="634">
        <f>IF($P111=0,0,IFERROR(($L111/60*($I111+$Q111*$M111)+($N111/60*($Q111*$O111)))/$P111,0))</f>
        <v>0</v>
      </c>
      <c r="S111" s="408"/>
      <c r="T111" s="409"/>
      <c r="U111" s="637" cm="1">
        <f t="array" ref="U111">IF(COUNTBLANK($S111:$T111),0,
IF(AND(INDEX(MHR[Schichtmodell],$CI111)&lt;&gt;0,INDEX(MHR[Schichtmodell],$CI111)&lt;&gt;INDEX(Premises!$A$20:$F$20,1,$CH111)),ExchangeRate*
IF(OR($T111="M",$T111="U"),IF(INDEX(MHR[Schichtmodell],$CI111)=1,INDEX(LOC[M1S],INDEX(Premises!$A$18:$F$18,1,$CH111+1)),IF(INDEX(MHR[Schichtmodell],$CI111)=2,INDEX(LOC[M2S],INDEX(Premises!$A$18:$F$18,1,$CH111+1),IF(INDEX(MHR[Schichtmodell],$CI111)=3,INDEX(LOC[M3S],INDEX(Premises!$A$18:$F$18,1,$CH111+1)),0)))),
IF(INDEX(MHR[Schichtmodell],$CI111)=1,INDEX(LOC[F1S],INDEX(Premises!$A$18:$F$18,1,$CH111+1)),IF(INDEX(MHR[Schichtmodell],$CI111)=2,INDEX(LOC[F2S],INDEX(Premises!$A$18:$F$18,1,$CH111+1)),IF(INDEX(MHR[Schichtmodell],$CI111)=3,INDEX(LOC[F3S],INDEX(Premises!$A$18:$F$18,1,$CH111+1)),0)))),
IF(OR($T111="M",$T111="U"),INDEX(Premises!$A$21:$F$21,1,$CH111),
IF(OR($T111="F",$T111="S"),INDEX(Premises!$A$22:$F$22,1,$CH111),0)))*100/INDEX(Premises!$A$16:$F$16,1,$CH111))</f>
        <v>0</v>
      </c>
      <c r="V111" s="631">
        <f>IF($U111=0,0,IFERROR($F111/$H111/IF($G111="s",3600,IF($G111="min",60,IF($G111="h",1,0)))*$S111*$U111,0))</f>
        <v>0</v>
      </c>
      <c r="W111" s="410"/>
      <c r="X111" s="403"/>
      <c r="Y111" s="411"/>
      <c r="Z111" s="412"/>
      <c r="AA111" s="628">
        <f>IFERROR($X111*$Z111/$Y111/MAX(1,$H111),0)</f>
        <v>0</v>
      </c>
      <c r="AB111" s="410"/>
      <c r="AC111" s="403"/>
      <c r="AD111" s="411"/>
      <c r="AE111" s="413"/>
      <c r="AF111" s="628">
        <f>IFERROR($AC111*$AE111/$AD111,0)</f>
        <v>0</v>
      </c>
      <c r="AG111" s="629" cm="1">
        <f t="array" ref="AG111">IF(($J111+$V111+$AF111)=0,0,INDEX(Premises!$A$30:$F$30,1,$CH111)/100)</f>
        <v>0</v>
      </c>
      <c r="AH111" s="414"/>
      <c r="AI111" s="415"/>
      <c r="AJ111" s="416"/>
      <c r="AK111" s="630">
        <f>IF(COUNTBLANK($AH111:$AI111),0,$AH111*$AI111*$AG111)</f>
        <v>0</v>
      </c>
      <c r="AL111" s="631">
        <f>($AK111+$AJ111*$AG111*(1-$AH111)+($J111+$V111+$AF111)*$AG111*(1-$AH111))</f>
        <v>0</v>
      </c>
      <c r="AM111" s="632" cm="1">
        <f t="array" ref="AM111">IF($CI111=0,0,IFERROR(INDEX(MHR[],$CI111,MATCH($CA111,MHR!$B$4:$AY$4,0)+11),0))</f>
        <v>0</v>
      </c>
      <c r="AN111" s="633" cm="1">
        <f t="array" ref="AN111">IF(($J111+$V111)=0,0,IFERROR(IF(INDEX(Premises!$A$41:$F$41,1,$CH111)&lt;&gt;0,INDEX(Premises!$A$41:$F$41,1,$CH111)/100,(IFERROR(($J111/$I111)*$AM111,0)/($V111+$J111+$R111+$AL111))),0))</f>
        <v>0</v>
      </c>
      <c r="AO111" s="634">
        <f>IF(($J111+$V111)=0,0,IF(IFERROR(($J111+$R111+$V111+$AL111)*$AN111,0)&lt;&gt;IFERROR(($J111/$I111)*$AM111,0),($J111+$R111+$V111+$AL111)*$AN111,IFERROR(($J111/$I111)*$AM111,0)))</f>
        <v>0</v>
      </c>
      <c r="AP111" s="635">
        <f>$V111+$J111+$R111+$AA111+$AF111+$AL111+$AO111</f>
        <v>0</v>
      </c>
      <c r="AQ111" s="410"/>
      <c r="AR111" s="409"/>
      <c r="AS111" s="636" cm="1">
        <f t="array" ref="AS111">IF($CJ111=0,0,IFERROR(INDEX(MAT[Einheit],$CJ111,1),0))</f>
        <v>0</v>
      </c>
      <c r="AT111" s="637" cm="1">
        <f t="array" ref="AT111">IF($CJ111=0,0,IFERROR(INDEX(MAT[Preis],$CJ111,1),0))</f>
        <v>0</v>
      </c>
      <c r="AU111" s="638">
        <f>$AR111*$AT111</f>
        <v>0</v>
      </c>
      <c r="AV111" s="639" cm="1">
        <f t="array" ref="AV111">IF($AU111&lt;=0,0,INDEX(Premises!$A$30:$F$30,1,$CH111)/100)</f>
        <v>0</v>
      </c>
      <c r="AW111" s="409"/>
      <c r="AX111" s="631">
        <f>IF($AV111=0,0,($AU111+$AW111)*$AV111)</f>
        <v>0</v>
      </c>
      <c r="AY111" s="640" cm="1">
        <f t="array" ref="AY111">IF($AT111&lt;=0,0,IFERROR(IF(INDEX(Premises!$A$42:$F$42,1,$CH111)&lt;&gt;0,INDEX(Premises!$A$42:$F$42,1,$CH111)/100,(INDEX(MAT[],$CJ111,MATCH($CA111,MAT!$B$4:$AE$4,0))/($AR111*$CK111*INDEX(Premises!$A$13:$F$13,1,$CH111))+INDEX(MAT[],$CJ111,MATCH($CA111,MAT!$B$4:$AE$4,0)+7))/$AT111),0))</f>
        <v>0</v>
      </c>
      <c r="AZ111" s="631">
        <f>IF($AY111=0,0,($AU111+$AX111)*$AY111)</f>
        <v>0</v>
      </c>
      <c r="BA111" s="635">
        <f>$AU111+$AX111+$AZ111</f>
        <v>0</v>
      </c>
      <c r="BB111" s="635">
        <f>$AP111+$BA111</f>
        <v>0</v>
      </c>
      <c r="BC111" s="639" cm="1">
        <f t="array" ref="BC111">IF($BB111&lt;=0,0,IF(BC$2=-1,0,INDEX(Premises!$A$32:$F$32,1,$CH111)/100))</f>
        <v>0</v>
      </c>
      <c r="BD111" s="631">
        <f>IF($AP111&lt;=0,0,($AP111-$AA111-$AL111)*$BC111)</f>
        <v>0</v>
      </c>
      <c r="BE111" s="639" cm="1">
        <f t="array" ref="BE111">IF($BB111&lt;=0,0,IF(BE$2=-1,0,INDEX(Premises!$A$33:$F$33,1,$CH111)/100))</f>
        <v>0</v>
      </c>
      <c r="BF111" s="631">
        <f>IF($BA111&lt;=0,0,$BA111*$BE111)</f>
        <v>0</v>
      </c>
      <c r="BG111" s="639" cm="1">
        <f t="array" ref="BG111">IF($BB111&lt;=0,0,IF(BG$2=-1,0,INDEX(Premises!$A$31:$F$31,1,$CH111)/100))</f>
        <v>0</v>
      </c>
      <c r="BH111" s="631">
        <f>(($AP111-$AA111-$AL111)+$BA111)*$BG111</f>
        <v>0</v>
      </c>
      <c r="BI111" s="635">
        <f>$BB111+$BD111+$BF111+$BH111</f>
        <v>0</v>
      </c>
      <c r="BJ111" s="639" cm="1">
        <f t="array" ref="BJ111">IF($BB111&lt;=0,0,IF(BJ$2=-1,0,INDEX(Premises!$A$35:$F$35,1,$CH111)/100))</f>
        <v>0</v>
      </c>
      <c r="BK111" s="631">
        <f>IF($AP111&lt;=0,0,($AP111-$AL111-$AA111)*$BJ111)</f>
        <v>0</v>
      </c>
      <c r="BL111" s="639" cm="1">
        <f t="array" ref="BL111">IF($BB111&lt;=0,0,IF(BL$2=-1,0,INDEX(Premises!$A$36:$F$36,1,$CH111)/100))</f>
        <v>0</v>
      </c>
      <c r="BM111" s="631">
        <f>IF($AU111&lt;=0,0,($AR111*$AT111)*$BL111)</f>
        <v>0</v>
      </c>
      <c r="BN111" s="639" cm="1">
        <f t="array" ref="BN111">IF($BB111&lt;=0,0,IF(BN$2=-1,0,INDEX(Premises!$A$34:$F$34,1,$CH111)/100))</f>
        <v>0</v>
      </c>
      <c r="BO111" s="631">
        <f>(($AP111-$AL111-$AA111)+($AR111*$AT111))*$BN111</f>
        <v>0</v>
      </c>
      <c r="BP111" s="639" cm="1">
        <f t="array" ref="BP111">IF($BI111=0,0,INDEX(Premises!$A$37:$F$37,1,$CH111)/100)</f>
        <v>0</v>
      </c>
      <c r="BQ111" s="409"/>
      <c r="BR111" s="631">
        <f>($BI111+$BK111+$BM111+$BO111)*$BP111+$BQ111</f>
        <v>0</v>
      </c>
      <c r="BS111" s="641">
        <f>BI111+BK111+BM111+BO111+BR111</f>
        <v>0</v>
      </c>
      <c r="BT111" s="641">
        <f>IF($BS111=0,0,$CK111*$BS111)</f>
        <v>0</v>
      </c>
      <c r="BU111" s="642">
        <f>IF($BT111=0,0,MAX(1,$EB111/$DP111))</f>
        <v>0</v>
      </c>
      <c r="BV111" s="1147"/>
      <c r="BW111" s="418"/>
      <c r="BX111" s="418"/>
      <c r="BY111" s="419"/>
      <c r="BZ111" s="968"/>
      <c r="CA111" s="280" cm="1">
        <f t="array" ref="CA111">IF($BZ111&gt;0,VALUE(LEFT($BZ111,IF(ISERROR(FIND("-",$BZ111)),LEN($BZ111),FIND("-",$BZ111)-1))),INDEX($CA$1:$CA111,MAX(1,$CD111)))</f>
        <v>1</v>
      </c>
      <c r="CB111" s="280" cm="1">
        <f t="array" ref="CB111">IF($BT111=0,0,IF(LEN($BZ111)-LEN(SUBSTITUTE($BZ111,"-",""))&gt;1,
VALUE(MID($BZ111,FIND("-",$BZ111)+1,FIND("-",$BZ111,FIND("-",$BZ111)+1)-FIND("-",$BZ111)-1)),IF($BZ111&gt;0,0,INDEX($CB$1:$CB111,MAX(1,$CD111)))))</f>
        <v>0</v>
      </c>
      <c r="CC111" s="280" cm="1">
        <f t="array" ref="CC111">IF($BT111=0,0,IF(NOT(ISERROR(FIND("-",BZ111))),
VALUE(RIGHT($BZ111,LEN($BZ111)-IF(LEN($BZ111)-LEN(SUBSTITUTE($BZ111,"-",""))=1,FIND("-",$BZ111),FIND("-",$BZ111,FIND("-",$BZ111)+1)))),
IF($BZ111&gt;0,0,INDEX($CC$1:$CC111,MAX(1,$CD111)))))</f>
        <v>0</v>
      </c>
      <c r="CD111" s="393">
        <f>MATCH(0,$CE$1:$CE111,-1)</f>
        <v>98</v>
      </c>
      <c r="CE111" s="280"/>
      <c r="CF111" s="394"/>
      <c r="CG111" s="393" cm="1">
        <f t="array" ref="CG111">INDEX($CG$1:$CG111,$CD111)</f>
        <v>11</v>
      </c>
      <c r="CH111" s="280">
        <f>MATCH($CA111,Premises!$A$10:$F$10,0)</f>
        <v>4</v>
      </c>
      <c r="CI111" s="280">
        <f>IF(ISBLANK($E111),0,IFERROR(MATCH($E111,MHR[Bezeichnung],0),0))</f>
        <v>0</v>
      </c>
      <c r="CJ111" s="394">
        <f>IF(ISBLANK($AQ111),0,IFERROR(MATCH($AQ111,MAT[Bezeichnung],0),0))</f>
        <v>0</v>
      </c>
      <c r="CK111" s="280" cm="1">
        <f t="array" ref="CK111">INDEX($D$1:$D111,$CD111)</f>
        <v>1</v>
      </c>
      <c r="CL111" s="280"/>
      <c r="CM111" s="395"/>
      <c r="CN111" s="396" cm="1">
        <f t="array" ref="CN111">IF($CB111=0,0,IF($CB111=INDEX($CB$1:$CB111,$CD111),INDEX($CN$1:$CN111,$CD111),$CP111))</f>
        <v>0</v>
      </c>
      <c r="CO111" s="395"/>
      <c r="CP111" s="396" cm="1">
        <f t="array" ref="CP111">IF($CC111=0,0,INDEX($CP$1:$CP111,$CD111))</f>
        <v>0</v>
      </c>
      <c r="CQ111" s="397"/>
      <c r="CR111" s="398"/>
      <c r="CS111" s="398"/>
      <c r="CT111" s="1152"/>
      <c r="CU111" s="1149"/>
      <c r="CV111" s="647">
        <f>$J111*$CK111</f>
        <v>0</v>
      </c>
      <c r="CW111" s="648">
        <f>$R111*$CK111</f>
        <v>0</v>
      </c>
      <c r="CX111" s="648">
        <f>$V111*$CK111</f>
        <v>0</v>
      </c>
      <c r="CY111" s="648">
        <f>$AA111*$CK111</f>
        <v>0</v>
      </c>
      <c r="CZ111" s="648">
        <f>$AF111*$CK111</f>
        <v>0</v>
      </c>
      <c r="DA111" s="648">
        <f>$AL111*$CK111</f>
        <v>0</v>
      </c>
      <c r="DB111" s="648">
        <f>$AO111*$CK111</f>
        <v>0</v>
      </c>
      <c r="DC111" s="649">
        <f>$AP111*$CK111</f>
        <v>0</v>
      </c>
      <c r="DD111" s="648">
        <f>$AU111*$CK111</f>
        <v>0</v>
      </c>
      <c r="DE111" s="648">
        <f>$AX111*$CK111</f>
        <v>0</v>
      </c>
      <c r="DF111" s="648">
        <f>$AZ111*$CK111</f>
        <v>0</v>
      </c>
      <c r="DG111" s="649">
        <f>$BA111*$CK111</f>
        <v>0</v>
      </c>
      <c r="DH111" s="649">
        <f>$BB111*$CK111</f>
        <v>0</v>
      </c>
      <c r="DI111" s="648">
        <f>$BD111*$CK111</f>
        <v>0</v>
      </c>
      <c r="DJ111" s="648">
        <f>$BF111*$CK111</f>
        <v>0</v>
      </c>
      <c r="DK111" s="648">
        <f>$BH111*$CK111</f>
        <v>0</v>
      </c>
      <c r="DL111" s="648">
        <f>$BK111*$CK111</f>
        <v>0</v>
      </c>
      <c r="DM111" s="648">
        <f>$BM111*$CK111</f>
        <v>0</v>
      </c>
      <c r="DN111" s="648">
        <f>$BO111*$CK111</f>
        <v>0</v>
      </c>
      <c r="DO111" s="648">
        <f>$BR111*$CK111</f>
        <v>0</v>
      </c>
      <c r="DP111" s="651">
        <f>$CK111*($BB111+$BD111+$BF111+$BH111+$BK111+$BM111+$BO111+$BR111)</f>
        <v>0</v>
      </c>
      <c r="DQ111" s="951">
        <f>IF($CB111=0,0,$DP111*_xlfn.XLOOKUP($CB111,Premises!$A$10:$F$10,Premises!$A$30:$F$30)/100)</f>
        <v>0</v>
      </c>
      <c r="DR111" s="650">
        <f>IFERROR(SUM($DP111:$DQ111)*IF(INDEX(Premises!$A$42:$F$42,1,MATCH($CB111,Premises!$A$10:$F$10,0))&gt;0,INDEX(Premises!$A$42:$F$42,1,MATCH($CB111,Premises!$A$10:$F$10,0))%,$CN111),0)</f>
        <v>0</v>
      </c>
      <c r="DS111" s="650" cm="1">
        <f t="array" ref="DS111">IF($CB111=0,0,SUM($DP111:$DR111)*_xlfn.XLOOKUP($CB111,Premises!$A$10:$F$10,IF(INDEX(Settings[],MATCH(3001,Settings[ID],0),2)="B",Premises!$A$33:$F$33,Premises!$A$31:$F$31))/100)</f>
        <v>0</v>
      </c>
      <c r="DT111" s="650" cm="1">
        <f t="array" ref="DT111">IF($CB111=0,0,$DP111*_xlfn.XLOOKUP($CB111,Premises!$A$10:$F$10,IF(INDEX(Settings[],MATCH(3002,Settings[ID],0),2)="B",Premises!$A$36:$F$36,Premises!$A$34:$F$34))/100)</f>
        <v>0</v>
      </c>
      <c r="DU111" s="650">
        <f>IF($CB111=0,0,SUM($DP111:$DT111)*_xlfn.XLOOKUP($CB111,Premises!$A$10:$F$10,Premises!$A$37:$F$37)/100)</f>
        <v>0</v>
      </c>
      <c r="DV111" s="954">
        <f>SUM($DP111:$DU111)</f>
        <v>0</v>
      </c>
      <c r="DW111" s="951">
        <f>IF($CC111=0,0,$DV111*_xlfn.XLOOKUP($CC111,Premises!$A$10:$F$10,Premises!$A$30:$F$30)/100)</f>
        <v>0</v>
      </c>
      <c r="DX111" s="650">
        <f>IFERROR(SUM($DV111:$DW111)*IF(INDEX(Premises!$A$42:$F$42,1,MATCH($CC111,Premises!$A$10:$F$10,0))&gt;0,INDEX(Premises!$A$42:$F$42,1,MATCH($CC111,Premises!$A$10:$F$10,0))%,$CP111),0)</f>
        <v>0</v>
      </c>
      <c r="DY111" s="650" cm="1">
        <f t="array" ref="DY111">IF($CC111=0,0,SUM($DV111:$DX111)*_xlfn.XLOOKUP($CC111,Premises!$A$10:$F$10,IF(INDEX(Settings[],MATCH(3001,Settings[ID],0),2)="B",Premises!$A$33:$F$33,Premises!$A$31:$F$31))/100)</f>
        <v>0</v>
      </c>
      <c r="DZ111" s="650" cm="1">
        <f t="array" ref="DZ111">IF($CC111=0,0,$DV111*_xlfn.XLOOKUP($CC111,Premises!$A$10:$F$10,IF(INDEX(Settings[],MATCH(3002,Settings[ID],0),2)="B",Premises!$A$36:$F$36,Premises!$A$34:$F$34))/100)</f>
        <v>0</v>
      </c>
      <c r="EA111" s="650">
        <f>IF($CC111=0,0,SUM($DV111:$DZ111)*_xlfn.XLOOKUP($CC111,Premises!$A$10:$F$10,Premises!$A$37:$F$37)/100)</f>
        <v>0</v>
      </c>
      <c r="EB111" s="651">
        <f>SUM($DV111:$EA111)</f>
        <v>0</v>
      </c>
      <c r="EC111" s="805"/>
      <c r="ED111" s="1104"/>
      <c r="EE111" s="650"/>
      <c r="EF111" s="1110"/>
      <c r="EG111" s="1108"/>
      <c r="EH111" s="1108"/>
      <c r="EI111" s="1108"/>
      <c r="EJ111" s="1108"/>
      <c r="EK111" s="1108"/>
      <c r="EL111" s="1108"/>
      <c r="EM111" s="1110"/>
      <c r="EN111" s="1108"/>
      <c r="EO111" s="1108"/>
      <c r="EP111" s="1108"/>
      <c r="EQ111" s="1108"/>
      <c r="ER111" s="1110"/>
      <c r="ES111" s="1108"/>
      <c r="ET111" s="1108"/>
      <c r="EU111" s="1108"/>
      <c r="EV111" s="1108"/>
      <c r="EW111" s="1108"/>
      <c r="EX111" s="1111"/>
      <c r="EY111" s="2"/>
      <c r="EZ111" s="2"/>
      <c r="FA111" s="2"/>
      <c r="FB111" s="2"/>
      <c r="FC111" s="2"/>
      <c r="FD111" s="2"/>
      <c r="FE111" s="2"/>
      <c r="FF111" s="2"/>
      <c r="FG111" s="2"/>
      <c r="FH111" s="2"/>
      <c r="FI111" s="2"/>
      <c r="FJ111" s="420"/>
      <c r="FK111" s="421"/>
      <c r="FL111" s="422"/>
      <c r="FM111" s="1153"/>
    </row>
    <row r="112" spans="1:169" s="13" customFormat="1" ht="12.75" customHeight="1">
      <c r="A112" s="221"/>
      <c r="B112" s="387" t="str">
        <f>BOM!$A$12</f>
        <v>01-01-03-05 Aluminum Base Film</v>
      </c>
      <c r="C112" s="388"/>
      <c r="D112" s="389" cm="1">
        <f t="array" ref="D112">IF($CG112=0,0,INDEX(BOM!$N:$N,$CG112))</f>
        <v>1</v>
      </c>
      <c r="E112" s="644" t="s">
        <v>664</v>
      </c>
      <c r="F112" s="644" t="s">
        <v>664</v>
      </c>
      <c r="G112" s="644" t="s">
        <v>664</v>
      </c>
      <c r="H112" s="644" t="s">
        <v>664</v>
      </c>
      <c r="I112" s="644" t="s">
        <v>664</v>
      </c>
      <c r="J112" s="644" t="s">
        <v>664</v>
      </c>
      <c r="K112" s="644" t="s">
        <v>664</v>
      </c>
      <c r="L112" s="644" t="s">
        <v>664</v>
      </c>
      <c r="M112" s="644" t="s">
        <v>664</v>
      </c>
      <c r="N112" s="644" t="s">
        <v>664</v>
      </c>
      <c r="O112" s="644" t="s">
        <v>664</v>
      </c>
      <c r="P112" s="644" t="s">
        <v>664</v>
      </c>
      <c r="Q112" s="644" t="s">
        <v>664</v>
      </c>
      <c r="R112" s="644" t="s">
        <v>664</v>
      </c>
      <c r="S112" s="644" t="s">
        <v>664</v>
      </c>
      <c r="T112" s="644" t="s">
        <v>664</v>
      </c>
      <c r="U112" s="644" t="s">
        <v>664</v>
      </c>
      <c r="V112" s="644" t="s">
        <v>664</v>
      </c>
      <c r="W112" s="644" t="s">
        <v>664</v>
      </c>
      <c r="X112" s="644" t="s">
        <v>664</v>
      </c>
      <c r="Y112" s="644" t="s">
        <v>664</v>
      </c>
      <c r="Z112" s="644" t="s">
        <v>664</v>
      </c>
      <c r="AA112" s="644" t="s">
        <v>664</v>
      </c>
      <c r="AB112" s="644" t="s">
        <v>664</v>
      </c>
      <c r="AC112" s="644" t="s">
        <v>664</v>
      </c>
      <c r="AD112" s="644" t="s">
        <v>664</v>
      </c>
      <c r="AE112" s="644" t="s">
        <v>664</v>
      </c>
      <c r="AF112" s="644" t="s">
        <v>664</v>
      </c>
      <c r="AG112" s="644" t="s">
        <v>664</v>
      </c>
      <c r="AH112" s="644" t="s">
        <v>664</v>
      </c>
      <c r="AI112" s="644" t="s">
        <v>664</v>
      </c>
      <c r="AJ112" s="644" t="s">
        <v>664</v>
      </c>
      <c r="AK112" s="644" t="s">
        <v>664</v>
      </c>
      <c r="AL112" s="644" t="s">
        <v>664</v>
      </c>
      <c r="AM112" s="644" t="s">
        <v>664</v>
      </c>
      <c r="AN112" s="644" t="s">
        <v>664</v>
      </c>
      <c r="AO112" s="644" t="s">
        <v>664</v>
      </c>
      <c r="AP112" s="644" t="s">
        <v>664</v>
      </c>
      <c r="AQ112" s="644" t="s">
        <v>664</v>
      </c>
      <c r="AR112" s="644" t="s">
        <v>664</v>
      </c>
      <c r="AS112" s="644" t="s">
        <v>664</v>
      </c>
      <c r="AT112" s="644" t="s">
        <v>664</v>
      </c>
      <c r="AU112" s="644" t="s">
        <v>664</v>
      </c>
      <c r="AV112" s="644" t="s">
        <v>664</v>
      </c>
      <c r="AW112" s="644" t="s">
        <v>664</v>
      </c>
      <c r="AX112" s="644" t="s">
        <v>664</v>
      </c>
      <c r="AY112" s="644" t="s">
        <v>664</v>
      </c>
      <c r="AZ112" s="644" t="s">
        <v>664</v>
      </c>
      <c r="BA112" s="644" t="s">
        <v>664</v>
      </c>
      <c r="BB112" s="644" t="s">
        <v>664</v>
      </c>
      <c r="BC112" s="644" t="s">
        <v>664</v>
      </c>
      <c r="BD112" s="644" t="s">
        <v>664</v>
      </c>
      <c r="BE112" s="644" t="s">
        <v>664</v>
      </c>
      <c r="BF112" s="644" t="s">
        <v>664</v>
      </c>
      <c r="BG112" s="644" t="s">
        <v>664</v>
      </c>
      <c r="BH112" s="644" t="s">
        <v>664</v>
      </c>
      <c r="BI112" s="644" t="s">
        <v>664</v>
      </c>
      <c r="BJ112" s="644" t="s">
        <v>664</v>
      </c>
      <c r="BK112" s="644" t="s">
        <v>664</v>
      </c>
      <c r="BL112" s="644" t="s">
        <v>664</v>
      </c>
      <c r="BM112" s="644" t="s">
        <v>664</v>
      </c>
      <c r="BN112" s="644" t="s">
        <v>664</v>
      </c>
      <c r="BO112" s="644" t="s">
        <v>664</v>
      </c>
      <c r="BP112" s="644" t="s">
        <v>664</v>
      </c>
      <c r="BQ112" s="644" t="s">
        <v>664</v>
      </c>
      <c r="BR112" s="644" t="s">
        <v>664</v>
      </c>
      <c r="BS112" s="920">
        <f>SUM(INDEX($BS:$BS,ROW()+1):INDEX($BS:$BS,$CE112))</f>
        <v>1.674394267465508E-2</v>
      </c>
      <c r="BT112" s="920">
        <f>SUM(INDEX($BT:$BT,ROW()+1):INDEX($BT:$BT,$CE112))</f>
        <v>1.674394267465508E-2</v>
      </c>
      <c r="BU112" s="644" t="s">
        <v>664</v>
      </c>
      <c r="BV112" s="643">
        <f>SUMPRODUCT($BS112:INDEX($BS:$BS,$CE112),$BU112:INDEX($BU:$BU,$CE112))</f>
        <v>1.674394267465508E-2</v>
      </c>
      <c r="BW112" s="390">
        <f>$D112*$BV112</f>
        <v>1.674394267465508E-2</v>
      </c>
      <c r="BX112" s="816" cm="1">
        <f t="array" ref="BX112">IF($CG112=0,0,IF(INDEX(BOM!$P:$P,$CG112)=0,0,
SUMPRODUCT($BW112:INDEX($BW:$BW,IFERROR(ROW()+MATCH($CL112,INDEX($CL:$CL,ROW()+1):INDEX($CL:$CL,MAX($CE:$CE)),0)-1,MAX($CE:$CE))),
($CL112:INDEX($CL:$CL,IFERROR(ROW()+MATCH($CL112,INDEX($CL:$CL,ROW()+1):INDEX($CL:$CL,MAX($CE:$CE)),0)-1,MAX($CE:$CE)))&gt;=$CL112)*1)
))</f>
        <v>0</v>
      </c>
      <c r="BY112" s="391"/>
      <c r="BZ112" s="392" cm="1">
        <f t="array" ref="BZ112">IF($CG112=0,0,INDEX(BOM!$M:$M,$CG112))</f>
        <v>1</v>
      </c>
      <c r="CA112" s="280">
        <f>IF($BZ112&gt;0,VALUE(LEFT($BZ112,IF(ISERROR(FIND("-",$BZ112)),LEN($BZ112),FIND("-",$BZ112)-1))),INDEX($BZ$1:BZ112,MATCH("",$A$1:A112,-1)))</f>
        <v>1</v>
      </c>
      <c r="CB112" s="280">
        <f>IF(LEN($BZ112)-LEN(SUBSTITUTE($BZ112,"-",))&gt;1,
VALUE(MID($BZ112,FIND("-",$BZ112)+1,FIND("-",$BZ112,FIND("-",$BZ112)+1)-FIND("-",$BZ112)-1)),0)</f>
        <v>0</v>
      </c>
      <c r="CC112" s="280">
        <f>IF(NOT(ISERROR(FIND("-",BZ112))),
VALUE(RIGHT($BZ112,LEN($BZ112)-IF(LEN($BZ112)-LEN(SUBSTITUTE($BZ112,"-",""))=1,FIND("-",$BZ112),FIND("-",$BZ112,FIND("-",$BZ112)+1)))),0)</f>
        <v>0</v>
      </c>
      <c r="CD112" s="393"/>
      <c r="CE112" s="280" cm="1">
        <f t="array" ref="CE112">ROW()+MATCH(TRUE,_xlfn.ISFORMULA(INDEX(BW:BW,ROW()+1):INDEX(BW:BW,ROW()+MaxNumberOfRowsPerBlock)),0)-1</f>
        <v>117</v>
      </c>
      <c r="CF112" s="394" cm="1">
        <f t="array" ref="CF112">IF(CL112=0,-1,IF(CL112=1,7,MAX(IF($CL$1:$CL112=CL112-1,ROW($CL$1:$CL112),0))))</f>
        <v>49</v>
      </c>
      <c r="CG112" s="393">
        <f>IFERROR(MATCH($B112,BOM!$A:$A,0),0)</f>
        <v>12</v>
      </c>
      <c r="CH112" s="280">
        <f>MATCH($CA112,Premises!$A$10:$F$10,0)</f>
        <v>4</v>
      </c>
      <c r="CI112" s="280"/>
      <c r="CJ112" s="394"/>
      <c r="CK112" s="280"/>
      <c r="CL112" s="280" cm="1">
        <f t="array" ref="CL112">IF($CG112=0,0,INDEX(BOM!$C:$C,$CG112))</f>
        <v>4</v>
      </c>
      <c r="CM112" s="395" cm="1">
        <f t="array" ref="CM112">IF($CG112=0,0,IF(OR($CF112&lt;0,AND(INDEX($CB:$CB,$CF112)=$CB112,INDEX($CC:$CC,$CF112)=$CC112)),0,IF(INDEX(BOM!$P:$P,$CG112)=0,$BT112,(SUMIF($CA112:INDEX($CA:$CA,IFERROR(ROW()+MATCH($CL112,INDEX($CL:$CL,ROW()+1):INDEX($CL:$CL,MAX($CE:$CE)),0)-1,MAX($CE:$CE))),$CA112,$BT112:INDEX($BT:$BT,IFERROR(ROW()+MATCH($CL112,INDEX($CL:$CL,ROW()+1):INDEX($CL:$CL,MAX($CE:$CE)),0)-1,MAX($CE:$CE))))+SUMIF($CB112:INDEX($CB:$CB,IFERROR(ROW()+MATCH($CL112,INDEX($CL:$CL,ROW()+1):INDEX($CL:$CL,MAX($CE:$CE)),0)-1,MAX($CE:$CE))),$CA112,$BT112:INDEX($BT:$BT,IFERROR(ROW()+MATCH($CL112,INDEX($CL:$CL,ROW()+1):INDEX($CL:$CL,MAX($CE:$CE)),0)-1,MAX($CE:$CE)))))/2)))</f>
        <v>0</v>
      </c>
      <c r="CN112" s="396" cm="1">
        <f t="array" ref="CN112">IFERROR(IF($CB112=0,0,IF($CM112=0,INDEX($CN$1:$CN112,$CF112),INDEX(IF($CM112&lt;0.2,Premises!$A$43:$F$43,IF($CM112&lt;5,Premises!$A$46:$F$46,Premises!$A$49:$F$49)),MATCH($CB112,Premises!$A$10:$F$10,0))/($CM112*INDEX(Premises!$A$13:$F$13,MATCH($CB112,Premises!$A$10:$F$10,0)))+INDEX(IF($CM112&lt;0.2,Premises!$A$44:$F$44,IF($CM112&lt;5,Premises!$A$47:$F$47,Premises!$A$50:$F$50)),MATCH($CB112,Premises!$A$10:$F$10,0))+INDEX(IF($CM112&lt;0.2,Premises!$A$45:$F$45,IF($CM112&lt;5,Premises!$A$48:$F$48,Premises!$A$51:$F$51)),MATCH($CB112,Premises!$A$10:$F$10,0))/$CM112)),0.01)</f>
        <v>0</v>
      </c>
      <c r="CO112" s="395" cm="1">
        <f t="array" ref="CO112">IF($CG112=0,0,IF(INDEX($CC:$CC,$CF112)=$CC112,0,$CM112*(1+IFERROR(INDEX(Premises!$A$52:$F$52,1,MATCH($CB112,Premises!$A$10:$F$10,0)),0)+$CN112)))</f>
        <v>0</v>
      </c>
      <c r="CP112" s="396" cm="1">
        <f t="array" ref="CP112">IFERROR(IF($CC112=0,0,IF($CO112=0,INDEX($CP$1:$CP112,$CF112),INDEX(IF($CO112&lt;0.2,Premises!$A$43:$F$43,IF($CO112&lt;5,Premises!$A$46:$F$46,Premises!$A$49:$F$49)),MATCH($CC112,Premises!$A$10:$F$10,0))/($CO112*INDEX(Premises!$A$13:$F$13,MATCH($CC112,Premises!$A$10:$F$10,0)))+INDEX(IF($CO112&lt;0.2,Premises!$A$44:$F$44,IF($CO112&lt;5,Premises!$A$47:$F$47,Premises!$A$50:$F$50)),MATCH($CC112,Premises!$A$10:$F$10,0))+INDEX(IF($CO112&lt;0.2,Premises!$A$45:$F$45,IF($CO112&lt;5,Premises!$A$48:$F$48,Premises!$A$51:$F$51)),MATCH($CC112,Premises!$A$10:$F$10,0))/$CO112)),0.01)</f>
        <v>0</v>
      </c>
      <c r="CQ112" s="397" cm="1">
        <f t="array" ref="CQ112">IF(AND($CM112=0,$CO112=0),0,INDEX(BOM!$O:$O,$CG112))</f>
        <v>0</v>
      </c>
      <c r="CR112" s="398" cm="1">
        <f t="array" ref="CR112">IF(OR($CM112=0,$CN112=0),0,ACOS(COS(RADIANS(90-INDEX(Premises!$A$66:$F$66,1,$CH112)))*COS(RADIANS(90-INDEX(Premises!$A$66:$F$66,1,MATCH($CB112,Premises!$A$10:$F$10,0))))
+SIN(RADIANS(90-INDEX(Premises!$A$66:$F$66,1,$CH112)))*SIN(RADIANS(90-INDEX(Premises!$A$66:$F$66,1,MATCH($CB112,Premises!$A$10:$F$10,0)))) * COS(RADIANS(INDEX(Premises!$A$67:$F$67,1,$CH112)-INDEX(Premises!$A$67:$F$67,1,MATCH($CB112,Premises!$A$10:$F$10,0)))))*6371)</f>
        <v>0</v>
      </c>
      <c r="CS112" s="398" cm="1">
        <f t="array" ref="CS112">IF(OR($CO112=0,$CP112=0),0,
IF($CR112=0,ACOS(COS(RADIANS(90-INDEX(Premises!$A$66:$F$66,1,$CH112)))*COS(RADIANS(90-INDEX(Premises!$A$66:$F$66,1,MATCH($CC112,Premises!$A$10:$F$10,0))))
+SIN(RADIANS(90-INDEX(Premises!$A$66:$F$66,1,$CH112)))*SIN(RADIANS(90-INDEX(Premises!$A$66:$F$66,1,MATCH($CC112,Premises!$A$10:$F$10,0))))*COS(RADIANS(INDEX(Premises!$A$67:$F$67,1,$CH112)-INDEX(Premises!$A$67:$F$67,1,MATCH($CC112,Premises!$A$10:$F$10,0)))))*6371,
ACOS(COS(RADIANS(90-INDEX(Premises!$A$66:$F$66,1,MATCH($CB112,Premises!$A$10:$F$10,0))))*COS(RADIANS(90-INDEX(Premises!$A$66:$F$66,1,MATCH($CC112,Premises!$A$10:$F$10,0))))
+SIN(RADIANS(90-INDEX(Premises!$A$66:$F$66,1,MATCH($CB112,Premises!$A$10:$F$10,0))))*SIN(RADIANS(90-INDEX(Premises!$A$66:$F$66,1,MATCH($CC112,Premises!$A$10:$F$10,0))))*COS(RADIANS(INDEX(Premises!$A$67:$F$67,1,MATCH($CB112,Premises!$A$10:$F$10,0))-INDEX(Premises!$A$67:$F$67,1,MATCH($CC112,Premises!$A$10:$F$10,0)))))*6371))</f>
        <v>0</v>
      </c>
      <c r="CT112" s="969"/>
      <c r="CU112" s="2"/>
      <c r="CV112" s="399">
        <f>SUM(INDEX(CV:CV,ROW()+1):INDEX(CV:CV,$CE112))</f>
        <v>4.531575681584363E-4</v>
      </c>
      <c r="CW112" s="400">
        <f>SUM(INDEX(CW:CW,ROW()+1):INDEX(CW:CW,$CE112))</f>
        <v>2.7013464552459879E-3</v>
      </c>
      <c r="CX112" s="400">
        <f>SUM(INDEX(CX:CX,ROW()+1):INDEX(CX:CX,$CE112))</f>
        <v>3.3437500000000004E-4</v>
      </c>
      <c r="CY112" s="400">
        <f>SUM(INDEX(CY:CY,ROW()+1):INDEX(CY:CY,$CE112))</f>
        <v>0</v>
      </c>
      <c r="CZ112" s="400">
        <f>SUM(INDEX(CZ:CZ,ROW()+1):INDEX(CZ:CZ,$CE112))</f>
        <v>0</v>
      </c>
      <c r="DA112" s="400">
        <f>SUM(INDEX(DA:DA,ROW()+1):INDEX(DA:DA,$CE112))</f>
        <v>7.8753256815843639E-6</v>
      </c>
      <c r="DB112" s="400">
        <f>SUM(INDEX(DB:DB,ROW()+1):INDEX(DB:DB,$CE112))</f>
        <v>6.278966732492237E-5</v>
      </c>
      <c r="DC112" s="400">
        <f>SUM(INDEX(DC:DC,ROW()+1):INDEX(DC:DC,$CE112))</f>
        <v>3.5595440164109312E-3</v>
      </c>
      <c r="DD112" s="400">
        <f>SUM(INDEX(DD:DD,ROW()+1):INDEX(DD:DD,$CE112))</f>
        <v>5.5110719999999997E-3</v>
      </c>
      <c r="DE112" s="400">
        <f>SUM(INDEX(DE:DE,ROW()+1):INDEX(DE:DE,$CE112))</f>
        <v>5.8572720000000004E-5</v>
      </c>
      <c r="DF112" s="400">
        <f>SUM(INDEX(DF:DF,ROW()+1):INDEX(DF:DF,$CE112))</f>
        <v>5.2149140626304149E-3</v>
      </c>
      <c r="DG112" s="400">
        <f>SUM(INDEX(DG:DG,ROW()+1):INDEX(DG:DG,$CE112))</f>
        <v>1.0784558782630417E-2</v>
      </c>
      <c r="DH112" s="400">
        <f>SUM(INDEX(DH:DH,ROW()+1):INDEX(DH:DH,$CE112))</f>
        <v>1.4344102799041348E-2</v>
      </c>
      <c r="DI112" s="400">
        <f>SUM(INDEX(DI:DI,ROW()+1):INDEX(DI:DI,$CE112))</f>
        <v>0</v>
      </c>
      <c r="DJ112" s="400">
        <f>SUM(INDEX(DJ:DJ,ROW()+1):INDEX(DJ:DJ,$CE112))</f>
        <v>0</v>
      </c>
      <c r="DK112" s="400">
        <f>SUM(INDEX(DK:DK,ROW()+1):INDEX(DK:DK,$CE112))</f>
        <v>1.8353034341699703E-3</v>
      </c>
      <c r="DL112" s="400">
        <f>SUM(INDEX(DL:DL,ROW()+1):INDEX(DL:DL,$CE112))</f>
        <v>0</v>
      </c>
      <c r="DM112" s="400">
        <f>SUM(INDEX(DM:DM,ROW()+1):INDEX(DM:DM,$CE112))</f>
        <v>0</v>
      </c>
      <c r="DN112" s="400">
        <f>SUM(INDEX(DN:DN,ROW()+1):INDEX(DN:DN,$CE112))</f>
        <v>5.6453644144376081E-4</v>
      </c>
      <c r="DO112" s="400">
        <f>SUM(INDEX(DO:DO,ROW()+1):INDEX(DO:DO,$CE112))</f>
        <v>0</v>
      </c>
      <c r="DP112" s="400">
        <f>SUM(INDEX(DP:DP,ROW()+1):INDEX(DP:DP,$CE112))</f>
        <v>1.674394267465508E-2</v>
      </c>
      <c r="DQ112" s="400">
        <f>SUM(INDEX(DQ:DQ,ROW()+1):INDEX(DQ:DQ,$CE112))</f>
        <v>0</v>
      </c>
      <c r="DR112" s="400">
        <f>SUM(INDEX(DR:DR,ROW()+1):INDEX(DR:DR,$CE112))</f>
        <v>0</v>
      </c>
      <c r="DS112" s="400">
        <f>SUM(INDEX(DS:DS,ROW()+1):INDEX(DS:DS,$CE112))</f>
        <v>0</v>
      </c>
      <c r="DT112" s="400">
        <f>SUM(INDEX(DT:DT,ROW()+1):INDEX(DT:DT,$CE112))</f>
        <v>0</v>
      </c>
      <c r="DU112" s="400">
        <f>SUM(INDEX(DU:DU,ROW()+1):INDEX(DU:DU,$CE112))</f>
        <v>0</v>
      </c>
      <c r="DV112" s="400">
        <f>SUM(INDEX(DV:DV,ROW()+1):INDEX(DV:DV,$CE112))</f>
        <v>1.674394267465508E-2</v>
      </c>
      <c r="DW112" s="400">
        <f>SUM(INDEX(DW:DW,ROW()+1):INDEX(DW:DW,$CE112))</f>
        <v>0</v>
      </c>
      <c r="DX112" s="400">
        <f>SUM(INDEX(DX:DX,ROW()+1):INDEX(DX:DX,$CE112))</f>
        <v>0</v>
      </c>
      <c r="DY112" s="400">
        <f>SUM(INDEX(DY:DY,ROW()+1):INDEX(DY:DY,$CE112))</f>
        <v>0</v>
      </c>
      <c r="DZ112" s="400">
        <f>SUM(INDEX(DZ:DZ,ROW()+1):INDEX(DZ:DZ,$CE112))</f>
        <v>0</v>
      </c>
      <c r="EA112" s="400">
        <f>SUM(INDEX(EA:EA,ROW()+1):INDEX(EA:EA,$CE112))</f>
        <v>0</v>
      </c>
      <c r="EB112" s="401">
        <f>SUM(INDEX(EB:EB,ROW()+1):INDEX(EB:EB,$CE112))</f>
        <v>1.674394267465508E-2</v>
      </c>
      <c r="EC112" s="805"/>
      <c r="ED112" s="399"/>
      <c r="EE112" s="400"/>
      <c r="EF112" s="1112"/>
      <c r="EG112" s="1112"/>
      <c r="EH112" s="1112"/>
      <c r="EI112" s="1112"/>
      <c r="EJ112" s="1112"/>
      <c r="EK112" s="1112"/>
      <c r="EL112" s="1112"/>
      <c r="EM112" s="1112"/>
      <c r="EN112" s="1112"/>
      <c r="EO112" s="1112"/>
      <c r="EP112" s="1112"/>
      <c r="EQ112" s="1112"/>
      <c r="ER112" s="1112"/>
      <c r="ES112" s="1112"/>
      <c r="ET112" s="1112"/>
      <c r="EU112" s="1112"/>
      <c r="EV112" s="1112"/>
      <c r="EW112" s="1112"/>
      <c r="EX112" s="1113"/>
      <c r="EY112" s="2"/>
      <c r="EZ112" s="2"/>
      <c r="FA112" s="2"/>
      <c r="FB112" s="2"/>
      <c r="FC112" s="2"/>
      <c r="FD112" s="2"/>
      <c r="FE112" s="2"/>
      <c r="FF112" s="2"/>
      <c r="FG112" s="2"/>
      <c r="FH112" s="2"/>
      <c r="FI112" s="2"/>
      <c r="FJ112" s="399"/>
      <c r="FK112" s="400"/>
      <c r="FL112" s="401"/>
      <c r="FM112" s="969"/>
    </row>
    <row r="113" spans="1:169" s="13" customFormat="1" ht="12.75" customHeight="1">
      <c r="A113" s="221"/>
      <c r="B113" s="402" t="s">
        <v>34</v>
      </c>
      <c r="C113" s="403"/>
      <c r="D113" s="646"/>
      <c r="E113" s="404"/>
      <c r="F113" s="405"/>
      <c r="G113" s="405"/>
      <c r="H113" s="405"/>
      <c r="I113" s="637" cm="1">
        <f t="array" ref="I113">IF($CI113=0,0,IFERROR(INDEX(MHR[],$CI113,MATCH($CA113,MHR!$B$4:$AY$4,0)),0))</f>
        <v>0</v>
      </c>
      <c r="J113" s="634">
        <f>IF(COUNTBLANK($E113:$H113),0,IFERROR($F113/$H113/IF($G113="s",3600,IF($G113="min",60,IF($G113="h",1,0)))*I113,0))</f>
        <v>0</v>
      </c>
      <c r="K113" s="406"/>
      <c r="L113" s="407"/>
      <c r="M113" s="871"/>
      <c r="N113" s="407"/>
      <c r="O113" s="405"/>
      <c r="P113" s="645" cm="1">
        <f t="array" ref="P113">IF($K113=0,0,IFERROR(ROUNDUP(IF(ISNUMBER($K113),$K113,INDEX($D$1:$D113,$CD113)*INDEX(Premises!$A$13:$F$13,1,$CH113)/IF(OR($K113="T",$K113="D"),250,IF($K113="W",50,IF($K113="M",12,IF(OR($K113="HJ",$K113="HY"),2,IF(OR($K113="J",$K113="Y"),1,0)))))),0),0))</f>
        <v>0</v>
      </c>
      <c r="Q113" s="637" cm="1">
        <f t="array" ref="Q113">IF($K113=0,0,IFERROR(INDEX(Premises!$A$22:$F$22,1,$CH113)*100/INDEX(Premises!$A$16:$F$16,1,$CH113),0))</f>
        <v>0</v>
      </c>
      <c r="R113" s="634">
        <f>IF($P113=0,0,IFERROR(($L113/60*($I113+$Q113*$M113)+($N113/60*($Q113*$O113)))/$P113,0))</f>
        <v>0</v>
      </c>
      <c r="S113" s="408"/>
      <c r="T113" s="409"/>
      <c r="U113" s="637" cm="1">
        <f t="array" ref="U113">IF(COUNTBLANK($S113:$T113),0,
IF(AND(INDEX(MHR[Schichtmodell],$CI113)&lt;&gt;0,INDEX(MHR[Schichtmodell],$CI113)&lt;&gt;INDEX(Premises!$A$20:$F$20,1,$CH113)),ExchangeRate*
IF(OR($T113="M",$T113="U"),IF(INDEX(MHR[Schichtmodell],$CI113)=1,INDEX(LOC[M1S],INDEX(Premises!$A$18:$F$18,1,$CH113+1)),IF(INDEX(MHR[Schichtmodell],$CI113)=2,INDEX(LOC[M2S],INDEX(Premises!$A$18:$F$18,1,$CH113+1),IF(INDEX(MHR[Schichtmodell],$CI113)=3,INDEX(LOC[M3S],INDEX(Premises!$A$18:$F$18,1,$CH113+1)),0)))),
IF(INDEX(MHR[Schichtmodell],$CI113)=1,INDEX(LOC[F1S],INDEX(Premises!$A$18:$F$18,1,$CH113+1)),IF(INDEX(MHR[Schichtmodell],$CI113)=2,INDEX(LOC[F2S],INDEX(Premises!$A$18:$F$18,1,$CH113+1)),IF(INDEX(MHR[Schichtmodell],$CI113)=3,INDEX(LOC[F3S],INDEX(Premises!$A$18:$F$18,1,$CH113+1)),0)))),
IF(OR($T113="M",$T113="U"),INDEX(Premises!$A$21:$F$21,1,$CH113),
IF(OR($T113="F",$T113="S"),INDEX(Premises!$A$22:$F$22,1,$CH113),0)))*100/INDEX(Premises!$A$16:$F$16,1,$CH113))</f>
        <v>0</v>
      </c>
      <c r="V113" s="631">
        <f>IF($U113=0,0,IFERROR($F113/$H113/IF($G113="s",3600,IF($G113="min",60,IF($G113="h",1,0)))*$S113*$U113,0))</f>
        <v>0</v>
      </c>
      <c r="W113" s="410"/>
      <c r="X113" s="403"/>
      <c r="Y113" s="411"/>
      <c r="Z113" s="412"/>
      <c r="AA113" s="628">
        <f>IFERROR($X113*$Z113/$Y113/MAX(1,$H113),0)</f>
        <v>0</v>
      </c>
      <c r="AB113" s="410"/>
      <c r="AC113" s="403"/>
      <c r="AD113" s="411"/>
      <c r="AE113" s="413"/>
      <c r="AF113" s="628">
        <f>IFERROR($AC113*$AE113/$AD113,0)</f>
        <v>0</v>
      </c>
      <c r="AG113" s="629" cm="1">
        <f t="array" ref="AG113">IF(($J113+$V113+$AF113)=0,0,INDEX(Premises!$A$30:$F$30,1,$CH113)/100)</f>
        <v>0</v>
      </c>
      <c r="AH113" s="414"/>
      <c r="AI113" s="415"/>
      <c r="AJ113" s="416"/>
      <c r="AK113" s="630">
        <f>IF(COUNTBLANK($AH113:$AI113),0,$AH113*$AI113*$AG113)</f>
        <v>0</v>
      </c>
      <c r="AL113" s="631">
        <f>($AK113+$AJ113*$AG113*(1-$AH113)+($J113+$V113+$AF113)*$AG113*(1-$AH113))</f>
        <v>0</v>
      </c>
      <c r="AM113" s="632" cm="1">
        <f t="array" ref="AM113">IF($CI113=0,0,IFERROR(INDEX(MHR[],$CI113,MATCH($CA113,MHR!$B$4:$AY$4,0)+11),0))</f>
        <v>0</v>
      </c>
      <c r="AN113" s="633" cm="1">
        <f t="array" ref="AN113">IF(($J113+$V113)=0,0,IFERROR(IF(INDEX(Premises!$A$41:$F$41,1,$CH113)&lt;&gt;0,INDEX(Premises!$A$41:$F$41,1,$CH113)/100,(IFERROR(($J113/$I113)*$AM113,0)/($V113+$J113+$R113+$AL113))),0))</f>
        <v>0</v>
      </c>
      <c r="AO113" s="634">
        <f>IF(($J113+$V113)=0,0,IF(IFERROR(($J113+$R113+$V113+$AL113)*$AN113,0)&lt;&gt;IFERROR(($J113/$I113)*$AM113,0),($J113+$R113+$V113+$AL113)*$AN113,IFERROR(($J113/$I113)*$AM113,0)))</f>
        <v>0</v>
      </c>
      <c r="AP113" s="635">
        <f>$V113+$J113+$R113+$AA113+$AF113+$AL113+$AO113</f>
        <v>0</v>
      </c>
      <c r="AQ113" s="410" t="str">
        <f>VLOOKUP($B112,BOM,5,0)</f>
        <v>Aluminium sheet AlMg4, 5Mn0,7</v>
      </c>
      <c r="AR113" s="409">
        <f>Info!Q6</f>
        <v>2.7945000000000001E-3</v>
      </c>
      <c r="AS113" s="636" t="str" cm="1">
        <f t="array" ref="AS113">IF($CJ113=0,0,IFERROR(INDEX(MAT[Einheit],$CJ113,1),0))</f>
        <v>kg</v>
      </c>
      <c r="AT113" s="637" cm="1">
        <f t="array" ref="AT113">IF($CJ113=0,0,IFERROR(INDEX(MAT[Preis],$CJ113,1),0))</f>
        <v>2.0960000000000001</v>
      </c>
      <c r="AU113" s="638">
        <f>$AR113*$AT113</f>
        <v>5.8572720000000002E-3</v>
      </c>
      <c r="AV113" s="639" cm="1">
        <f t="array" ref="AV113">IF($AU113&lt;=0,0,INDEX(Premises!$A$30:$F$30,1,$CH113)/100)</f>
        <v>0.01</v>
      </c>
      <c r="AW113" s="409"/>
      <c r="AX113" s="631">
        <f>IF($AV113=0,0,($AU113+$AW113)*$AV113)</f>
        <v>5.8572720000000004E-5</v>
      </c>
      <c r="AY113" s="640" cm="1">
        <f t="array" ref="AY113">IF($AT113&lt;=0,0,IFERROR(IF(INDEX(Premises!$A$42:$F$42,1,$CH113)&lt;&gt;0,INDEX(Premises!$A$42:$F$42,1,$CH113)/100,(INDEX(MAT[],$CJ113,MATCH($CA113,MAT!$B$4:$AE$4,0))/($AR113*$CK113*INDEX(Premises!$A$13:$F$13,1,$CH113))+INDEX(MAT[],$CJ113,MATCH($CA113,MAT!$B$4:$AE$4,0)+7))/$AT113),0))</f>
        <v>0.88151638683146749</v>
      </c>
      <c r="AZ113" s="631">
        <f>IF($AY113=0,0,($AU113+$AX113)*$AY113)</f>
        <v>5.2149140626304149E-3</v>
      </c>
      <c r="BA113" s="635">
        <f>$AU113+$AX113+$AZ113</f>
        <v>1.1130758782630416E-2</v>
      </c>
      <c r="BB113" s="635">
        <f>$AP113+$BA113</f>
        <v>1.1130758782630416E-2</v>
      </c>
      <c r="BC113" s="639" cm="1">
        <f t="array" ref="BC113">IF($BB113&lt;=0,0,IF(BC$2=-1,0,INDEX(Premises!$A$32:$F$32,1,$CH113)/100))</f>
        <v>0</v>
      </c>
      <c r="BD113" s="631">
        <f>IF($AP113&lt;=0,0,($AP113-$AA113-$AL113)*$BC113)</f>
        <v>0</v>
      </c>
      <c r="BE113" s="639" cm="1">
        <f t="array" ref="BE113">IF($BB113&lt;=0,0,IF(BE$2=-1,0,INDEX(Premises!$A$33:$F$33,1,$CH113)/100))</f>
        <v>0</v>
      </c>
      <c r="BF113" s="631">
        <f>IF($BA113&lt;=0,0,$BA113*$BE113)</f>
        <v>0</v>
      </c>
      <c r="BG113" s="639" cm="1">
        <f t="array" ref="BG113">IF($BB113&lt;=0,0,IF(BG$2=-1,0,INDEX(Premises!$A$31:$F$31,1,$CH113)/100))</f>
        <v>0.125</v>
      </c>
      <c r="BH113" s="631">
        <f>(($AP113-$AA113-$AL113)+$BA113)*$BG113</f>
        <v>1.391344847828802E-3</v>
      </c>
      <c r="BI113" s="635">
        <f>$BB113+$BD113+$BF113+$BH113</f>
        <v>1.2522103630459219E-2</v>
      </c>
      <c r="BJ113" s="639" cm="1">
        <f t="array" ref="BJ113">IF($BB113&lt;=0,0,IF(BJ$2=-1,0,INDEX(Premises!$A$35:$F$35,1,$CH113)/100))</f>
        <v>0</v>
      </c>
      <c r="BK113" s="631">
        <f>IF($AP113&lt;=0,0,($AP113-$AL113-$AA113)*$BJ113)</f>
        <v>0</v>
      </c>
      <c r="BL113" s="639" cm="1">
        <f t="array" ref="BL113">IF($BB113&lt;=0,0,IF(BL$2=-1,0,INDEX(Premises!$A$36:$F$36,1,$CH113)/100))</f>
        <v>0</v>
      </c>
      <c r="BM113" s="631">
        <f>IF($AU113&lt;=0,0,($AR113*$AT113)*$BL113)</f>
        <v>0</v>
      </c>
      <c r="BN113" s="639" cm="1">
        <f t="array" ref="BN113">IF($BB113&lt;=0,0,IF(BN$2=-1,0,INDEX(Premises!$A$34:$F$34,1,$CH113)/100))</f>
        <v>0.06</v>
      </c>
      <c r="BO113" s="631">
        <f>(($AP113-$AL113-$AA113)+($AR113*$AT113))*$BN113</f>
        <v>3.5143632000000002E-4</v>
      </c>
      <c r="BP113" s="639" cm="1">
        <f t="array" ref="BP113">IF($BI113=0,0,INDEX(Premises!$A$37:$F$37,1,$CH113)/100)</f>
        <v>0</v>
      </c>
      <c r="BQ113" s="409"/>
      <c r="BR113" s="631">
        <f>($BI113+$BK113+$BM113+$BO113)*$BP113+$BQ113</f>
        <v>0</v>
      </c>
      <c r="BS113" s="641">
        <f>BI113+BK113+BM113+BO113+BR113</f>
        <v>1.287353995045922E-2</v>
      </c>
      <c r="BT113" s="641">
        <f>IF($BS113=0,0,$CK113*$BS113)</f>
        <v>1.287353995045922E-2</v>
      </c>
      <c r="BU113" s="642">
        <f>IF($BT113=0,0,MAX(1,$EB113/$DP113))</f>
        <v>1</v>
      </c>
      <c r="BV113" s="417"/>
      <c r="BW113" s="418"/>
      <c r="BX113" s="418"/>
      <c r="BY113" s="419"/>
      <c r="BZ113" s="968"/>
      <c r="CA113" s="280" cm="1">
        <f t="array" ref="CA113">IF($BZ113&gt;0,VALUE(LEFT($BZ113,IF(ISERROR(FIND("-",$BZ113)),LEN($BZ113),FIND("-",$BZ113)-1))),INDEX($CA$1:$CA113,MAX(1,$CD113)))</f>
        <v>1</v>
      </c>
      <c r="CB113" s="280" cm="1">
        <f t="array" ref="CB113">IF($BT113=0,0,IF(LEN($BZ113)-LEN(SUBSTITUTE($BZ113,"-",""))&gt;1,
VALUE(MID($BZ113,FIND("-",$BZ113)+1,FIND("-",$BZ113,FIND("-",$BZ113)+1)-FIND("-",$BZ113)-1)),IF($BZ113&gt;0,0,INDEX($CB$1:$CB113,MAX(1,$CD113)))))</f>
        <v>0</v>
      </c>
      <c r="CC113" s="280" cm="1">
        <f t="array" ref="CC113">IF($BT113=0,0,IF(NOT(ISERROR(FIND("-",BZ113))),
VALUE(RIGHT($BZ113,LEN($BZ113)-IF(LEN($BZ113)-LEN(SUBSTITUTE($BZ113,"-",""))=1,FIND("-",$BZ113),FIND("-",$BZ113,FIND("-",$BZ113)+1)))),
IF($BZ113&gt;0,0,INDEX($CC$1:$CC113,MAX(1,$CD113)))))</f>
        <v>0</v>
      </c>
      <c r="CD113" s="393">
        <f>MATCH(0,$CE$1:$CE113,-1)</f>
        <v>112</v>
      </c>
      <c r="CE113" s="280"/>
      <c r="CF113" s="394"/>
      <c r="CG113" s="393" cm="1">
        <f t="array" ref="CG113">INDEX($CG$1:$CG113,$CD113)</f>
        <v>12</v>
      </c>
      <c r="CH113" s="280">
        <f>MATCH($CA113,Premises!$A$10:$F$10,0)</f>
        <v>4</v>
      </c>
      <c r="CI113" s="280">
        <f>IF(ISBLANK($E113),0,IFERROR(MATCH($E113,MHR[Bezeichnung],0),0))</f>
        <v>0</v>
      </c>
      <c r="CJ113" s="394">
        <f>IF(ISBLANK($AQ113),0,IFERROR(MATCH($AQ113,MAT[Bezeichnung],0),0))</f>
        <v>6</v>
      </c>
      <c r="CK113" s="280" cm="1">
        <f t="array" ref="CK113">INDEX($D$1:$D113,$CD113)</f>
        <v>1</v>
      </c>
      <c r="CL113" s="280"/>
      <c r="CM113" s="395"/>
      <c r="CN113" s="396" cm="1">
        <f t="array" ref="CN113">IF($CB113=0,0,IF($CB113=INDEX($CB$1:$CB113,$CD113),INDEX($CN$1:$CN113,$CD113),$CP113))</f>
        <v>0</v>
      </c>
      <c r="CO113" s="395"/>
      <c r="CP113" s="396" cm="1">
        <f t="array" ref="CP113">IF($CC113=0,0,INDEX($CP$1:$CP113,$CD113))</f>
        <v>0</v>
      </c>
      <c r="CQ113" s="397"/>
      <c r="CR113" s="398"/>
      <c r="CS113" s="398"/>
      <c r="CT113" s="970"/>
      <c r="CU113" s="2"/>
      <c r="CV113" s="647">
        <f>$J113*$CK113</f>
        <v>0</v>
      </c>
      <c r="CW113" s="648">
        <f>$R113*$CK113</f>
        <v>0</v>
      </c>
      <c r="CX113" s="648">
        <f>$V113*$CK113</f>
        <v>0</v>
      </c>
      <c r="CY113" s="648">
        <f>$AA113*$CK113</f>
        <v>0</v>
      </c>
      <c r="CZ113" s="648">
        <f>$AF113*$CK113</f>
        <v>0</v>
      </c>
      <c r="DA113" s="648">
        <f>$AL113*$CK113</f>
        <v>0</v>
      </c>
      <c r="DB113" s="648">
        <f>$AO113*$CK113</f>
        <v>0</v>
      </c>
      <c r="DC113" s="649">
        <f>$AP113*$CK113</f>
        <v>0</v>
      </c>
      <c r="DD113" s="648">
        <f>$AU113*$CK113</f>
        <v>5.8572720000000002E-3</v>
      </c>
      <c r="DE113" s="648">
        <f>$AX113*$CK113</f>
        <v>5.8572720000000004E-5</v>
      </c>
      <c r="DF113" s="648">
        <f>$AZ113*$CK113</f>
        <v>5.2149140626304149E-3</v>
      </c>
      <c r="DG113" s="649">
        <f>$BA113*$CK113</f>
        <v>1.1130758782630416E-2</v>
      </c>
      <c r="DH113" s="649">
        <f>$BB113*$CK113</f>
        <v>1.1130758782630416E-2</v>
      </c>
      <c r="DI113" s="648">
        <f>$BD113*$CK113</f>
        <v>0</v>
      </c>
      <c r="DJ113" s="648">
        <f>$BF113*$CK113</f>
        <v>0</v>
      </c>
      <c r="DK113" s="648">
        <f>$BH113*$CK113</f>
        <v>1.391344847828802E-3</v>
      </c>
      <c r="DL113" s="648">
        <f>$BK113*$CK113</f>
        <v>0</v>
      </c>
      <c r="DM113" s="648">
        <f>$BM113*$CK113</f>
        <v>0</v>
      </c>
      <c r="DN113" s="648">
        <f>$BO113*$CK113</f>
        <v>3.5143632000000002E-4</v>
      </c>
      <c r="DO113" s="648">
        <f>$BR113*$CK113</f>
        <v>0</v>
      </c>
      <c r="DP113" s="651">
        <f>$CK113*($BB113+$BD113+$BF113+$BH113+$BK113+$BM113+$BO113+$BR113)</f>
        <v>1.287353995045922E-2</v>
      </c>
      <c r="DQ113" s="951">
        <f>IF($CB113=0,0,$DP113*_xlfn.XLOOKUP($CB113,Premises!$A$10:$F$10,Premises!$A$30:$F$30)/100)</f>
        <v>0</v>
      </c>
      <c r="DR113" s="650">
        <f>IFERROR(SUM($DP113:$DQ113)*IF(INDEX(Premises!$A$42:$F$42,1,MATCH($CB113,Premises!$A$10:$F$10,0))&gt;0,INDEX(Premises!$A$42:$F$42,1,MATCH($CB113,Premises!$A$10:$F$10,0))%,$CN113),0)</f>
        <v>0</v>
      </c>
      <c r="DS113" s="650" cm="1">
        <f t="array" ref="DS113">IF($CB113=0,0,SUM($DP113:$DR113)*_xlfn.XLOOKUP($CB113,Premises!$A$10:$F$10,IF(INDEX(Settings[],MATCH(3001,Settings[ID],0),2)="B",Premises!$A$33:$F$33,Premises!$A$31:$F$31))/100)</f>
        <v>0</v>
      </c>
      <c r="DT113" s="650" cm="1">
        <f t="array" ref="DT113">IF($CB113=0,0,$DP113*_xlfn.XLOOKUP($CB113,Premises!$A$10:$F$10,IF(INDEX(Settings[],MATCH(3002,Settings[ID],0),2)="B",Premises!$A$36:$F$36,Premises!$A$34:$F$34))/100)</f>
        <v>0</v>
      </c>
      <c r="DU113" s="650">
        <f>IF($CB113=0,0,SUM($DP113:$DT113)*_xlfn.XLOOKUP($CB113,Premises!$A$10:$F$10,Premises!$A$37:$F$37)/100)</f>
        <v>0</v>
      </c>
      <c r="DV113" s="954">
        <f>SUM($DP113:$DU113)</f>
        <v>1.287353995045922E-2</v>
      </c>
      <c r="DW113" s="951">
        <f>IF($CC113=0,0,$DV113*_xlfn.XLOOKUP($CC113,Premises!$A$10:$F$10,Premises!$A$30:$F$30)/100)</f>
        <v>0</v>
      </c>
      <c r="DX113" s="650">
        <f>IFERROR(SUM($DV113:$DW113)*IF(INDEX(Premises!$A$42:$F$42,1,MATCH($CC113,Premises!$A$10:$F$10,0))&gt;0,INDEX(Premises!$A$42:$F$42,1,MATCH($CC113,Premises!$A$10:$F$10,0))%,$CP113),0)</f>
        <v>0</v>
      </c>
      <c r="DY113" s="650" cm="1">
        <f t="array" ref="DY113">IF($CC113=0,0,SUM($DV113:$DX113)*_xlfn.XLOOKUP($CC113,Premises!$A$10:$F$10,IF(INDEX(Settings[],MATCH(3001,Settings[ID],0),2)="B",Premises!$A$33:$F$33,Premises!$A$31:$F$31))/100)</f>
        <v>0</v>
      </c>
      <c r="DZ113" s="650" cm="1">
        <f t="array" ref="DZ113">IF($CC113=0,0,$DV113*_xlfn.XLOOKUP($CC113,Premises!$A$10:$F$10,IF(INDEX(Settings[],MATCH(3002,Settings[ID],0),2)="B",Premises!$A$36:$F$36,Premises!$A$34:$F$34))/100)</f>
        <v>0</v>
      </c>
      <c r="EA113" s="650">
        <f>IF($CC113=0,0,SUM($DV113:$DZ113)*_xlfn.XLOOKUP($CC113,Premises!$A$10:$F$10,Premises!$A$37:$F$37)/100)</f>
        <v>0</v>
      </c>
      <c r="EB113" s="651">
        <f>SUM($DV113:$EA113)</f>
        <v>1.287353995045922E-2</v>
      </c>
      <c r="EC113" s="805"/>
      <c r="ED113" s="1104"/>
      <c r="EE113" s="650"/>
      <c r="EF113" s="1110"/>
      <c r="EG113" s="1108"/>
      <c r="EH113" s="1108"/>
      <c r="EI113" s="1108"/>
      <c r="EJ113" s="1108"/>
      <c r="EK113" s="1108"/>
      <c r="EL113" s="1108"/>
      <c r="EM113" s="1110"/>
      <c r="EN113" s="1108"/>
      <c r="EO113" s="1108"/>
      <c r="EP113" s="1108"/>
      <c r="EQ113" s="1108"/>
      <c r="ER113" s="1110"/>
      <c r="ES113" s="1108"/>
      <c r="ET113" s="1108"/>
      <c r="EU113" s="1108"/>
      <c r="EV113" s="1108"/>
      <c r="EW113" s="1108"/>
      <c r="EX113" s="1111"/>
      <c r="EY113" s="2"/>
      <c r="EZ113" s="2"/>
      <c r="FA113" s="2"/>
      <c r="FB113" s="2"/>
      <c r="FC113" s="2"/>
      <c r="FD113" s="2"/>
      <c r="FE113" s="2"/>
      <c r="FF113" s="2"/>
      <c r="FG113" s="2"/>
      <c r="FH113" s="2"/>
      <c r="FI113" s="2"/>
      <c r="FJ113" s="420"/>
      <c r="FK113" s="421"/>
      <c r="FL113" s="422"/>
      <c r="FM113" s="970"/>
    </row>
    <row r="114" spans="1:169" s="13" customFormat="1" ht="12.75" customHeight="1">
      <c r="A114" s="221"/>
      <c r="B114" s="402" t="s">
        <v>4355</v>
      </c>
      <c r="C114" s="403"/>
      <c r="D114" s="646"/>
      <c r="E114" s="404"/>
      <c r="F114" s="405"/>
      <c r="G114" s="405"/>
      <c r="H114" s="405"/>
      <c r="I114" s="637" cm="1">
        <f t="array" ref="I114">IF($CI114=0,0,IFERROR(INDEX(MHR[],$CI114,MATCH($CA114,MHR!$B$4:$AY$4,0)),0))</f>
        <v>0</v>
      </c>
      <c r="J114" s="634">
        <f>IF(COUNTBLANK($E114:$H114),0,IFERROR($F114/$H114/IF($G114="s",3600,IF($G114="min",60,IF($G114="h",1,0)))*I114,0))</f>
        <v>0</v>
      </c>
      <c r="K114" s="406"/>
      <c r="L114" s="407"/>
      <c r="M114" s="871"/>
      <c r="N114" s="407"/>
      <c r="O114" s="405"/>
      <c r="P114" s="645" cm="1">
        <f t="array" ref="P114">IF($K114=0,0,IFERROR(ROUNDUP(IF(ISNUMBER($K114),$K114,INDEX($D$1:$D114,$CD114)*INDEX(Premises!$A$13:$F$13,1,$CH114)/IF(OR($K114="T",$K114="D"),250,IF($K114="W",50,IF($K114="M",12,IF(OR($K114="HJ",$K114="HY"),2,IF(OR($K114="J",$K114="Y"),1,0)))))),0),0))</f>
        <v>0</v>
      </c>
      <c r="Q114" s="637" cm="1">
        <f t="array" ref="Q114">IF($K114=0,0,IFERROR(INDEX(Premises!$A$22:$F$22,1,$CH114)*100/INDEX(Premises!$A$16:$F$16,1,$CH114),0))</f>
        <v>0</v>
      </c>
      <c r="R114" s="634">
        <f>IF($P114=0,0,IFERROR(($L114/60*($I114+$Q114*$M114)+($N114/60*($Q114*$O114)))/$P114,0))</f>
        <v>0</v>
      </c>
      <c r="S114" s="408"/>
      <c r="T114" s="409"/>
      <c r="U114" s="637" cm="1">
        <f t="array" ref="U114">IF(COUNTBLANK($S114:$T114),0,
IF(AND(INDEX(MHR[Schichtmodell],$CI114)&lt;&gt;0,INDEX(MHR[Schichtmodell],$CI114)&lt;&gt;INDEX(Premises!$A$20:$F$20,1,$CH114)),ExchangeRate*
IF(OR($T114="M",$T114="U"),IF(INDEX(MHR[Schichtmodell],$CI114)=1,INDEX(LOC[M1S],INDEX(Premises!$A$18:$F$18,1,$CH114+1)),IF(INDEX(MHR[Schichtmodell],$CI114)=2,INDEX(LOC[M2S],INDEX(Premises!$A$18:$F$18,1,$CH114+1),IF(INDEX(MHR[Schichtmodell],$CI114)=3,INDEX(LOC[M3S],INDEX(Premises!$A$18:$F$18,1,$CH114+1)),0)))),
IF(INDEX(MHR[Schichtmodell],$CI114)=1,INDEX(LOC[F1S],INDEX(Premises!$A$18:$F$18,1,$CH114+1)),IF(INDEX(MHR[Schichtmodell],$CI114)=2,INDEX(LOC[F2S],INDEX(Premises!$A$18:$F$18,1,$CH114+1)),IF(INDEX(MHR[Schichtmodell],$CI114)=3,INDEX(LOC[F3S],INDEX(Premises!$A$18:$F$18,1,$CH114+1)),0)))),
IF(OR($T114="M",$T114="U"),INDEX(Premises!$A$21:$F$21,1,$CH114),
IF(OR($T114="F",$T114="S"),INDEX(Premises!$A$22:$F$22,1,$CH114),0)))*100/INDEX(Premises!$A$16:$F$16,1,$CH114))</f>
        <v>0</v>
      </c>
      <c r="V114" s="631">
        <f>IF($U114=0,0,IFERROR($F114/$H114/IF($G114="s",3600,IF($G114="min",60,IF($G114="h",1,0)))*$S114*$U114,0))</f>
        <v>0</v>
      </c>
      <c r="W114" s="410"/>
      <c r="X114" s="403"/>
      <c r="Y114" s="411"/>
      <c r="Z114" s="412"/>
      <c r="AA114" s="628">
        <f>IFERROR($X114*$Z114/$Y114/MAX(1,$H114),0)</f>
        <v>0</v>
      </c>
      <c r="AB114" s="410"/>
      <c r="AC114" s="403"/>
      <c r="AD114" s="411"/>
      <c r="AE114" s="413"/>
      <c r="AF114" s="628">
        <f>IFERROR($AC114*$AE114/$AD114,0)</f>
        <v>0</v>
      </c>
      <c r="AG114" s="629" cm="1">
        <f t="array" ref="AG114">IF(($J114+$V114+$AF114)=0,0,INDEX(Premises!$A$30:$F$30,1,$CH114)/100)</f>
        <v>0</v>
      </c>
      <c r="AH114" s="414"/>
      <c r="AI114" s="415"/>
      <c r="AJ114" s="416"/>
      <c r="AK114" s="630">
        <f>IF(COUNTBLANK($AH114:$AI114),0,$AH114*$AI114*$AG114)</f>
        <v>0</v>
      </c>
      <c r="AL114" s="631">
        <f>($AK114+$AJ114*$AG114*(1-$AH114)+($J114+$V114+$AF114)*$AG114*(1-$AH114))</f>
        <v>0</v>
      </c>
      <c r="AM114" s="632" cm="1">
        <f t="array" ref="AM114">IF($CI114=0,0,IFERROR(INDEX(MHR[],$CI114,MATCH($CA114,MHR!$B$4:$AY$4,0)+11),0))</f>
        <v>0</v>
      </c>
      <c r="AN114" s="633" cm="1">
        <f t="array" ref="AN114">IF(($J114+$V114)=0,0,IFERROR(IF(INDEX(Premises!$A$41:$F$41,1,$CH114)&lt;&gt;0,INDEX(Premises!$A$41:$F$41,1,$CH114)/100,(IFERROR(($J114/$I114)*$AM114,0)/($V114+$J114+$R114+$AL114))),0))</f>
        <v>0</v>
      </c>
      <c r="AO114" s="634">
        <f>IF(($J114+$V114)=0,0,IF(IFERROR(($J114+$R114+$V114+$AL114)*$AN114,0)&lt;&gt;IFERROR(($J114/$I114)*$AM114,0),($J114+$R114+$V114+$AL114)*$AN114,IFERROR(($J114/$I114)*$AM114,0)))</f>
        <v>0</v>
      </c>
      <c r="AP114" s="635">
        <f>$V114+$J114+$R114+$AA114+$AF114+$AL114+$AO114</f>
        <v>0</v>
      </c>
      <c r="AQ114" s="410" t="s">
        <v>4355</v>
      </c>
      <c r="AR114" s="1343">
        <f>AR113-BOM!G12</f>
        <v>2.8850000000000013E-4</v>
      </c>
      <c r="AS114" s="636" t="str" cm="1">
        <f t="array" ref="AS114">IF($CJ114=0,0,IFERROR(INDEX(MAT[Einheit],$CJ114,1),0))</f>
        <v>kg</v>
      </c>
      <c r="AT114" s="637" cm="1">
        <f t="array" ref="AT114">IF($CJ114=0,0,IFERROR(INDEX(MAT[Preis],$CJ114,1),0))</f>
        <v>-1.2</v>
      </c>
      <c r="AU114" s="638">
        <f>$AR114*$AT114</f>
        <v>-3.4620000000000012E-4</v>
      </c>
      <c r="AV114" s="639" cm="1">
        <f t="array" ref="AV114">IF($AU114&lt;=0,0,INDEX(Premises!$A$30:$F$30,1,$CH114)/100)</f>
        <v>0</v>
      </c>
      <c r="AW114" s="409"/>
      <c r="AX114" s="631">
        <f>IF($AV114=0,0,($AU114+$AW114)*$AV114)</f>
        <v>0</v>
      </c>
      <c r="AY114" s="640" cm="1">
        <f t="array" ref="AY114">IF($AT114&lt;=0,0,IFERROR(IF(INDEX(Premises!$A$42:$F$42,1,$CH114)&lt;&gt;0,INDEX(Premises!$A$42:$F$42,1,$CH114)/100,(INDEX(MAT[],$CJ114,MATCH($CA114,MAT!$B$4:$AE$4,0))/($AR114*$CK114*INDEX(Premises!$A$13:$F$13,1,$CH114))+INDEX(MAT[],$CJ114,MATCH($CA114,MAT!$B$4:$AE$4,0)+7))/$AT114),0))</f>
        <v>0</v>
      </c>
      <c r="AZ114" s="631">
        <f>IF($AY114=0,0,($AU114+$AX114)*$AY114)</f>
        <v>0</v>
      </c>
      <c r="BA114" s="635">
        <f>$AU114+$AX114+$AZ114</f>
        <v>-3.4620000000000012E-4</v>
      </c>
      <c r="BB114" s="635">
        <f>$AP114+$BA114</f>
        <v>-3.4620000000000012E-4</v>
      </c>
      <c r="BC114" s="639" cm="1">
        <f t="array" ref="BC114">IF($BB114&lt;=0,0,IF(BC$2=-1,0,INDEX(Premises!$A$32:$F$32,1,$CH114)/100))</f>
        <v>0</v>
      </c>
      <c r="BD114" s="631">
        <f>IF($AP114&lt;=0,0,($AP114-$AA114-$AL114)*$BC114)</f>
        <v>0</v>
      </c>
      <c r="BE114" s="639" cm="1">
        <f t="array" ref="BE114">IF($BB114&lt;=0,0,IF(BE$2=-1,0,INDEX(Premises!$A$33:$F$33,1,$CH114)/100))</f>
        <v>0</v>
      </c>
      <c r="BF114" s="631">
        <f>IF($BA114&lt;=0,0,$BA114*$BE114)</f>
        <v>0</v>
      </c>
      <c r="BG114" s="639" cm="1">
        <f t="array" ref="BG114">IF($BB114&lt;=0,0,IF(BG$2=-1,0,INDEX(Premises!$A$31:$F$31,1,$CH114)/100))</f>
        <v>0</v>
      </c>
      <c r="BH114" s="631">
        <f>(($AP114-$AA114-$AL114)+$BA114)*$BG114</f>
        <v>0</v>
      </c>
      <c r="BI114" s="635">
        <f>$BB114+$BD114+$BF114+$BH114</f>
        <v>-3.4620000000000012E-4</v>
      </c>
      <c r="BJ114" s="639" cm="1">
        <f t="array" ref="BJ114">IF($BB114&lt;=0,0,IF(BJ$2=-1,0,INDEX(Premises!$A$35:$F$35,1,$CH114)/100))</f>
        <v>0</v>
      </c>
      <c r="BK114" s="631">
        <f>IF($AP114&lt;=0,0,($AP114-$AL114-$AA114)*$BJ114)</f>
        <v>0</v>
      </c>
      <c r="BL114" s="639" cm="1">
        <f t="array" ref="BL114">IF($BB114&lt;=0,0,IF(BL$2=-1,0,INDEX(Premises!$A$36:$F$36,1,$CH114)/100))</f>
        <v>0</v>
      </c>
      <c r="BM114" s="631">
        <f>IF($AU114&lt;=0,0,($AR114*$AT114)*$BL114)</f>
        <v>0</v>
      </c>
      <c r="BN114" s="639" cm="1">
        <f t="array" ref="BN114">IF($BB114&lt;=0,0,IF(BN$2=-1,0,INDEX(Premises!$A$34:$F$34,1,$CH114)/100))</f>
        <v>0</v>
      </c>
      <c r="BO114" s="631">
        <f>(($AP114-$AL114-$AA114)+($AR114*$AT114))*$BN114</f>
        <v>0</v>
      </c>
      <c r="BP114" s="639" cm="1">
        <f t="array" ref="BP114">IF($BI114=0,0,INDEX(Premises!$A$37:$F$37,1,$CH114)/100)</f>
        <v>0</v>
      </c>
      <c r="BQ114" s="409"/>
      <c r="BR114" s="631">
        <f>($BI114+$BK114+$BM114+$BO114)*$BP114+$BQ114</f>
        <v>0</v>
      </c>
      <c r="BS114" s="1344">
        <f>BI114+BK114+BM114+BO114+BR114</f>
        <v>-3.4620000000000012E-4</v>
      </c>
      <c r="BT114" s="1344">
        <f>IF($BS114=0,0,$CK114*$BS114)</f>
        <v>-3.4620000000000012E-4</v>
      </c>
      <c r="BU114" s="642">
        <f>IF($BT114=0,0,MAX(1,$EB114/$DP114))</f>
        <v>1</v>
      </c>
      <c r="BV114" s="417"/>
      <c r="BW114" s="418"/>
      <c r="BX114" s="418"/>
      <c r="BY114" s="419"/>
      <c r="BZ114" s="968"/>
      <c r="CA114" s="280" cm="1">
        <f t="array" ref="CA114">IF($BZ114&gt;0,VALUE(LEFT($BZ114,IF(ISERROR(FIND("-",$BZ114)),LEN($BZ114),FIND("-",$BZ114)-1))),INDEX($CA$1:$CA114,MAX(1,$CD114)))</f>
        <v>1</v>
      </c>
      <c r="CB114" s="280" cm="1">
        <f t="array" ref="CB114">IF($BT114=0,0,IF(LEN($BZ114)-LEN(SUBSTITUTE($BZ114,"-",""))&gt;1,
VALUE(MID($BZ114,FIND("-",$BZ114)+1,FIND("-",$BZ114,FIND("-",$BZ114)+1)-FIND("-",$BZ114)-1)),IF($BZ114&gt;0,0,INDEX($CB$1:$CB114,MAX(1,$CD114)))))</f>
        <v>0</v>
      </c>
      <c r="CC114" s="280" cm="1">
        <f t="array" ref="CC114">IF($BT114=0,0,IF(NOT(ISERROR(FIND("-",BZ114))),
VALUE(RIGHT($BZ114,LEN($BZ114)-IF(LEN($BZ114)-LEN(SUBSTITUTE($BZ114,"-",""))=1,FIND("-",$BZ114),FIND("-",$BZ114,FIND("-",$BZ114)+1)))),
IF($BZ114&gt;0,0,INDEX($CC$1:$CC114,MAX(1,$CD114)))))</f>
        <v>0</v>
      </c>
      <c r="CD114" s="393">
        <f>MATCH(0,$CE$1:$CE114,-1)</f>
        <v>112</v>
      </c>
      <c r="CE114" s="280"/>
      <c r="CF114" s="394"/>
      <c r="CG114" s="393" cm="1">
        <f t="array" ref="CG114">INDEX($CG$1:$CG114,$CD114)</f>
        <v>12</v>
      </c>
      <c r="CH114" s="280">
        <f>MATCH($CA114,Premises!$A$10:$F$10,0)</f>
        <v>4</v>
      </c>
      <c r="CI114" s="280">
        <f>IF(ISBLANK($E114),0,IFERROR(MATCH($E114,MHR[Bezeichnung],0),0))</f>
        <v>0</v>
      </c>
      <c r="CJ114" s="394">
        <f>IF(ISBLANK($AQ114),0,IFERROR(MATCH($AQ114,MAT[Bezeichnung],0),0))</f>
        <v>17</v>
      </c>
      <c r="CK114" s="280" cm="1">
        <f t="array" ref="CK114">INDEX($D$1:$D114,$CD114)</f>
        <v>1</v>
      </c>
      <c r="CL114" s="280"/>
      <c r="CM114" s="395"/>
      <c r="CN114" s="396" cm="1">
        <f t="array" ref="CN114">IF($CB114=0,0,IF($CB114=INDEX($CB$1:$CB114,$CD114),INDEX($CN$1:$CN114,$CD114),$CP114))</f>
        <v>0</v>
      </c>
      <c r="CO114" s="395"/>
      <c r="CP114" s="396" cm="1">
        <f t="array" ref="CP114">IF($CC114=0,0,INDEX($CP$1:$CP114,$CD114))</f>
        <v>0</v>
      </c>
      <c r="CQ114" s="397"/>
      <c r="CR114" s="398"/>
      <c r="CS114" s="398"/>
      <c r="CT114" s="970"/>
      <c r="CU114" s="2"/>
      <c r="CV114" s="647">
        <f>$J114*$CK114</f>
        <v>0</v>
      </c>
      <c r="CW114" s="648">
        <f>$R114*$CK114</f>
        <v>0</v>
      </c>
      <c r="CX114" s="648">
        <f>$V114*$CK114</f>
        <v>0</v>
      </c>
      <c r="CY114" s="648">
        <f>$AA114*$CK114</f>
        <v>0</v>
      </c>
      <c r="CZ114" s="648">
        <f>$AF114*$CK114</f>
        <v>0</v>
      </c>
      <c r="DA114" s="648">
        <f>$AL114*$CK114</f>
        <v>0</v>
      </c>
      <c r="DB114" s="648">
        <f>$AO114*$CK114</f>
        <v>0</v>
      </c>
      <c r="DC114" s="649">
        <f>$AP114*$CK114</f>
        <v>0</v>
      </c>
      <c r="DD114" s="648">
        <f>$AU114*$CK114</f>
        <v>-3.4620000000000012E-4</v>
      </c>
      <c r="DE114" s="648">
        <f>$AX114*$CK114</f>
        <v>0</v>
      </c>
      <c r="DF114" s="648">
        <f>$AZ114*$CK114</f>
        <v>0</v>
      </c>
      <c r="DG114" s="649">
        <f>$BA114*$CK114</f>
        <v>-3.4620000000000012E-4</v>
      </c>
      <c r="DH114" s="649">
        <f>$BB114*$CK114</f>
        <v>-3.4620000000000012E-4</v>
      </c>
      <c r="DI114" s="648">
        <f>$BD114*$CK114</f>
        <v>0</v>
      </c>
      <c r="DJ114" s="648">
        <f>$BF114*$CK114</f>
        <v>0</v>
      </c>
      <c r="DK114" s="648">
        <f>$BH114*$CK114</f>
        <v>0</v>
      </c>
      <c r="DL114" s="648">
        <f>$BK114*$CK114</f>
        <v>0</v>
      </c>
      <c r="DM114" s="648">
        <f>$BM114*$CK114</f>
        <v>0</v>
      </c>
      <c r="DN114" s="648">
        <f>$BO114*$CK114</f>
        <v>0</v>
      </c>
      <c r="DO114" s="648">
        <f>$BR114*$CK114</f>
        <v>0</v>
      </c>
      <c r="DP114" s="651">
        <f>$CK114*($BB114+$BD114+$BF114+$BH114+$BK114+$BM114+$BO114+$BR114)</f>
        <v>-3.4620000000000012E-4</v>
      </c>
      <c r="DQ114" s="951">
        <f>IF($CB114=0,0,$DP114*_xlfn.XLOOKUP($CB114,Premises!$A$10:$F$10,Premises!$A$30:$F$30)/100)</f>
        <v>0</v>
      </c>
      <c r="DR114" s="650">
        <f>IFERROR(SUM($DP114:$DQ114)*IF(INDEX(Premises!$A$42:$F$42,1,MATCH($CB114,Premises!$A$10:$F$10,0))&gt;0,INDEX(Premises!$A$42:$F$42,1,MATCH($CB114,Premises!$A$10:$F$10,0))%,$CN114),0)</f>
        <v>0</v>
      </c>
      <c r="DS114" s="650" cm="1">
        <f t="array" ref="DS114">IF($CB114=0,0,SUM($DP114:$DR114)*_xlfn.XLOOKUP($CB114,Premises!$A$10:$F$10,IF(INDEX(Settings[],MATCH(3001,Settings[ID],0),2)="B",Premises!$A$33:$F$33,Premises!$A$31:$F$31))/100)</f>
        <v>0</v>
      </c>
      <c r="DT114" s="650" cm="1">
        <f t="array" ref="DT114">IF($CB114=0,0,$DP114*_xlfn.XLOOKUP($CB114,Premises!$A$10:$F$10,IF(INDEX(Settings[],MATCH(3002,Settings[ID],0),2)="B",Premises!$A$36:$F$36,Premises!$A$34:$F$34))/100)</f>
        <v>0</v>
      </c>
      <c r="DU114" s="650">
        <f>IF($CB114=0,0,SUM($DP114:$DT114)*_xlfn.XLOOKUP($CB114,Premises!$A$10:$F$10,Premises!$A$37:$F$37)/100)</f>
        <v>0</v>
      </c>
      <c r="DV114" s="954">
        <f>SUM($DP114:$DU114)</f>
        <v>-3.4620000000000012E-4</v>
      </c>
      <c r="DW114" s="951">
        <f>IF($CC114=0,0,$DV114*_xlfn.XLOOKUP($CC114,Premises!$A$10:$F$10,Premises!$A$30:$F$30)/100)</f>
        <v>0</v>
      </c>
      <c r="DX114" s="650">
        <f>IFERROR(SUM($DV114:$DW114)*IF(INDEX(Premises!$A$42:$F$42,1,MATCH($CC114,Premises!$A$10:$F$10,0))&gt;0,INDEX(Premises!$A$42:$F$42,1,MATCH($CC114,Premises!$A$10:$F$10,0))%,$CP114),0)</f>
        <v>0</v>
      </c>
      <c r="DY114" s="650" cm="1">
        <f t="array" ref="DY114">IF($CC114=0,0,SUM($DV114:$DX114)*_xlfn.XLOOKUP($CC114,Premises!$A$10:$F$10,IF(INDEX(Settings[],MATCH(3001,Settings[ID],0),2)="B",Premises!$A$33:$F$33,Premises!$A$31:$F$31))/100)</f>
        <v>0</v>
      </c>
      <c r="DZ114" s="650" cm="1">
        <f t="array" ref="DZ114">IF($CC114=0,0,$DV114*_xlfn.XLOOKUP($CC114,Premises!$A$10:$F$10,IF(INDEX(Settings[],MATCH(3002,Settings[ID],0),2)="B",Premises!$A$36:$F$36,Premises!$A$34:$F$34))/100)</f>
        <v>0</v>
      </c>
      <c r="EA114" s="650">
        <f>IF($CC114=0,0,SUM($DV114:$DZ114)*_xlfn.XLOOKUP($CC114,Premises!$A$10:$F$10,Premises!$A$37:$F$37)/100)</f>
        <v>0</v>
      </c>
      <c r="EB114" s="651">
        <f>SUM($DV114:$EA114)</f>
        <v>-3.4620000000000012E-4</v>
      </c>
      <c r="EC114" s="805"/>
      <c r="ED114" s="1104"/>
      <c r="EE114" s="650"/>
      <c r="EF114" s="1110"/>
      <c r="EG114" s="1108"/>
      <c r="EH114" s="1108"/>
      <c r="EI114" s="1108"/>
      <c r="EJ114" s="1108"/>
      <c r="EK114" s="1108"/>
      <c r="EL114" s="1108"/>
      <c r="EM114" s="1110"/>
      <c r="EN114" s="1108"/>
      <c r="EO114" s="1108"/>
      <c r="EP114" s="1108"/>
      <c r="EQ114" s="1108"/>
      <c r="ER114" s="1110"/>
      <c r="ES114" s="1108"/>
      <c r="ET114" s="1108"/>
      <c r="EU114" s="1108"/>
      <c r="EV114" s="1108"/>
      <c r="EW114" s="1108"/>
      <c r="EX114" s="1111"/>
      <c r="EY114" s="2"/>
      <c r="EZ114" s="2"/>
      <c r="FA114" s="2"/>
      <c r="FB114" s="2"/>
      <c r="FC114" s="2"/>
      <c r="FD114" s="2"/>
      <c r="FE114" s="2"/>
      <c r="FF114" s="2"/>
      <c r="FG114" s="2"/>
      <c r="FH114" s="2"/>
      <c r="FI114" s="2"/>
      <c r="FJ114" s="420"/>
      <c r="FK114" s="421"/>
      <c r="FL114" s="422"/>
      <c r="FM114" s="970"/>
    </row>
    <row r="115" spans="1:169" s="13" customFormat="1" ht="12.75" customHeight="1">
      <c r="A115" s="221"/>
      <c r="B115" s="402"/>
      <c r="C115" s="403"/>
      <c r="D115" s="646"/>
      <c r="E115" s="404"/>
      <c r="F115" s="405"/>
      <c r="G115" s="405"/>
      <c r="H115" s="405"/>
      <c r="I115" s="637" cm="1">
        <f t="array" ref="I115">IF($CI115=0,0,IFERROR(INDEX(MHR[],$CI115,MATCH($CA115,MHR!$B$4:$AY$4,0)),0))</f>
        <v>0</v>
      </c>
      <c r="J115" s="634">
        <f>IF(COUNTBLANK($E115:$H115),0,IFERROR($F115/$H115/IF($G115="s",3600,IF($G115="min",60,IF($G115="h",1,0)))*I115,0))</f>
        <v>0</v>
      </c>
      <c r="K115" s="406"/>
      <c r="L115" s="407"/>
      <c r="M115" s="871"/>
      <c r="N115" s="407"/>
      <c r="O115" s="405"/>
      <c r="P115" s="645" cm="1">
        <f t="array" ref="P115">IF($K115=0,0,IFERROR(ROUNDUP(IF(ISNUMBER($K115),$K115,INDEX($D$1:$D115,$CD115)*INDEX(Premises!$A$13:$F$13,1,$CH115)/IF(OR($K115="T",$K115="D"),250,IF($K115="W",50,IF($K115="M",12,IF(OR($K115="HJ",$K115="HY"),2,IF(OR($K115="J",$K115="Y"),1,0)))))),0),0))</f>
        <v>0</v>
      </c>
      <c r="Q115" s="637" cm="1">
        <f t="array" ref="Q115">IF($K115=0,0,IFERROR(INDEX(Premises!$A$22:$F$22,1,$CH115)*100/INDEX(Premises!$A$16:$F$16,1,$CH115),0))</f>
        <v>0</v>
      </c>
      <c r="R115" s="634">
        <f>IF($P115=0,0,IFERROR(($L115/60*($I115+$Q115*$M115)+($N115/60*($Q115*$O115)))/$P115,0))</f>
        <v>0</v>
      </c>
      <c r="S115" s="408"/>
      <c r="T115" s="409"/>
      <c r="U115" s="637" cm="1">
        <f t="array" ref="U115">IF(COUNTBLANK($S115:$T115),0,
IF(AND(INDEX(MHR[Schichtmodell],$CI115)&lt;&gt;0,INDEX(MHR[Schichtmodell],$CI115)&lt;&gt;INDEX(Premises!$A$20:$F$20,1,$CH115)),ExchangeRate*
IF(OR($T115="M",$T115="U"),IF(INDEX(MHR[Schichtmodell],$CI115)=1,INDEX(LOC[M1S],INDEX(Premises!$A$18:$F$18,1,$CH115+1)),IF(INDEX(MHR[Schichtmodell],$CI115)=2,INDEX(LOC[M2S],INDEX(Premises!$A$18:$F$18,1,$CH115+1),IF(INDEX(MHR[Schichtmodell],$CI115)=3,INDEX(LOC[M3S],INDEX(Premises!$A$18:$F$18,1,$CH115+1)),0)))),
IF(INDEX(MHR[Schichtmodell],$CI115)=1,INDEX(LOC[F1S],INDEX(Premises!$A$18:$F$18,1,$CH115+1)),IF(INDEX(MHR[Schichtmodell],$CI115)=2,INDEX(LOC[F2S],INDEX(Premises!$A$18:$F$18,1,$CH115+1)),IF(INDEX(MHR[Schichtmodell],$CI115)=3,INDEX(LOC[F3S],INDEX(Premises!$A$18:$F$18,1,$CH115+1)),0)))),
IF(OR($T115="M",$T115="U"),INDEX(Premises!$A$21:$F$21,1,$CH115),
IF(OR($T115="F",$T115="S"),INDEX(Premises!$A$22:$F$22,1,$CH115),0)))*100/INDEX(Premises!$A$16:$F$16,1,$CH115))</f>
        <v>0</v>
      </c>
      <c r="V115" s="631">
        <f>IF($U115=0,0,IFERROR($F115/$H115/IF($G115="s",3600,IF($G115="min",60,IF($G115="h",1,0)))*$S115*$U115,0))</f>
        <v>0</v>
      </c>
      <c r="W115" s="410"/>
      <c r="X115" s="403"/>
      <c r="Y115" s="411"/>
      <c r="Z115" s="412"/>
      <c r="AA115" s="628">
        <f>IFERROR($X115*$Z115/$Y115/MAX(1,$H115),0)</f>
        <v>0</v>
      </c>
      <c r="AB115" s="410"/>
      <c r="AC115" s="403"/>
      <c r="AD115" s="411"/>
      <c r="AE115" s="413"/>
      <c r="AF115" s="628">
        <f>IFERROR($AC115*$AE115/$AD115,0)</f>
        <v>0</v>
      </c>
      <c r="AG115" s="629" cm="1">
        <f t="array" ref="AG115">IF(($J115+$V115+$AF115)=0,0,INDEX(Premises!$A$30:$F$30,1,$CH115)/100)</f>
        <v>0</v>
      </c>
      <c r="AH115" s="414"/>
      <c r="AI115" s="415"/>
      <c r="AJ115" s="416"/>
      <c r="AK115" s="630">
        <f>IF(COUNTBLANK($AH115:$AI115),0,$AH115*$AI115*$AG115)</f>
        <v>0</v>
      </c>
      <c r="AL115" s="631">
        <f>($AK115+$AJ115*$AG115*(1-$AH115)+($J115+$V115+$AF115)*$AG115*(1-$AH115))</f>
        <v>0</v>
      </c>
      <c r="AM115" s="632" cm="1">
        <f t="array" ref="AM115">IF($CI115=0,0,IFERROR(INDEX(MHR[],$CI115,MATCH($CA115,MHR!$B$4:$AY$4,0)+11),0))</f>
        <v>0</v>
      </c>
      <c r="AN115" s="633" cm="1">
        <f t="array" ref="AN115">IF(($J115+$V115)=0,0,IFERROR(IF(INDEX(Premises!$A$41:$F$41,1,$CH115)&lt;&gt;0,INDEX(Premises!$A$41:$F$41,1,$CH115)/100,(IFERROR(($J115/$I115)*$AM115,0)/($V115+$J115+$R115+$AL115))),0))</f>
        <v>0</v>
      </c>
      <c r="AO115" s="634">
        <f>IF(($J115+$V115)=0,0,IF(IFERROR(($J115+$R115+$V115+$AL115)*$AN115,0)&lt;&gt;IFERROR(($J115/$I115)*$AM115,0),($J115+$R115+$V115+$AL115)*$AN115,IFERROR(($J115/$I115)*$AM115,0)))</f>
        <v>0</v>
      </c>
      <c r="AP115" s="635">
        <f>$V115+$J115+$R115+$AA115+$AF115+$AL115+$AO115</f>
        <v>0</v>
      </c>
      <c r="AQ115" s="410"/>
      <c r="AR115" s="409"/>
      <c r="AS115" s="636" cm="1">
        <f t="array" ref="AS115">IF($CJ115=0,0,IFERROR(INDEX(MAT[Einheit],$CJ115,1),0))</f>
        <v>0</v>
      </c>
      <c r="AT115" s="637" cm="1">
        <f t="array" ref="AT115">IF($CJ115=0,0,IFERROR(INDEX(MAT[Preis],$CJ115,1),0))</f>
        <v>0</v>
      </c>
      <c r="AU115" s="638">
        <f>$AR115*$AT115</f>
        <v>0</v>
      </c>
      <c r="AV115" s="639" cm="1">
        <f t="array" ref="AV115">IF($AU115&lt;=0,0,INDEX(Premises!$A$30:$F$30,1,$CH115)/100)</f>
        <v>0</v>
      </c>
      <c r="AW115" s="409"/>
      <c r="AX115" s="631">
        <f>IF($AV115=0,0,($AU115+$AW115)*$AV115)</f>
        <v>0</v>
      </c>
      <c r="AY115" s="640" cm="1">
        <f t="array" ref="AY115">IF($AT115&lt;=0,0,IFERROR(IF(INDEX(Premises!$A$42:$F$42,1,$CH115)&lt;&gt;0,INDEX(Premises!$A$42:$F$42,1,$CH115)/100,(INDEX(MAT[],$CJ115,MATCH($CA115,MAT!$B$4:$AE$4,0))/($AR115*$CK115*INDEX(Premises!$A$13:$F$13,1,$CH115))+INDEX(MAT[],$CJ115,MATCH($CA115,MAT!$B$4:$AE$4,0)+7))/$AT115),0))</f>
        <v>0</v>
      </c>
      <c r="AZ115" s="631">
        <f>IF($AY115=0,0,($AU115+$AX115)*$AY115)</f>
        <v>0</v>
      </c>
      <c r="BA115" s="635">
        <f>$AU115+$AX115+$AZ115</f>
        <v>0</v>
      </c>
      <c r="BB115" s="635">
        <f>$AP115+$BA115</f>
        <v>0</v>
      </c>
      <c r="BC115" s="639" cm="1">
        <f t="array" ref="BC115">IF($BB115&lt;=0,0,IF(BC$2=-1,0,INDEX(Premises!$A$32:$F$32,1,$CH115)/100))</f>
        <v>0</v>
      </c>
      <c r="BD115" s="631">
        <f>IF($AP115&lt;=0,0,($AP115-$AA115-$AL115)*$BC115)</f>
        <v>0</v>
      </c>
      <c r="BE115" s="639" cm="1">
        <f t="array" ref="BE115">IF($BB115&lt;=0,0,IF(BE$2=-1,0,INDEX(Premises!$A$33:$F$33,1,$CH115)/100))</f>
        <v>0</v>
      </c>
      <c r="BF115" s="631">
        <f>IF($BA115&lt;=0,0,$BA115*$BE115)</f>
        <v>0</v>
      </c>
      <c r="BG115" s="639" cm="1">
        <f t="array" ref="BG115">IF($BB115&lt;=0,0,IF(BG$2=-1,0,INDEX(Premises!$A$31:$F$31,1,$CH115)/100))</f>
        <v>0</v>
      </c>
      <c r="BH115" s="631">
        <f>(($AP115-$AA115-$AL115)+$BA115)*$BG115</f>
        <v>0</v>
      </c>
      <c r="BI115" s="635">
        <f>$BB115+$BD115+$BF115+$BH115</f>
        <v>0</v>
      </c>
      <c r="BJ115" s="639" cm="1">
        <f t="array" ref="BJ115">IF($BB115&lt;=0,0,IF(BJ$2=-1,0,INDEX(Premises!$A$35:$F$35,1,$CH115)/100))</f>
        <v>0</v>
      </c>
      <c r="BK115" s="631">
        <f>IF($AP115&lt;=0,0,($AP115-$AL115-$AA115)*$BJ115)</f>
        <v>0</v>
      </c>
      <c r="BL115" s="639" cm="1">
        <f t="array" ref="BL115">IF($BB115&lt;=0,0,IF(BL$2=-1,0,INDEX(Premises!$A$36:$F$36,1,$CH115)/100))</f>
        <v>0</v>
      </c>
      <c r="BM115" s="631">
        <f>IF($AU115&lt;=0,0,($AR115*$AT115)*$BL115)</f>
        <v>0</v>
      </c>
      <c r="BN115" s="639" cm="1">
        <f t="array" ref="BN115">IF($BB115&lt;=0,0,IF(BN$2=-1,0,INDEX(Premises!$A$34:$F$34,1,$CH115)/100))</f>
        <v>0</v>
      </c>
      <c r="BO115" s="631">
        <f>(($AP115-$AL115-$AA115)+($AR115*$AT115))*$BN115</f>
        <v>0</v>
      </c>
      <c r="BP115" s="639" cm="1">
        <f t="array" ref="BP115">IF($BI115=0,0,INDEX(Premises!$A$37:$F$37,1,$CH115)/100)</f>
        <v>0</v>
      </c>
      <c r="BQ115" s="409"/>
      <c r="BR115" s="631">
        <f>($BI115+$BK115+$BM115+$BO115)*$BP115+$BQ115</f>
        <v>0</v>
      </c>
      <c r="BS115" s="641">
        <f>BI115+BK115+BM115+BO115+BR115</f>
        <v>0</v>
      </c>
      <c r="BT115" s="641">
        <f>IF($BS115=0,0,$CK115*$BS115)</f>
        <v>0</v>
      </c>
      <c r="BU115" s="642">
        <f>IF($BT115=0,0,MAX(1,$EB115/$DP115))</f>
        <v>0</v>
      </c>
      <c r="BV115" s="1147"/>
      <c r="BW115" s="418"/>
      <c r="BX115" s="418"/>
      <c r="BY115" s="419"/>
      <c r="BZ115" s="968"/>
      <c r="CA115" s="280" cm="1">
        <f t="array" ref="CA115">IF($BZ115&gt;0,VALUE(LEFT($BZ115,IF(ISERROR(FIND("-",$BZ115)),LEN($BZ115),FIND("-",$BZ115)-1))),INDEX($CA$1:$CA115,MAX(1,$CD115)))</f>
        <v>1</v>
      </c>
      <c r="CB115" s="280" cm="1">
        <f t="array" ref="CB115">IF($BT115=0,0,IF(LEN($BZ115)-LEN(SUBSTITUTE($BZ115,"-",""))&gt;1,
VALUE(MID($BZ115,FIND("-",$BZ115)+1,FIND("-",$BZ115,FIND("-",$BZ115)+1)-FIND("-",$BZ115)-1)),IF($BZ115&gt;0,0,INDEX($CB$1:$CB115,MAX(1,$CD115)))))</f>
        <v>0</v>
      </c>
      <c r="CC115" s="280" cm="1">
        <f t="array" ref="CC115">IF($BT115=0,0,IF(NOT(ISERROR(FIND("-",BZ115))),
VALUE(RIGHT($BZ115,LEN($BZ115)-IF(LEN($BZ115)-LEN(SUBSTITUTE($BZ115,"-",""))=1,FIND("-",$BZ115),FIND("-",$BZ115,FIND("-",$BZ115)+1)))),
IF($BZ115&gt;0,0,INDEX($CC$1:$CC115,MAX(1,$CD115)))))</f>
        <v>0</v>
      </c>
      <c r="CD115" s="393">
        <f>MATCH(0,$CE$1:$CE115,-1)</f>
        <v>112</v>
      </c>
      <c r="CE115" s="280"/>
      <c r="CF115" s="394"/>
      <c r="CG115" s="393" cm="1">
        <f t="array" ref="CG115">INDEX($CG$1:$CG115,$CD115)</f>
        <v>12</v>
      </c>
      <c r="CH115" s="280">
        <f>MATCH($CA115,Premises!$A$10:$F$10,0)</f>
        <v>4</v>
      </c>
      <c r="CI115" s="280">
        <f>IF(ISBLANK($E115),0,IFERROR(MATCH($E115,MHR[Bezeichnung],0),0))</f>
        <v>0</v>
      </c>
      <c r="CJ115" s="394">
        <f>IF(ISBLANK($AQ115),0,IFERROR(MATCH($AQ115,MAT[Bezeichnung],0),0))</f>
        <v>0</v>
      </c>
      <c r="CK115" s="280" cm="1">
        <f t="array" ref="CK115">INDEX($D$1:$D115,$CD115)</f>
        <v>1</v>
      </c>
      <c r="CL115" s="280"/>
      <c r="CM115" s="395"/>
      <c r="CN115" s="396" cm="1">
        <f t="array" ref="CN115">IF($CB115=0,0,IF($CB115=INDEX($CB$1:$CB115,$CD115),INDEX($CN$1:$CN115,$CD115),$CP115))</f>
        <v>0</v>
      </c>
      <c r="CO115" s="395"/>
      <c r="CP115" s="396" cm="1">
        <f t="array" ref="CP115">IF($CC115=0,0,INDEX($CP$1:$CP115,$CD115))</f>
        <v>0</v>
      </c>
      <c r="CQ115" s="397"/>
      <c r="CR115" s="398"/>
      <c r="CS115" s="398"/>
      <c r="CT115" s="1152"/>
      <c r="CU115" s="1149"/>
      <c r="CV115" s="647">
        <f>$J115*$CK115</f>
        <v>0</v>
      </c>
      <c r="CW115" s="648">
        <f>$R115*$CK115</f>
        <v>0</v>
      </c>
      <c r="CX115" s="648">
        <f>$V115*$CK115</f>
        <v>0</v>
      </c>
      <c r="CY115" s="648">
        <f>$AA115*$CK115</f>
        <v>0</v>
      </c>
      <c r="CZ115" s="648">
        <f>$AF115*$CK115</f>
        <v>0</v>
      </c>
      <c r="DA115" s="648">
        <f>$AL115*$CK115</f>
        <v>0</v>
      </c>
      <c r="DB115" s="648">
        <f>$AO115*$CK115</f>
        <v>0</v>
      </c>
      <c r="DC115" s="649">
        <f>$AP115*$CK115</f>
        <v>0</v>
      </c>
      <c r="DD115" s="648">
        <f>$AU115*$CK115</f>
        <v>0</v>
      </c>
      <c r="DE115" s="648">
        <f>$AX115*$CK115</f>
        <v>0</v>
      </c>
      <c r="DF115" s="648">
        <f>$AZ115*$CK115</f>
        <v>0</v>
      </c>
      <c r="DG115" s="649">
        <f>$BA115*$CK115</f>
        <v>0</v>
      </c>
      <c r="DH115" s="649">
        <f>$BB115*$CK115</f>
        <v>0</v>
      </c>
      <c r="DI115" s="648">
        <f>$BD115*$CK115</f>
        <v>0</v>
      </c>
      <c r="DJ115" s="648">
        <f>$BF115*$CK115</f>
        <v>0</v>
      </c>
      <c r="DK115" s="648">
        <f>$BH115*$CK115</f>
        <v>0</v>
      </c>
      <c r="DL115" s="648">
        <f>$BK115*$CK115</f>
        <v>0</v>
      </c>
      <c r="DM115" s="648">
        <f>$BM115*$CK115</f>
        <v>0</v>
      </c>
      <c r="DN115" s="648">
        <f>$BO115*$CK115</f>
        <v>0</v>
      </c>
      <c r="DO115" s="648">
        <f>$BR115*$CK115</f>
        <v>0</v>
      </c>
      <c r="DP115" s="651">
        <f>$CK115*($BB115+$BD115+$BF115+$BH115+$BK115+$BM115+$BO115+$BR115)</f>
        <v>0</v>
      </c>
      <c r="DQ115" s="951">
        <f>IF($CB115=0,0,$DP115*_xlfn.XLOOKUP($CB115,Premises!$A$10:$F$10,Premises!$A$30:$F$30)/100)</f>
        <v>0</v>
      </c>
      <c r="DR115" s="650">
        <f>IFERROR(SUM($DP115:$DQ115)*IF(INDEX(Premises!$A$42:$F$42,1,MATCH($CB115,Premises!$A$10:$F$10,0))&gt;0,INDEX(Premises!$A$42:$F$42,1,MATCH($CB115,Premises!$A$10:$F$10,0))%,$CN115),0)</f>
        <v>0</v>
      </c>
      <c r="DS115" s="650" cm="1">
        <f t="array" ref="DS115">IF($CB115=0,0,SUM($DP115:$DR115)*_xlfn.XLOOKUP($CB115,Premises!$A$10:$F$10,IF(INDEX(Settings[],MATCH(3001,Settings[ID],0),2)="B",Premises!$A$33:$F$33,Premises!$A$31:$F$31))/100)</f>
        <v>0</v>
      </c>
      <c r="DT115" s="650" cm="1">
        <f t="array" ref="DT115">IF($CB115=0,0,$DP115*_xlfn.XLOOKUP($CB115,Premises!$A$10:$F$10,IF(INDEX(Settings[],MATCH(3002,Settings[ID],0),2)="B",Premises!$A$36:$F$36,Premises!$A$34:$F$34))/100)</f>
        <v>0</v>
      </c>
      <c r="DU115" s="650">
        <f>IF($CB115=0,0,SUM($DP115:$DT115)*_xlfn.XLOOKUP($CB115,Premises!$A$10:$F$10,Premises!$A$37:$F$37)/100)</f>
        <v>0</v>
      </c>
      <c r="DV115" s="954">
        <f>SUM($DP115:$DU115)</f>
        <v>0</v>
      </c>
      <c r="DW115" s="951">
        <f>IF($CC115=0,0,$DV115*_xlfn.XLOOKUP($CC115,Premises!$A$10:$F$10,Premises!$A$30:$F$30)/100)</f>
        <v>0</v>
      </c>
      <c r="DX115" s="650">
        <f>IFERROR(SUM($DV115:$DW115)*IF(INDEX(Premises!$A$42:$F$42,1,MATCH($CC115,Premises!$A$10:$F$10,0))&gt;0,INDEX(Premises!$A$42:$F$42,1,MATCH($CC115,Premises!$A$10:$F$10,0))%,$CP115),0)</f>
        <v>0</v>
      </c>
      <c r="DY115" s="650" cm="1">
        <f t="array" ref="DY115">IF($CC115=0,0,SUM($DV115:$DX115)*_xlfn.XLOOKUP($CC115,Premises!$A$10:$F$10,IF(INDEX(Settings[],MATCH(3001,Settings[ID],0),2)="B",Premises!$A$33:$F$33,Premises!$A$31:$F$31))/100)</f>
        <v>0</v>
      </c>
      <c r="DZ115" s="650" cm="1">
        <f t="array" ref="DZ115">IF($CC115=0,0,$DV115*_xlfn.XLOOKUP($CC115,Premises!$A$10:$F$10,IF(INDEX(Settings[],MATCH(3002,Settings[ID],0),2)="B",Premises!$A$36:$F$36,Premises!$A$34:$F$34))/100)</f>
        <v>0</v>
      </c>
      <c r="EA115" s="650">
        <f>IF($CC115=0,0,SUM($DV115:$DZ115)*_xlfn.XLOOKUP($CC115,Premises!$A$10:$F$10,Premises!$A$37:$F$37)/100)</f>
        <v>0</v>
      </c>
      <c r="EB115" s="651">
        <f>SUM($DV115:$EA115)</f>
        <v>0</v>
      </c>
      <c r="EC115" s="805"/>
      <c r="ED115" s="1104"/>
      <c r="EE115" s="650"/>
      <c r="EF115" s="1110"/>
      <c r="EG115" s="1108"/>
      <c r="EH115" s="1108"/>
      <c r="EI115" s="1108"/>
      <c r="EJ115" s="1108"/>
      <c r="EK115" s="1108"/>
      <c r="EL115" s="1108"/>
      <c r="EM115" s="1110"/>
      <c r="EN115" s="1108"/>
      <c r="EO115" s="1108"/>
      <c r="EP115" s="1108"/>
      <c r="EQ115" s="1108"/>
      <c r="ER115" s="1110"/>
      <c r="ES115" s="1108"/>
      <c r="ET115" s="1108"/>
      <c r="EU115" s="1108"/>
      <c r="EV115" s="1108"/>
      <c r="EW115" s="1108"/>
      <c r="EX115" s="1111"/>
      <c r="EY115" s="2"/>
      <c r="EZ115" s="2"/>
      <c r="FA115" s="2"/>
      <c r="FB115" s="2"/>
      <c r="FC115" s="2"/>
      <c r="FD115" s="2"/>
      <c r="FE115" s="2"/>
      <c r="FF115" s="2"/>
      <c r="FG115" s="2"/>
      <c r="FH115" s="2"/>
      <c r="FI115" s="2"/>
      <c r="FJ115" s="420"/>
      <c r="FK115" s="421"/>
      <c r="FL115" s="422"/>
      <c r="FM115" s="1153"/>
    </row>
    <row r="116" spans="1:169" s="13" customFormat="1" ht="12.75" customHeight="1">
      <c r="A116" s="221"/>
      <c r="B116" s="1329" t="s">
        <v>4353</v>
      </c>
      <c r="C116" s="403"/>
      <c r="D116" s="646"/>
      <c r="E116" s="404" t="s">
        <v>4351</v>
      </c>
      <c r="F116" s="405">
        <f>60/300</f>
        <v>0.2</v>
      </c>
      <c r="G116" s="405" t="s">
        <v>93</v>
      </c>
      <c r="H116" s="405">
        <v>2</v>
      </c>
      <c r="I116" s="637" cm="1">
        <f t="array" ref="I116">IF($CI116=0,0,IFERROR(INDEX(MHR[],$CI116,MATCH($CA116,MHR!$B$4:$AY$4,0)),0))</f>
        <v>16.313672453703706</v>
      </c>
      <c r="J116" s="634">
        <f>IF(COUNTBLANK($E116:$H116),0,IFERROR($F116/$H116/IF($G116="s",3600,IF($G116="min",60,IF($G116="h",1,0)))*I116,0))</f>
        <v>4.531575681584363E-4</v>
      </c>
      <c r="K116" s="406" t="s">
        <v>49</v>
      </c>
      <c r="L116" s="407">
        <v>2</v>
      </c>
      <c r="M116" s="871">
        <v>15</v>
      </c>
      <c r="N116" s="407"/>
      <c r="O116" s="405"/>
      <c r="P116" s="645" cm="1">
        <f t="array" ref="P116">IF($K116=0,0,IFERROR(ROUNDUP(IF(ISNUMBER($K116),$K116,INDEX($D$1:$D116,$CD116)*INDEX(Premises!$A$13:$F$13,1,$CH116)/IF(OR($K116="T",$K116="D"),250,IF($K116="W",50,IF($K116="M",12,IF(OR($K116="HJ",$K116="HY"),2,IF(OR($K116="J",$K116="Y"),1,0)))))),0),0))</f>
        <v>3334</v>
      </c>
      <c r="Q116" s="637" cm="1">
        <f t="array" ref="Q116">IF($K116=0,0,IFERROR(INDEX(Premises!$A$22:$F$22,1,$CH116)*100/INDEX(Premises!$A$16:$F$16,1,$CH116),0))</f>
        <v>16.925000000000001</v>
      </c>
      <c r="R116" s="634">
        <f>IF($P116=0,0,IFERROR(($L116/60*($I116+$Q116*$M116)+($N116/60*($Q116*$O116)))/$P116,0))</f>
        <v>2.7013464552459879E-3</v>
      </c>
      <c r="S116" s="408">
        <v>1</v>
      </c>
      <c r="T116" s="409" t="s">
        <v>275</v>
      </c>
      <c r="U116" s="637" cm="1">
        <f t="array" ref="U116">IF(COUNTBLANK($S116:$T116),0,
IF(AND(INDEX(MHR[Schichtmodell],$CI116)&lt;&gt;0,INDEX(MHR[Schichtmodell],$CI116)&lt;&gt;INDEX(Premises!$A$20:$F$20,1,$CH116)),ExchangeRate*
IF(OR($T116="M",$T116="U"),IF(INDEX(MHR[Schichtmodell],$CI116)=1,INDEX(LOC[M1S],INDEX(Premises!$A$18:$F$18,1,$CH116+1)),IF(INDEX(MHR[Schichtmodell],$CI116)=2,INDEX(LOC[M2S],INDEX(Premises!$A$18:$F$18,1,$CH116+1),IF(INDEX(MHR[Schichtmodell],$CI116)=3,INDEX(LOC[M3S],INDEX(Premises!$A$18:$F$18,1,$CH116+1)),0)))),
IF(INDEX(MHR[Schichtmodell],$CI116)=1,INDEX(LOC[F1S],INDEX(Premises!$A$18:$F$18,1,$CH116+1)),IF(INDEX(MHR[Schichtmodell],$CI116)=2,INDEX(LOC[F2S],INDEX(Premises!$A$18:$F$18,1,$CH116+1)),IF(INDEX(MHR[Schichtmodell],$CI116)=3,INDEX(LOC[F3S],INDEX(Premises!$A$18:$F$18,1,$CH116+1)),0)))),
IF(OR($T116="M",$T116="U"),INDEX(Premises!$A$21:$F$21,1,$CH116),
IF(OR($T116="F",$T116="S"),INDEX(Premises!$A$22:$F$22,1,$CH116),0)))*100/INDEX(Premises!$A$16:$F$16,1,$CH116))</f>
        <v>12.037500000000001</v>
      </c>
      <c r="V116" s="631">
        <f>IF($U116=0,0,IFERROR($F116/$H116/IF($G116="s",3600,IF($G116="min",60,IF($G116="h",1,0)))*$S116*$U116,0))</f>
        <v>3.3437500000000004E-4</v>
      </c>
      <c r="W116" s="410"/>
      <c r="X116" s="403"/>
      <c r="Y116" s="411"/>
      <c r="Z116" s="412"/>
      <c r="AA116" s="628">
        <f>IFERROR($X116*$Z116/$Y116/MAX(1,$H116),0)</f>
        <v>0</v>
      </c>
      <c r="AB116" s="410"/>
      <c r="AC116" s="403"/>
      <c r="AD116" s="411"/>
      <c r="AE116" s="413"/>
      <c r="AF116" s="628">
        <f>IFERROR($AC116*$AE116/$AD116,0)</f>
        <v>0</v>
      </c>
      <c r="AG116" s="629" cm="1">
        <f t="array" ref="AG116">IF(($J116+$V116+$AF116)=0,0,INDEX(Premises!$A$30:$F$30,1,$CH116)/100)</f>
        <v>0.01</v>
      </c>
      <c r="AH116" s="414"/>
      <c r="AI116" s="415"/>
      <c r="AJ116" s="416"/>
      <c r="AK116" s="630">
        <f>IF(COUNTBLANK($AH116:$AI116),0,$AH116*$AI116*$AG116)</f>
        <v>0</v>
      </c>
      <c r="AL116" s="631">
        <f>($AK116+$AJ116*$AG116*(1-$AH116)+($J116+$V116+$AF116)*$AG116*(1-$AH116))</f>
        <v>7.8753256815843639E-6</v>
      </c>
      <c r="AM116" s="632" cm="1">
        <f t="array" ref="AM116">IF($CI116=0,0,IFERROR(INDEX(MHR[],$CI116,MATCH($CA116,MHR!$B$4:$AY$4,0)+11),0))</f>
        <v>2.2604280236972052</v>
      </c>
      <c r="AN116" s="633" cm="1">
        <f t="array" ref="AN116">IF(($J116+$V116)=0,0,IFERROR(IF(INDEX(Premises!$A$41:$F$41,1,$CH116)&lt;&gt;0,INDEX(Premises!$A$41:$F$41,1,$CH116)/100,(IFERROR(($J116/$I116)*$AM116,0)/($V116+$J116+$R116+$AL116))),0))</f>
        <v>1.795655658263055E-2</v>
      </c>
      <c r="AO116" s="634">
        <f>IF(($J116+$V116)=0,0,IF(IFERROR(($J116+$R116+$V116+$AL116)*$AN116,0)&lt;&gt;IFERROR(($J116/$I116)*$AM116,0),($J116+$R116+$V116+$AL116)*$AN116,IFERROR(($J116/$I116)*$AM116,0)))</f>
        <v>6.278966732492237E-5</v>
      </c>
      <c r="AP116" s="635">
        <f>$V116+$J116+$R116+$AA116+$AF116+$AL116+$AO116</f>
        <v>3.5595440164109312E-3</v>
      </c>
      <c r="AQ116" s="410"/>
      <c r="AR116" s="409"/>
      <c r="AS116" s="636" cm="1">
        <f t="array" ref="AS116">IF($CJ116=0,0,IFERROR(INDEX(MAT[Einheit],$CJ116,1),0))</f>
        <v>0</v>
      </c>
      <c r="AT116" s="637" cm="1">
        <f t="array" ref="AT116">IF($CJ116=0,0,IFERROR(INDEX(MAT[Preis],$CJ116,1),0))</f>
        <v>0</v>
      </c>
      <c r="AU116" s="638">
        <f>$AR116*$AT116</f>
        <v>0</v>
      </c>
      <c r="AV116" s="639" cm="1">
        <f t="array" ref="AV116">IF($AU116&lt;=0,0,INDEX(Premises!$A$30:$F$30,1,$CH116)/100)</f>
        <v>0</v>
      </c>
      <c r="AW116" s="409"/>
      <c r="AX116" s="631">
        <f>IF($AV116=0,0,($AU116+$AW116)*$AV116)</f>
        <v>0</v>
      </c>
      <c r="AY116" s="640" cm="1">
        <f t="array" ref="AY116">IF($AT116&lt;=0,0,IFERROR(IF(INDEX(Premises!$A$42:$F$42,1,$CH116)&lt;&gt;0,INDEX(Premises!$A$42:$F$42,1,$CH116)/100,(INDEX(MAT[],$CJ116,MATCH($CA116,MAT!$B$4:$AE$4,0))/($AR116*$CK116*INDEX(Premises!$A$13:$F$13,1,$CH116))+INDEX(MAT[],$CJ116,MATCH($CA116,MAT!$B$4:$AE$4,0)+7))/$AT116),0))</f>
        <v>0</v>
      </c>
      <c r="AZ116" s="631">
        <f>IF($AY116=0,0,($AU116+$AX116)*$AY116)</f>
        <v>0</v>
      </c>
      <c r="BA116" s="635">
        <f>$AU116+$AX116+$AZ116</f>
        <v>0</v>
      </c>
      <c r="BB116" s="635">
        <f>$AP116+$BA116</f>
        <v>3.5595440164109312E-3</v>
      </c>
      <c r="BC116" s="639" cm="1">
        <f t="array" ref="BC116">IF($BB116&lt;=0,0,IF(BC$2=-1,0,INDEX(Premises!$A$32:$F$32,1,$CH116)/100))</f>
        <v>0</v>
      </c>
      <c r="BD116" s="631">
        <f>IF($AP116&lt;=0,0,($AP116-$AA116-$AL116)*$BC116)</f>
        <v>0</v>
      </c>
      <c r="BE116" s="639" cm="1">
        <f t="array" ref="BE116">IF($BB116&lt;=0,0,IF(BE$2=-1,0,INDEX(Premises!$A$33:$F$33,1,$CH116)/100))</f>
        <v>0</v>
      </c>
      <c r="BF116" s="631">
        <f>IF($BA116&lt;=0,0,$BA116*$BE116)</f>
        <v>0</v>
      </c>
      <c r="BG116" s="639" cm="1">
        <f t="array" ref="BG116">IF($BB116&lt;=0,0,IF(BG$2=-1,0,INDEX(Premises!$A$31:$F$31,1,$CH116)/100))</f>
        <v>0.125</v>
      </c>
      <c r="BH116" s="631">
        <f>(($AP116-$AA116-$AL116)+$BA116)*$BG116</f>
        <v>4.4395858634116837E-4</v>
      </c>
      <c r="BI116" s="635">
        <f>$BB116+$BD116+$BF116+$BH116</f>
        <v>4.0035026027520999E-3</v>
      </c>
      <c r="BJ116" s="639" cm="1">
        <f t="array" ref="BJ116">IF($BB116&lt;=0,0,IF(BJ$2=-1,0,INDEX(Premises!$A$35:$F$35,1,$CH116)/100))</f>
        <v>0</v>
      </c>
      <c r="BK116" s="631">
        <f>IF($AP116&lt;=0,0,($AP116-$AL116-$AA116)*$BJ116)</f>
        <v>0</v>
      </c>
      <c r="BL116" s="639" cm="1">
        <f t="array" ref="BL116">IF($BB116&lt;=0,0,IF(BL$2=-1,0,INDEX(Premises!$A$36:$F$36,1,$CH116)/100))</f>
        <v>0</v>
      </c>
      <c r="BM116" s="631">
        <f>IF($AU116&lt;=0,0,($AR116*$AT116)*$BL116)</f>
        <v>0</v>
      </c>
      <c r="BN116" s="639" cm="1">
        <f t="array" ref="BN116">IF($BB116&lt;=0,0,IF(BN$2=-1,0,INDEX(Premises!$A$34:$F$34,1,$CH116)/100))</f>
        <v>0.06</v>
      </c>
      <c r="BO116" s="631">
        <f>(($AP116-$AL116-$AA116)+($AR116*$AT116))*$BN116</f>
        <v>2.1310012144376081E-4</v>
      </c>
      <c r="BP116" s="639" cm="1">
        <f t="array" ref="BP116">IF($BI116=0,0,INDEX(Premises!$A$37:$F$37,1,$CH116)/100)</f>
        <v>0</v>
      </c>
      <c r="BQ116" s="409"/>
      <c r="BR116" s="631">
        <f>($BI116+$BK116+$BM116+$BO116)*$BP116+$BQ116</f>
        <v>0</v>
      </c>
      <c r="BS116" s="641">
        <f>BI116+BK116+BM116+BO116+BR116</f>
        <v>4.2166027241958611E-3</v>
      </c>
      <c r="BT116" s="641">
        <f>IF($BS116=0,0,$CK116*$BS116)</f>
        <v>4.2166027241958611E-3</v>
      </c>
      <c r="BU116" s="642">
        <f>IF($BT116=0,0,MAX(1,$EB116/$DP116))</f>
        <v>1</v>
      </c>
      <c r="BV116" s="1147"/>
      <c r="BW116" s="418"/>
      <c r="BX116" s="418"/>
      <c r="BY116" s="419"/>
      <c r="BZ116" s="968"/>
      <c r="CA116" s="280" cm="1">
        <f t="array" ref="CA116">IF($BZ116&gt;0,VALUE(LEFT($BZ116,IF(ISERROR(FIND("-",$BZ116)),LEN($BZ116),FIND("-",$BZ116)-1))),INDEX($CA$1:$CA116,MAX(1,$CD116)))</f>
        <v>1</v>
      </c>
      <c r="CB116" s="280" cm="1">
        <f t="array" ref="CB116">IF($BT116=0,0,IF(LEN($BZ116)-LEN(SUBSTITUTE($BZ116,"-",""))&gt;1,
VALUE(MID($BZ116,FIND("-",$BZ116)+1,FIND("-",$BZ116,FIND("-",$BZ116)+1)-FIND("-",$BZ116)-1)),IF($BZ116&gt;0,0,INDEX($CB$1:$CB116,MAX(1,$CD116)))))</f>
        <v>0</v>
      </c>
      <c r="CC116" s="280" cm="1">
        <f t="array" ref="CC116">IF($BT116=0,0,IF(NOT(ISERROR(FIND("-",BZ116))),
VALUE(RIGHT($BZ116,LEN($BZ116)-IF(LEN($BZ116)-LEN(SUBSTITUTE($BZ116,"-",""))=1,FIND("-",$BZ116),FIND("-",$BZ116,FIND("-",$BZ116)+1)))),
IF($BZ116&gt;0,0,INDEX($CC$1:$CC116,MAX(1,$CD116)))))</f>
        <v>0</v>
      </c>
      <c r="CD116" s="393">
        <f>MATCH(0,$CE$1:$CE116,-1)</f>
        <v>112</v>
      </c>
      <c r="CE116" s="280"/>
      <c r="CF116" s="394"/>
      <c r="CG116" s="393" cm="1">
        <f t="array" ref="CG116">INDEX($CG$1:$CG116,$CD116)</f>
        <v>12</v>
      </c>
      <c r="CH116" s="280">
        <f>MATCH($CA116,Premises!$A$10:$F$10,0)</f>
        <v>4</v>
      </c>
      <c r="CI116" s="280">
        <f>IF(ISBLANK($E116),0,IFERROR(MATCH($E116,MHR[Bezeichnung],0),0))</f>
        <v>8</v>
      </c>
      <c r="CJ116" s="394">
        <f>IF(ISBLANK($AQ116),0,IFERROR(MATCH($AQ116,MAT[Bezeichnung],0),0))</f>
        <v>0</v>
      </c>
      <c r="CK116" s="280" cm="1">
        <f t="array" ref="CK116">INDEX($D$1:$D116,$CD116)</f>
        <v>1</v>
      </c>
      <c r="CL116" s="280"/>
      <c r="CM116" s="395"/>
      <c r="CN116" s="396" cm="1">
        <f t="array" ref="CN116">IF($CB116=0,0,IF($CB116=INDEX($CB$1:$CB116,$CD116),INDEX($CN$1:$CN116,$CD116),$CP116))</f>
        <v>0</v>
      </c>
      <c r="CO116" s="395"/>
      <c r="CP116" s="396" cm="1">
        <f t="array" ref="CP116">IF($CC116=0,0,INDEX($CP$1:$CP116,$CD116))</f>
        <v>0</v>
      </c>
      <c r="CQ116" s="397"/>
      <c r="CR116" s="398"/>
      <c r="CS116" s="398"/>
      <c r="CT116" s="1152"/>
      <c r="CU116" s="1149"/>
      <c r="CV116" s="647">
        <f>$J116*$CK116</f>
        <v>4.531575681584363E-4</v>
      </c>
      <c r="CW116" s="648">
        <f>$R116*$CK116</f>
        <v>2.7013464552459879E-3</v>
      </c>
      <c r="CX116" s="648">
        <f>$V116*$CK116</f>
        <v>3.3437500000000004E-4</v>
      </c>
      <c r="CY116" s="648">
        <f>$AA116*$CK116</f>
        <v>0</v>
      </c>
      <c r="CZ116" s="648">
        <f>$AF116*$CK116</f>
        <v>0</v>
      </c>
      <c r="DA116" s="648">
        <f>$AL116*$CK116</f>
        <v>7.8753256815843639E-6</v>
      </c>
      <c r="DB116" s="648">
        <f>$AO116*$CK116</f>
        <v>6.278966732492237E-5</v>
      </c>
      <c r="DC116" s="649">
        <f>$AP116*$CK116</f>
        <v>3.5595440164109312E-3</v>
      </c>
      <c r="DD116" s="648">
        <f>$AU116*$CK116</f>
        <v>0</v>
      </c>
      <c r="DE116" s="648">
        <f>$AX116*$CK116</f>
        <v>0</v>
      </c>
      <c r="DF116" s="648">
        <f>$AZ116*$CK116</f>
        <v>0</v>
      </c>
      <c r="DG116" s="649">
        <f>$BA116*$CK116</f>
        <v>0</v>
      </c>
      <c r="DH116" s="649">
        <f>$BB116*$CK116</f>
        <v>3.5595440164109312E-3</v>
      </c>
      <c r="DI116" s="648">
        <f>$BD116*$CK116</f>
        <v>0</v>
      </c>
      <c r="DJ116" s="648">
        <f>$BF116*$CK116</f>
        <v>0</v>
      </c>
      <c r="DK116" s="648">
        <f>$BH116*$CK116</f>
        <v>4.4395858634116837E-4</v>
      </c>
      <c r="DL116" s="648">
        <f>$BK116*$CK116</f>
        <v>0</v>
      </c>
      <c r="DM116" s="648">
        <f>$BM116*$CK116</f>
        <v>0</v>
      </c>
      <c r="DN116" s="648">
        <f>$BO116*$CK116</f>
        <v>2.1310012144376081E-4</v>
      </c>
      <c r="DO116" s="648">
        <f>$BR116*$CK116</f>
        <v>0</v>
      </c>
      <c r="DP116" s="651">
        <f>$CK116*($BB116+$BD116+$BF116+$BH116+$BK116+$BM116+$BO116+$BR116)</f>
        <v>4.2166027241958611E-3</v>
      </c>
      <c r="DQ116" s="951">
        <f>IF($CB116=0,0,$DP116*_xlfn.XLOOKUP($CB116,Premises!$A$10:$F$10,Premises!$A$30:$F$30)/100)</f>
        <v>0</v>
      </c>
      <c r="DR116" s="650">
        <f>IFERROR(SUM($DP116:$DQ116)*IF(INDEX(Premises!$A$42:$F$42,1,MATCH($CB116,Premises!$A$10:$F$10,0))&gt;0,INDEX(Premises!$A$42:$F$42,1,MATCH($CB116,Premises!$A$10:$F$10,0))%,$CN116),0)</f>
        <v>0</v>
      </c>
      <c r="DS116" s="650" cm="1">
        <f t="array" ref="DS116">IF($CB116=0,0,SUM($DP116:$DR116)*_xlfn.XLOOKUP($CB116,Premises!$A$10:$F$10,IF(INDEX(Settings[],MATCH(3001,Settings[ID],0),2)="B",Premises!$A$33:$F$33,Premises!$A$31:$F$31))/100)</f>
        <v>0</v>
      </c>
      <c r="DT116" s="650" cm="1">
        <f t="array" ref="DT116">IF($CB116=0,0,$DP116*_xlfn.XLOOKUP($CB116,Premises!$A$10:$F$10,IF(INDEX(Settings[],MATCH(3002,Settings[ID],0),2)="B",Premises!$A$36:$F$36,Premises!$A$34:$F$34))/100)</f>
        <v>0</v>
      </c>
      <c r="DU116" s="650">
        <f>IF($CB116=0,0,SUM($DP116:$DT116)*_xlfn.XLOOKUP($CB116,Premises!$A$10:$F$10,Premises!$A$37:$F$37)/100)</f>
        <v>0</v>
      </c>
      <c r="DV116" s="954">
        <f>SUM($DP116:$DU116)</f>
        <v>4.2166027241958611E-3</v>
      </c>
      <c r="DW116" s="951">
        <f>IF($CC116=0,0,$DV116*_xlfn.XLOOKUP($CC116,Premises!$A$10:$F$10,Premises!$A$30:$F$30)/100)</f>
        <v>0</v>
      </c>
      <c r="DX116" s="650">
        <f>IFERROR(SUM($DV116:$DW116)*IF(INDEX(Premises!$A$42:$F$42,1,MATCH($CC116,Premises!$A$10:$F$10,0))&gt;0,INDEX(Premises!$A$42:$F$42,1,MATCH($CC116,Premises!$A$10:$F$10,0))%,$CP116),0)</f>
        <v>0</v>
      </c>
      <c r="DY116" s="650" cm="1">
        <f t="array" ref="DY116">IF($CC116=0,0,SUM($DV116:$DX116)*_xlfn.XLOOKUP($CC116,Premises!$A$10:$F$10,IF(INDEX(Settings[],MATCH(3001,Settings[ID],0),2)="B",Premises!$A$33:$F$33,Premises!$A$31:$F$31))/100)</f>
        <v>0</v>
      </c>
      <c r="DZ116" s="650" cm="1">
        <f t="array" ref="DZ116">IF($CC116=0,0,$DV116*_xlfn.XLOOKUP($CC116,Premises!$A$10:$F$10,IF(INDEX(Settings[],MATCH(3002,Settings[ID],0),2)="B",Premises!$A$36:$F$36,Premises!$A$34:$F$34))/100)</f>
        <v>0</v>
      </c>
      <c r="EA116" s="650">
        <f>IF($CC116=0,0,SUM($DV116:$DZ116)*_xlfn.XLOOKUP($CC116,Premises!$A$10:$F$10,Premises!$A$37:$F$37)/100)</f>
        <v>0</v>
      </c>
      <c r="EB116" s="651">
        <f>SUM($DV116:$EA116)</f>
        <v>4.2166027241958611E-3</v>
      </c>
      <c r="EC116" s="805"/>
      <c r="ED116" s="1104"/>
      <c r="EE116" s="650"/>
      <c r="EF116" s="1110"/>
      <c r="EG116" s="1108"/>
      <c r="EH116" s="1108"/>
      <c r="EI116" s="1108"/>
      <c r="EJ116" s="1108"/>
      <c r="EK116" s="1108"/>
      <c r="EL116" s="1108"/>
      <c r="EM116" s="1110"/>
      <c r="EN116" s="1108"/>
      <c r="EO116" s="1108"/>
      <c r="EP116" s="1108"/>
      <c r="EQ116" s="1108"/>
      <c r="ER116" s="1110"/>
      <c r="ES116" s="1108"/>
      <c r="ET116" s="1108"/>
      <c r="EU116" s="1108"/>
      <c r="EV116" s="1108"/>
      <c r="EW116" s="1108"/>
      <c r="EX116" s="1111"/>
      <c r="EY116" s="2"/>
      <c r="EZ116" s="2"/>
      <c r="FA116" s="2"/>
      <c r="FB116" s="2"/>
      <c r="FC116" s="2"/>
      <c r="FD116" s="2"/>
      <c r="FE116" s="2"/>
      <c r="FF116" s="2"/>
      <c r="FG116" s="2"/>
      <c r="FH116" s="2"/>
      <c r="FI116" s="2"/>
      <c r="FJ116" s="420"/>
      <c r="FK116" s="421"/>
      <c r="FL116" s="422"/>
      <c r="FM116" s="1153"/>
    </row>
    <row r="117" spans="1:169" s="13" customFormat="1" ht="12.75" customHeight="1">
      <c r="A117" s="221"/>
      <c r="B117" s="402"/>
      <c r="C117" s="403"/>
      <c r="D117" s="646"/>
      <c r="E117" s="404"/>
      <c r="F117" s="405"/>
      <c r="G117" s="405"/>
      <c r="H117" s="405"/>
      <c r="I117" s="637" cm="1">
        <f t="array" ref="I117">IF($CI117=0,0,IFERROR(INDEX(MHR[],$CI117,MATCH($CA117,MHR!$B$4:$AY$4,0)),0))</f>
        <v>0</v>
      </c>
      <c r="J117" s="634">
        <f>IF(COUNTBLANK($E117:$H117),0,IFERROR($F117/$H117/IF($G117="s",3600,IF($G117="min",60,IF($G117="h",1,0)))*I117,0))</f>
        <v>0</v>
      </c>
      <c r="K117" s="406"/>
      <c r="L117" s="407"/>
      <c r="M117" s="871"/>
      <c r="N117" s="407"/>
      <c r="O117" s="405"/>
      <c r="P117" s="645" cm="1">
        <f t="array" ref="P117">IF($K117=0,0,IFERROR(ROUNDUP(IF(ISNUMBER($K117),$K117,INDEX($D$1:$D117,$CD117)*INDEX(Premises!$A$13:$F$13,1,$CH117)/IF(OR($K117="T",$K117="D"),250,IF($K117="W",50,IF($K117="M",12,IF(OR($K117="HJ",$K117="HY"),2,IF(OR($K117="J",$K117="Y"),1,0)))))),0),0))</f>
        <v>0</v>
      </c>
      <c r="Q117" s="637" cm="1">
        <f t="array" ref="Q117">IF($K117=0,0,IFERROR(INDEX(Premises!$A$22:$F$22,1,$CH117)*100/INDEX(Premises!$A$16:$F$16,1,$CH117),0))</f>
        <v>0</v>
      </c>
      <c r="R117" s="634">
        <f>IF($P117=0,0,IFERROR(($L117/60*($I117+$Q117*$M117)+($N117/60*($Q117*$O117)))/$P117,0))</f>
        <v>0</v>
      </c>
      <c r="S117" s="408"/>
      <c r="T117" s="409"/>
      <c r="U117" s="637" cm="1">
        <f t="array" ref="U117">IF(COUNTBLANK($S117:$T117),0,
IF(AND(INDEX(MHR[Schichtmodell],$CI117)&lt;&gt;0,INDEX(MHR[Schichtmodell],$CI117)&lt;&gt;INDEX(Premises!$A$20:$F$20,1,$CH117)),ExchangeRate*
IF(OR($T117="M",$T117="U"),IF(INDEX(MHR[Schichtmodell],$CI117)=1,INDEX(LOC[M1S],INDEX(Premises!$A$18:$F$18,1,$CH117+1)),IF(INDEX(MHR[Schichtmodell],$CI117)=2,INDEX(LOC[M2S],INDEX(Premises!$A$18:$F$18,1,$CH117+1),IF(INDEX(MHR[Schichtmodell],$CI117)=3,INDEX(LOC[M3S],INDEX(Premises!$A$18:$F$18,1,$CH117+1)),0)))),
IF(INDEX(MHR[Schichtmodell],$CI117)=1,INDEX(LOC[F1S],INDEX(Premises!$A$18:$F$18,1,$CH117+1)),IF(INDEX(MHR[Schichtmodell],$CI117)=2,INDEX(LOC[F2S],INDEX(Premises!$A$18:$F$18,1,$CH117+1)),IF(INDEX(MHR[Schichtmodell],$CI117)=3,INDEX(LOC[F3S],INDEX(Premises!$A$18:$F$18,1,$CH117+1)),0)))),
IF(OR($T117="M",$T117="U"),INDEX(Premises!$A$21:$F$21,1,$CH117),
IF(OR($T117="F",$T117="S"),INDEX(Premises!$A$22:$F$22,1,$CH117),0)))*100/INDEX(Premises!$A$16:$F$16,1,$CH117))</f>
        <v>0</v>
      </c>
      <c r="V117" s="631">
        <f>IF($U117=0,0,IFERROR($F117/$H117/IF($G117="s",3600,IF($G117="min",60,IF($G117="h",1,0)))*$S117*$U117,0))</f>
        <v>0</v>
      </c>
      <c r="W117" s="410"/>
      <c r="X117" s="403"/>
      <c r="Y117" s="411"/>
      <c r="Z117" s="412"/>
      <c r="AA117" s="628">
        <f>IFERROR($X117*$Z117/$Y117/MAX(1,$H117),0)</f>
        <v>0</v>
      </c>
      <c r="AB117" s="410"/>
      <c r="AC117" s="403"/>
      <c r="AD117" s="411"/>
      <c r="AE117" s="413"/>
      <c r="AF117" s="628">
        <f>IFERROR($AC117*$AE117/$AD117,0)</f>
        <v>0</v>
      </c>
      <c r="AG117" s="629" cm="1">
        <f t="array" ref="AG117">IF(($J117+$V117+$AF117)=0,0,INDEX(Premises!$A$30:$F$30,1,$CH117)/100)</f>
        <v>0</v>
      </c>
      <c r="AH117" s="414"/>
      <c r="AI117" s="415"/>
      <c r="AJ117" s="416"/>
      <c r="AK117" s="630">
        <f>IF(COUNTBLANK($AH117:$AI117),0,$AH117*$AI117*$AG117)</f>
        <v>0</v>
      </c>
      <c r="AL117" s="631">
        <f>($AK117+$AJ117*$AG117*(1-$AH117)+($J117+$V117+$AF117)*$AG117*(1-$AH117))</f>
        <v>0</v>
      </c>
      <c r="AM117" s="632" cm="1">
        <f t="array" ref="AM117">IF($CI117=0,0,IFERROR(INDEX(MHR[],$CI117,MATCH($CA117,MHR!$B$4:$AY$4,0)+11),0))</f>
        <v>0</v>
      </c>
      <c r="AN117" s="633" cm="1">
        <f t="array" ref="AN117">IF(($J117+$V117)=0,0,IFERROR(IF(INDEX(Premises!$A$41:$F$41,1,$CH117)&lt;&gt;0,INDEX(Premises!$A$41:$F$41,1,$CH117)/100,(IFERROR(($J117/$I117)*$AM117,0)/($V117+$J117+$R117+$AL117))),0))</f>
        <v>0</v>
      </c>
      <c r="AO117" s="634">
        <f>IF(($J117+$V117)=0,0,IF(IFERROR(($J117+$R117+$V117+$AL117)*$AN117,0)&lt;&gt;IFERROR(($J117/$I117)*$AM117,0),($J117+$R117+$V117+$AL117)*$AN117,IFERROR(($J117/$I117)*$AM117,0)))</f>
        <v>0</v>
      </c>
      <c r="AP117" s="635">
        <f>$V117+$J117+$R117+$AA117+$AF117+$AL117+$AO117</f>
        <v>0</v>
      </c>
      <c r="AQ117" s="410"/>
      <c r="AR117" s="409"/>
      <c r="AS117" s="636" cm="1">
        <f t="array" ref="AS117">IF($CJ117=0,0,IFERROR(INDEX(MAT[Einheit],$CJ117,1),0))</f>
        <v>0</v>
      </c>
      <c r="AT117" s="637" cm="1">
        <f t="array" ref="AT117">IF($CJ117=0,0,IFERROR(INDEX(MAT[Preis],$CJ117,1),0))</f>
        <v>0</v>
      </c>
      <c r="AU117" s="638">
        <f>$AR117*$AT117</f>
        <v>0</v>
      </c>
      <c r="AV117" s="639" cm="1">
        <f t="array" ref="AV117">IF($AU117&lt;=0,0,INDEX(Premises!$A$30:$F$30,1,$CH117)/100)</f>
        <v>0</v>
      </c>
      <c r="AW117" s="409"/>
      <c r="AX117" s="631">
        <f>IF($AV117=0,0,($AU117+$AW117)*$AV117)</f>
        <v>0</v>
      </c>
      <c r="AY117" s="640" cm="1">
        <f t="array" ref="AY117">IF($AT117&lt;=0,0,IFERROR(IF(INDEX(Premises!$A$42:$F$42,1,$CH117)&lt;&gt;0,INDEX(Premises!$A$42:$F$42,1,$CH117)/100,(INDEX(MAT[],$CJ117,MATCH($CA117,MAT!$B$4:$AE$4,0))/($AR117*$CK117*INDEX(Premises!$A$13:$F$13,1,$CH117))+INDEX(MAT[],$CJ117,MATCH($CA117,MAT!$B$4:$AE$4,0)+7))/$AT117),0))</f>
        <v>0</v>
      </c>
      <c r="AZ117" s="631">
        <f>IF($AY117=0,0,($AU117+$AX117)*$AY117)</f>
        <v>0</v>
      </c>
      <c r="BA117" s="635">
        <f>$AU117+$AX117+$AZ117</f>
        <v>0</v>
      </c>
      <c r="BB117" s="635">
        <f>$AP117+$BA117</f>
        <v>0</v>
      </c>
      <c r="BC117" s="639" cm="1">
        <f t="array" ref="BC117">IF($BB117&lt;=0,0,IF(BC$2=-1,0,INDEX(Premises!$A$32:$F$32,1,$CH117)/100))</f>
        <v>0</v>
      </c>
      <c r="BD117" s="631">
        <f>IF($AP117&lt;=0,0,($AP117-$AA117-$AL117)*$BC117)</f>
        <v>0</v>
      </c>
      <c r="BE117" s="639" cm="1">
        <f t="array" ref="BE117">IF($BB117&lt;=0,0,IF(BE$2=-1,0,INDEX(Premises!$A$33:$F$33,1,$CH117)/100))</f>
        <v>0</v>
      </c>
      <c r="BF117" s="631">
        <f>IF($BA117&lt;=0,0,$BA117*$BE117)</f>
        <v>0</v>
      </c>
      <c r="BG117" s="639" cm="1">
        <f t="array" ref="BG117">IF($BB117&lt;=0,0,IF(BG$2=-1,0,INDEX(Premises!$A$31:$F$31,1,$CH117)/100))</f>
        <v>0</v>
      </c>
      <c r="BH117" s="631">
        <f>(($AP117-$AA117-$AL117)+$BA117)*$BG117</f>
        <v>0</v>
      </c>
      <c r="BI117" s="635">
        <f>$BB117+$BD117+$BF117+$BH117</f>
        <v>0</v>
      </c>
      <c r="BJ117" s="639" cm="1">
        <f t="array" ref="BJ117">IF($BB117&lt;=0,0,IF(BJ$2=-1,0,INDEX(Premises!$A$35:$F$35,1,$CH117)/100))</f>
        <v>0</v>
      </c>
      <c r="BK117" s="631">
        <f>IF($AP117&lt;=0,0,($AP117-$AL117-$AA117)*$BJ117)</f>
        <v>0</v>
      </c>
      <c r="BL117" s="639" cm="1">
        <f t="array" ref="BL117">IF($BB117&lt;=0,0,IF(BL$2=-1,0,INDEX(Premises!$A$36:$F$36,1,$CH117)/100))</f>
        <v>0</v>
      </c>
      <c r="BM117" s="631">
        <f>IF($AU117&lt;=0,0,($AR117*$AT117)*$BL117)</f>
        <v>0</v>
      </c>
      <c r="BN117" s="639" cm="1">
        <f t="array" ref="BN117">IF($BB117&lt;=0,0,IF(BN$2=-1,0,INDEX(Premises!$A$34:$F$34,1,$CH117)/100))</f>
        <v>0</v>
      </c>
      <c r="BO117" s="631">
        <f>(($AP117-$AL117-$AA117)+($AR117*$AT117))*$BN117</f>
        <v>0</v>
      </c>
      <c r="BP117" s="639" cm="1">
        <f t="array" ref="BP117">IF($BI117=0,0,INDEX(Premises!$A$37:$F$37,1,$CH117)/100)</f>
        <v>0</v>
      </c>
      <c r="BQ117" s="409"/>
      <c r="BR117" s="631">
        <f>($BI117+$BK117+$BM117+$BO117)*$BP117+$BQ117</f>
        <v>0</v>
      </c>
      <c r="BS117" s="641">
        <f>BI117+BK117+BM117+BO117+BR117</f>
        <v>0</v>
      </c>
      <c r="BT117" s="641">
        <f>IF($BS117=0,0,$CK117*$BS117)</f>
        <v>0</v>
      </c>
      <c r="BU117" s="642">
        <f>IF($BT117=0,0,MAX(1,$EB117/$DP117))</f>
        <v>0</v>
      </c>
      <c r="BV117" s="417"/>
      <c r="BW117" s="418"/>
      <c r="BX117" s="418"/>
      <c r="BY117" s="419"/>
      <c r="BZ117" s="968"/>
      <c r="CA117" s="280" cm="1">
        <f t="array" ref="CA117">IF($BZ117&gt;0,VALUE(LEFT($BZ117,IF(ISERROR(FIND("-",$BZ117)),LEN($BZ117),FIND("-",$BZ117)-1))),INDEX($CA$1:$CA117,MAX(1,$CD117)))</f>
        <v>1</v>
      </c>
      <c r="CB117" s="280" cm="1">
        <f t="array" ref="CB117">IF($BT117=0,0,IF(LEN($BZ117)-LEN(SUBSTITUTE($BZ117,"-",""))&gt;1,
VALUE(MID($BZ117,FIND("-",$BZ117)+1,FIND("-",$BZ117,FIND("-",$BZ117)+1)-FIND("-",$BZ117)-1)),IF($BZ117&gt;0,0,INDEX($CB$1:$CB117,MAX(1,$CD117)))))</f>
        <v>0</v>
      </c>
      <c r="CC117" s="280" cm="1">
        <f t="array" ref="CC117">IF($BT117=0,0,IF(NOT(ISERROR(FIND("-",BZ117))),
VALUE(RIGHT($BZ117,LEN($BZ117)-IF(LEN($BZ117)-LEN(SUBSTITUTE($BZ117,"-",""))=1,FIND("-",$BZ117),FIND("-",$BZ117,FIND("-",$BZ117)+1)))),
IF($BZ117&gt;0,0,INDEX($CC$1:$CC117,MAX(1,$CD117)))))</f>
        <v>0</v>
      </c>
      <c r="CD117" s="393">
        <f>MATCH(0,$CE$1:$CE117,-1)</f>
        <v>112</v>
      </c>
      <c r="CE117" s="280"/>
      <c r="CF117" s="394"/>
      <c r="CG117" s="393" cm="1">
        <f t="array" ref="CG117">INDEX($CG$1:$CG117,$CD117)</f>
        <v>12</v>
      </c>
      <c r="CH117" s="280">
        <f>MATCH($CA117,Premises!$A$10:$F$10,0)</f>
        <v>4</v>
      </c>
      <c r="CI117" s="280">
        <f>IF(ISBLANK($E117),0,IFERROR(MATCH($E117,MHR[Bezeichnung],0),0))</f>
        <v>0</v>
      </c>
      <c r="CJ117" s="394">
        <f>IF(ISBLANK($AQ117),0,IFERROR(MATCH($AQ117,MAT[Bezeichnung],0),0))</f>
        <v>0</v>
      </c>
      <c r="CK117" s="280" cm="1">
        <f t="array" ref="CK117">INDEX($D$1:$D117,$CD117)</f>
        <v>1</v>
      </c>
      <c r="CL117" s="280"/>
      <c r="CM117" s="395"/>
      <c r="CN117" s="396" cm="1">
        <f t="array" ref="CN117">IF($CB117=0,0,IF($CB117=INDEX($CB$1:$CB117,$CD117),INDEX($CN$1:$CN117,$CD117),$CP117))</f>
        <v>0</v>
      </c>
      <c r="CO117" s="395"/>
      <c r="CP117" s="396" cm="1">
        <f t="array" ref="CP117">IF($CC117=0,0,INDEX($CP$1:$CP117,$CD117))</f>
        <v>0</v>
      </c>
      <c r="CQ117" s="397"/>
      <c r="CR117" s="398"/>
      <c r="CS117" s="398"/>
      <c r="CT117" s="970"/>
      <c r="CU117" s="2"/>
      <c r="CV117" s="647">
        <f>$J117*$CK117</f>
        <v>0</v>
      </c>
      <c r="CW117" s="648">
        <f>$R117*$CK117</f>
        <v>0</v>
      </c>
      <c r="CX117" s="648">
        <f>$V117*$CK117</f>
        <v>0</v>
      </c>
      <c r="CY117" s="648">
        <f>$AA117*$CK117</f>
        <v>0</v>
      </c>
      <c r="CZ117" s="648">
        <f>$AF117*$CK117</f>
        <v>0</v>
      </c>
      <c r="DA117" s="648">
        <f>$AL117*$CK117</f>
        <v>0</v>
      </c>
      <c r="DB117" s="648">
        <f>$AO117*$CK117</f>
        <v>0</v>
      </c>
      <c r="DC117" s="649">
        <f>$AP117*$CK117</f>
        <v>0</v>
      </c>
      <c r="DD117" s="648">
        <f>$AU117*$CK117</f>
        <v>0</v>
      </c>
      <c r="DE117" s="648">
        <f>$AX117*$CK117</f>
        <v>0</v>
      </c>
      <c r="DF117" s="648">
        <f>$AZ117*$CK117</f>
        <v>0</v>
      </c>
      <c r="DG117" s="649">
        <f>$BA117*$CK117</f>
        <v>0</v>
      </c>
      <c r="DH117" s="649">
        <f>$BB117*$CK117</f>
        <v>0</v>
      </c>
      <c r="DI117" s="648">
        <f>$BD117*$CK117</f>
        <v>0</v>
      </c>
      <c r="DJ117" s="648">
        <f>$BF117*$CK117</f>
        <v>0</v>
      </c>
      <c r="DK117" s="648">
        <f>$BH117*$CK117</f>
        <v>0</v>
      </c>
      <c r="DL117" s="648">
        <f>$BK117*$CK117</f>
        <v>0</v>
      </c>
      <c r="DM117" s="648">
        <f>$BM117*$CK117</f>
        <v>0</v>
      </c>
      <c r="DN117" s="648">
        <f>$BO117*$CK117</f>
        <v>0</v>
      </c>
      <c r="DO117" s="648">
        <f>$BR117*$CK117</f>
        <v>0</v>
      </c>
      <c r="DP117" s="651">
        <f>$CK117*($BB117+$BD117+$BF117+$BH117+$BK117+$BM117+$BO117+$BR117)</f>
        <v>0</v>
      </c>
      <c r="DQ117" s="951">
        <f>IF($CB117=0,0,$DP117*_xlfn.XLOOKUP($CB117,Premises!$A$10:$F$10,Premises!$A$30:$F$30)/100)</f>
        <v>0</v>
      </c>
      <c r="DR117" s="650">
        <f>IFERROR(SUM($DP117:$DQ117)*IF(INDEX(Premises!$A$42:$F$42,1,MATCH($CB117,Premises!$A$10:$F$10,0))&gt;0,INDEX(Premises!$A$42:$F$42,1,MATCH($CB117,Premises!$A$10:$F$10,0))%,$CN117),0)</f>
        <v>0</v>
      </c>
      <c r="DS117" s="650" cm="1">
        <f t="array" ref="DS117">IF($CB117=0,0,SUM($DP117:$DR117)*_xlfn.XLOOKUP($CB117,Premises!$A$10:$F$10,IF(INDEX(Settings[],MATCH(3001,Settings[ID],0),2)="B",Premises!$A$33:$F$33,Premises!$A$31:$F$31))/100)</f>
        <v>0</v>
      </c>
      <c r="DT117" s="650" cm="1">
        <f t="array" ref="DT117">IF($CB117=0,0,$DP117*_xlfn.XLOOKUP($CB117,Premises!$A$10:$F$10,IF(INDEX(Settings[],MATCH(3002,Settings[ID],0),2)="B",Premises!$A$36:$F$36,Premises!$A$34:$F$34))/100)</f>
        <v>0</v>
      </c>
      <c r="DU117" s="650">
        <f>IF($CB117=0,0,SUM($DP117:$DT117)*_xlfn.XLOOKUP($CB117,Premises!$A$10:$F$10,Premises!$A$37:$F$37)/100)</f>
        <v>0</v>
      </c>
      <c r="DV117" s="954">
        <f>SUM($DP117:$DU117)</f>
        <v>0</v>
      </c>
      <c r="DW117" s="951">
        <f>IF($CC117=0,0,$DV117*_xlfn.XLOOKUP($CC117,Premises!$A$10:$F$10,Premises!$A$30:$F$30)/100)</f>
        <v>0</v>
      </c>
      <c r="DX117" s="650">
        <f>IFERROR(SUM($DV117:$DW117)*IF(INDEX(Premises!$A$42:$F$42,1,MATCH($CC117,Premises!$A$10:$F$10,0))&gt;0,INDEX(Premises!$A$42:$F$42,1,MATCH($CC117,Premises!$A$10:$F$10,0))%,$CP117),0)</f>
        <v>0</v>
      </c>
      <c r="DY117" s="650" cm="1">
        <f t="array" ref="DY117">IF($CC117=0,0,SUM($DV117:$DX117)*_xlfn.XLOOKUP($CC117,Premises!$A$10:$F$10,IF(INDEX(Settings[],MATCH(3001,Settings[ID],0),2)="B",Premises!$A$33:$F$33,Premises!$A$31:$F$31))/100)</f>
        <v>0</v>
      </c>
      <c r="DZ117" s="650" cm="1">
        <f t="array" ref="DZ117">IF($CC117=0,0,$DV117*_xlfn.XLOOKUP($CC117,Premises!$A$10:$F$10,IF(INDEX(Settings[],MATCH(3002,Settings[ID],0),2)="B",Premises!$A$36:$F$36,Premises!$A$34:$F$34))/100)</f>
        <v>0</v>
      </c>
      <c r="EA117" s="650">
        <f>IF($CC117=0,0,SUM($DV117:$DZ117)*_xlfn.XLOOKUP($CC117,Premises!$A$10:$F$10,Premises!$A$37:$F$37)/100)</f>
        <v>0</v>
      </c>
      <c r="EB117" s="651">
        <f>SUM($DV117:$EA117)</f>
        <v>0</v>
      </c>
      <c r="EC117" s="805"/>
      <c r="ED117" s="1104"/>
      <c r="EE117" s="650"/>
      <c r="EF117" s="1110"/>
      <c r="EG117" s="1108"/>
      <c r="EH117" s="1108"/>
      <c r="EI117" s="1108"/>
      <c r="EJ117" s="1108"/>
      <c r="EK117" s="1108"/>
      <c r="EL117" s="1108"/>
      <c r="EM117" s="1110"/>
      <c r="EN117" s="1108"/>
      <c r="EO117" s="1108"/>
      <c r="EP117" s="1108"/>
      <c r="EQ117" s="1108"/>
      <c r="ER117" s="1110"/>
      <c r="ES117" s="1108"/>
      <c r="ET117" s="1108"/>
      <c r="EU117" s="1108"/>
      <c r="EV117" s="1108"/>
      <c r="EW117" s="1108"/>
      <c r="EX117" s="1111"/>
      <c r="EY117" s="2"/>
      <c r="EZ117" s="2"/>
      <c r="FA117" s="2"/>
      <c r="FB117" s="2"/>
      <c r="FC117" s="2"/>
      <c r="FD117" s="2"/>
      <c r="FE117" s="2"/>
      <c r="FF117" s="2"/>
      <c r="FG117" s="2"/>
      <c r="FH117" s="2"/>
      <c r="FI117" s="2"/>
      <c r="FJ117" s="420"/>
      <c r="FK117" s="421"/>
      <c r="FL117" s="422"/>
      <c r="FM117" s="970"/>
    </row>
    <row r="118" spans="1:169" s="13" customFormat="1" ht="12.75" customHeight="1">
      <c r="A118" s="221"/>
      <c r="B118" s="387" t="str">
        <f>BOM!$A$13</f>
        <v>01-01-03-06 PCB Protection Film</v>
      </c>
      <c r="C118" s="388"/>
      <c r="D118" s="389" cm="1">
        <f t="array" ref="D118">IF($CG118=0,0,INDEX(BOM!$N:$N,$CG118))</f>
        <v>1</v>
      </c>
      <c r="E118" s="644" t="s">
        <v>664</v>
      </c>
      <c r="F118" s="644" t="s">
        <v>664</v>
      </c>
      <c r="G118" s="644" t="s">
        <v>664</v>
      </c>
      <c r="H118" s="644" t="s">
        <v>664</v>
      </c>
      <c r="I118" s="644" t="s">
        <v>664</v>
      </c>
      <c r="J118" s="644" t="s">
        <v>664</v>
      </c>
      <c r="K118" s="644" t="s">
        <v>664</v>
      </c>
      <c r="L118" s="644" t="s">
        <v>664</v>
      </c>
      <c r="M118" s="644" t="s">
        <v>664</v>
      </c>
      <c r="N118" s="644" t="s">
        <v>664</v>
      </c>
      <c r="O118" s="644" t="s">
        <v>664</v>
      </c>
      <c r="P118" s="644" t="s">
        <v>664</v>
      </c>
      <c r="Q118" s="644" t="s">
        <v>664</v>
      </c>
      <c r="R118" s="644" t="s">
        <v>664</v>
      </c>
      <c r="S118" s="644" t="s">
        <v>664</v>
      </c>
      <c r="T118" s="644" t="s">
        <v>664</v>
      </c>
      <c r="U118" s="644" t="s">
        <v>664</v>
      </c>
      <c r="V118" s="644" t="s">
        <v>664</v>
      </c>
      <c r="W118" s="644" t="s">
        <v>664</v>
      </c>
      <c r="X118" s="644" t="s">
        <v>664</v>
      </c>
      <c r="Y118" s="644" t="s">
        <v>664</v>
      </c>
      <c r="Z118" s="644" t="s">
        <v>664</v>
      </c>
      <c r="AA118" s="644" t="s">
        <v>664</v>
      </c>
      <c r="AB118" s="644" t="s">
        <v>664</v>
      </c>
      <c r="AC118" s="644" t="s">
        <v>664</v>
      </c>
      <c r="AD118" s="644" t="s">
        <v>664</v>
      </c>
      <c r="AE118" s="644" t="s">
        <v>664</v>
      </c>
      <c r="AF118" s="644" t="s">
        <v>664</v>
      </c>
      <c r="AG118" s="644" t="s">
        <v>664</v>
      </c>
      <c r="AH118" s="644" t="s">
        <v>664</v>
      </c>
      <c r="AI118" s="644" t="s">
        <v>664</v>
      </c>
      <c r="AJ118" s="644" t="s">
        <v>664</v>
      </c>
      <c r="AK118" s="644" t="s">
        <v>664</v>
      </c>
      <c r="AL118" s="644" t="s">
        <v>664</v>
      </c>
      <c r="AM118" s="644" t="s">
        <v>664</v>
      </c>
      <c r="AN118" s="644" t="s">
        <v>664</v>
      </c>
      <c r="AO118" s="644" t="s">
        <v>664</v>
      </c>
      <c r="AP118" s="644" t="s">
        <v>664</v>
      </c>
      <c r="AQ118" s="644" t="s">
        <v>664</v>
      </c>
      <c r="AR118" s="644" t="s">
        <v>664</v>
      </c>
      <c r="AS118" s="644" t="s">
        <v>664</v>
      </c>
      <c r="AT118" s="644" t="s">
        <v>664</v>
      </c>
      <c r="AU118" s="644" t="s">
        <v>664</v>
      </c>
      <c r="AV118" s="644" t="s">
        <v>664</v>
      </c>
      <c r="AW118" s="644" t="s">
        <v>664</v>
      </c>
      <c r="AX118" s="644" t="s">
        <v>664</v>
      </c>
      <c r="AY118" s="644" t="s">
        <v>664</v>
      </c>
      <c r="AZ118" s="644" t="s">
        <v>664</v>
      </c>
      <c r="BA118" s="644" t="s">
        <v>664</v>
      </c>
      <c r="BB118" s="644" t="s">
        <v>664</v>
      </c>
      <c r="BC118" s="644" t="s">
        <v>664</v>
      </c>
      <c r="BD118" s="644" t="s">
        <v>664</v>
      </c>
      <c r="BE118" s="644" t="s">
        <v>664</v>
      </c>
      <c r="BF118" s="644" t="s">
        <v>664</v>
      </c>
      <c r="BG118" s="644" t="s">
        <v>664</v>
      </c>
      <c r="BH118" s="644" t="s">
        <v>664</v>
      </c>
      <c r="BI118" s="644" t="s">
        <v>664</v>
      </c>
      <c r="BJ118" s="644" t="s">
        <v>664</v>
      </c>
      <c r="BK118" s="644" t="s">
        <v>664</v>
      </c>
      <c r="BL118" s="644" t="s">
        <v>664</v>
      </c>
      <c r="BM118" s="644" t="s">
        <v>664</v>
      </c>
      <c r="BN118" s="644" t="s">
        <v>664</v>
      </c>
      <c r="BO118" s="644" t="s">
        <v>664</v>
      </c>
      <c r="BP118" s="644" t="s">
        <v>664</v>
      </c>
      <c r="BQ118" s="644" t="s">
        <v>664</v>
      </c>
      <c r="BR118" s="644" t="s">
        <v>664</v>
      </c>
      <c r="BS118" s="920">
        <f>SUM(INDEX($BS:$BS,ROW()+1):INDEX($BS:$BS,$CE118))</f>
        <v>6.5215185288491984E-3</v>
      </c>
      <c r="BT118" s="920">
        <f>SUM(INDEX($BT:$BT,ROW()+1):INDEX($BT:$BT,$CE118))</f>
        <v>6.5215185288491984E-3</v>
      </c>
      <c r="BU118" s="644" t="s">
        <v>664</v>
      </c>
      <c r="BV118" s="643">
        <f>SUMPRODUCT($BS118:INDEX($BS:$BS,$CE118),$BU118:INDEX($BU:$BU,$CE118))</f>
        <v>6.5215185288491984E-3</v>
      </c>
      <c r="BW118" s="390">
        <f>$D118*$BV118</f>
        <v>6.5215185288491984E-3</v>
      </c>
      <c r="BX118" s="816" cm="1">
        <f t="array" ref="BX118">IF($CG118=0,0,IF(INDEX(BOM!$P:$P,$CG118)=0,0,
SUMPRODUCT($BW118:INDEX($BW:$BW,IFERROR(ROW()+MATCH($CL118,INDEX($CL:$CL,ROW()+1):INDEX($CL:$CL,MAX($CE:$CE)),0)-1,MAX($CE:$CE))),
($CL118:INDEX($CL:$CL,IFERROR(ROW()+MATCH($CL118,INDEX($CL:$CL,ROW()+1):INDEX($CL:$CL,MAX($CE:$CE)),0)-1,MAX($CE:$CE)))&gt;=$CL118)*1)
))</f>
        <v>0</v>
      </c>
      <c r="BY118" s="391"/>
      <c r="BZ118" s="392" cm="1">
        <f t="array" ref="BZ118">IF($CG118=0,0,INDEX(BOM!$M:$M,$CG118))</f>
        <v>1</v>
      </c>
      <c r="CA118" s="280">
        <f>IF($BZ118&gt;0,VALUE(LEFT($BZ118,IF(ISERROR(FIND("-",$BZ118)),LEN($BZ118),FIND("-",$BZ118)-1))),INDEX($BZ$1:BZ118,MATCH("",$A$1:A118,-1)))</f>
        <v>1</v>
      </c>
      <c r="CB118" s="280">
        <f>IF(LEN($BZ118)-LEN(SUBSTITUTE($BZ118,"-",))&gt;1,
VALUE(MID($BZ118,FIND("-",$BZ118)+1,FIND("-",$BZ118,FIND("-",$BZ118)+1)-FIND("-",$BZ118)-1)),0)</f>
        <v>0</v>
      </c>
      <c r="CC118" s="280">
        <f>IF(NOT(ISERROR(FIND("-",BZ118))),
VALUE(RIGHT($BZ118,LEN($BZ118)-IF(LEN($BZ118)-LEN(SUBSTITUTE($BZ118,"-",""))=1,FIND("-",$BZ118),FIND("-",$BZ118,FIND("-",$BZ118)+1)))),0)</f>
        <v>0</v>
      </c>
      <c r="CD118" s="393"/>
      <c r="CE118" s="280" cm="1">
        <f t="array" ref="CE118">ROW()+MATCH(TRUE,_xlfn.ISFORMULA(INDEX(BW:BW,ROW()+1):INDEX(BW:BW,ROW()+MaxNumberOfRowsPerBlock)),0)-1</f>
        <v>120</v>
      </c>
      <c r="CF118" s="394" cm="1">
        <f t="array" ref="CF118">IF(CL118=0,-1,IF(CL118=1,7,MAX(IF($CL$1:$CL118=CL118-1,ROW($CL$1:$CL118),0))))</f>
        <v>49</v>
      </c>
      <c r="CG118" s="393">
        <f>IFERROR(MATCH($B118,BOM!$A:$A,0),0)</f>
        <v>13</v>
      </c>
      <c r="CH118" s="280">
        <f>MATCH($CA118,Premises!$A$10:$F$10,0)</f>
        <v>4</v>
      </c>
      <c r="CI118" s="280"/>
      <c r="CJ118" s="394"/>
      <c r="CK118" s="280"/>
      <c r="CL118" s="280" cm="1">
        <f t="array" ref="CL118">IF($CG118=0,0,INDEX(BOM!$C:$C,$CG118))</f>
        <v>4</v>
      </c>
      <c r="CM118" s="395" cm="1">
        <f t="array" ref="CM118">IF($CG118=0,0,IF(OR($CF118&lt;0,AND(INDEX($CB:$CB,$CF118)=$CB118,INDEX($CC:$CC,$CF118)=$CC118)),0,IF(INDEX(BOM!$P:$P,$CG118)=0,$BT118,(SUMIF($CA118:INDEX($CA:$CA,IFERROR(ROW()+MATCH($CL118,INDEX($CL:$CL,ROW()+1):INDEX($CL:$CL,MAX($CE:$CE)),0)-1,MAX($CE:$CE))),$CA118,$BT118:INDEX($BT:$BT,IFERROR(ROW()+MATCH($CL118,INDEX($CL:$CL,ROW()+1):INDEX($CL:$CL,MAX($CE:$CE)),0)-1,MAX($CE:$CE))))+SUMIF($CB118:INDEX($CB:$CB,IFERROR(ROW()+MATCH($CL118,INDEX($CL:$CL,ROW()+1):INDEX($CL:$CL,MAX($CE:$CE)),0)-1,MAX($CE:$CE))),$CA118,$BT118:INDEX($BT:$BT,IFERROR(ROW()+MATCH($CL118,INDEX($CL:$CL,ROW()+1):INDEX($CL:$CL,MAX($CE:$CE)),0)-1,MAX($CE:$CE)))))/2)))</f>
        <v>0</v>
      </c>
      <c r="CN118" s="396" cm="1">
        <f t="array" ref="CN118">IFERROR(IF($CB118=0,0,IF($CM118=0,INDEX($CN$1:$CN118,$CF118),INDEX(IF($CM118&lt;0.2,Premises!$A$43:$F$43,IF($CM118&lt;5,Premises!$A$46:$F$46,Premises!$A$49:$F$49)),MATCH($CB118,Premises!$A$10:$F$10,0))/($CM118*INDEX(Premises!$A$13:$F$13,MATCH($CB118,Premises!$A$10:$F$10,0)))+INDEX(IF($CM118&lt;0.2,Premises!$A$44:$F$44,IF($CM118&lt;5,Premises!$A$47:$F$47,Premises!$A$50:$F$50)),MATCH($CB118,Premises!$A$10:$F$10,0))+INDEX(IF($CM118&lt;0.2,Premises!$A$45:$F$45,IF($CM118&lt;5,Premises!$A$48:$F$48,Premises!$A$51:$F$51)),MATCH($CB118,Premises!$A$10:$F$10,0))/$CM118)),0.01)</f>
        <v>0</v>
      </c>
      <c r="CO118" s="395" cm="1">
        <f t="array" ref="CO118">IF($CG118=0,0,IF(INDEX($CC:$CC,$CF118)=$CC118,0,$CM118*(1+IFERROR(INDEX(Premises!$A$52:$F$52,1,MATCH($CB118,Premises!$A$10:$F$10,0)),0)+$CN118)))</f>
        <v>0</v>
      </c>
      <c r="CP118" s="396" cm="1">
        <f t="array" ref="CP118">IFERROR(IF($CC118=0,0,IF($CO118=0,INDEX($CP$1:$CP118,$CF118),INDEX(IF($CO118&lt;0.2,Premises!$A$43:$F$43,IF($CO118&lt;5,Premises!$A$46:$F$46,Premises!$A$49:$F$49)),MATCH($CC118,Premises!$A$10:$F$10,0))/($CO118*INDEX(Premises!$A$13:$F$13,MATCH($CC118,Premises!$A$10:$F$10,0)))+INDEX(IF($CO118&lt;0.2,Premises!$A$44:$F$44,IF($CO118&lt;5,Premises!$A$47:$F$47,Premises!$A$50:$F$50)),MATCH($CC118,Premises!$A$10:$F$10,0))+INDEX(IF($CO118&lt;0.2,Premises!$A$45:$F$45,IF($CO118&lt;5,Premises!$A$48:$F$48,Premises!$A$51:$F$51)),MATCH($CC118,Premises!$A$10:$F$10,0))/$CO118)),0.01)</f>
        <v>0</v>
      </c>
      <c r="CQ118" s="397" cm="1">
        <f t="array" ref="CQ118">IF(AND($CM118=0,$CO118=0),0,INDEX(BOM!$O:$O,$CG118))</f>
        <v>0</v>
      </c>
      <c r="CR118" s="398" cm="1">
        <f t="array" ref="CR118">IF(OR($CM118=0,$CN118=0),0,ACOS(COS(RADIANS(90-INDEX(Premises!$A$66:$F$66,1,$CH118)))*COS(RADIANS(90-INDEX(Premises!$A$66:$F$66,1,MATCH($CB118,Premises!$A$10:$F$10,0))))
+SIN(RADIANS(90-INDEX(Premises!$A$66:$F$66,1,$CH118)))*SIN(RADIANS(90-INDEX(Premises!$A$66:$F$66,1,MATCH($CB118,Premises!$A$10:$F$10,0)))) * COS(RADIANS(INDEX(Premises!$A$67:$F$67,1,$CH118)-INDEX(Premises!$A$67:$F$67,1,MATCH($CB118,Premises!$A$10:$F$10,0)))))*6371)</f>
        <v>0</v>
      </c>
      <c r="CS118" s="398" cm="1">
        <f t="array" ref="CS118">IF(OR($CO118=0,$CP118=0),0,
IF($CR118=0,ACOS(COS(RADIANS(90-INDEX(Premises!$A$66:$F$66,1,$CH118)))*COS(RADIANS(90-INDEX(Premises!$A$66:$F$66,1,MATCH($CC118,Premises!$A$10:$F$10,0))))
+SIN(RADIANS(90-INDEX(Premises!$A$66:$F$66,1,$CH118)))*SIN(RADIANS(90-INDEX(Premises!$A$66:$F$66,1,MATCH($CC118,Premises!$A$10:$F$10,0))))*COS(RADIANS(INDEX(Premises!$A$67:$F$67,1,$CH118)-INDEX(Premises!$A$67:$F$67,1,MATCH($CC118,Premises!$A$10:$F$10,0)))))*6371,
ACOS(COS(RADIANS(90-INDEX(Premises!$A$66:$F$66,1,MATCH($CB118,Premises!$A$10:$F$10,0))))*COS(RADIANS(90-INDEX(Premises!$A$66:$F$66,1,MATCH($CC118,Premises!$A$10:$F$10,0))))
+SIN(RADIANS(90-INDEX(Premises!$A$66:$F$66,1,MATCH($CB118,Premises!$A$10:$F$10,0))))*SIN(RADIANS(90-INDEX(Premises!$A$66:$F$66,1,MATCH($CC118,Premises!$A$10:$F$10,0))))*COS(RADIANS(INDEX(Premises!$A$67:$F$67,1,MATCH($CB118,Premises!$A$10:$F$10,0))-INDEX(Premises!$A$67:$F$67,1,MATCH($CC118,Premises!$A$10:$F$10,0)))))*6371))</f>
        <v>0</v>
      </c>
      <c r="CT118" s="969" t="s">
        <v>904</v>
      </c>
      <c r="CU118" s="2"/>
      <c r="CV118" s="399">
        <f>SUM(INDEX(CV:CV,ROW()+1):INDEX(CV:CV,$CE118))</f>
        <v>0</v>
      </c>
      <c r="CW118" s="400">
        <f>SUM(INDEX(CW:CW,ROW()+1):INDEX(CW:CW,$CE118))</f>
        <v>0</v>
      </c>
      <c r="CX118" s="400">
        <f>SUM(INDEX(CX:CX,ROW()+1):INDEX(CX:CX,$CE118))</f>
        <v>0</v>
      </c>
      <c r="CY118" s="400">
        <f>SUM(INDEX(CY:CY,ROW()+1):INDEX(CY:CY,$CE118))</f>
        <v>0</v>
      </c>
      <c r="CZ118" s="400">
        <f>SUM(INDEX(CZ:CZ,ROW()+1):INDEX(CZ:CZ,$CE118))</f>
        <v>0</v>
      </c>
      <c r="DA118" s="400">
        <f>SUM(INDEX(DA:DA,ROW()+1):INDEX(DA:DA,$CE118))</f>
        <v>0</v>
      </c>
      <c r="DB118" s="400">
        <f>SUM(INDEX(DB:DB,ROW()+1):INDEX(DB:DB,$CE118))</f>
        <v>0</v>
      </c>
      <c r="DC118" s="400">
        <f>SUM(INDEX(DC:DC,ROW()+1):INDEX(DC:DC,$CE118))</f>
        <v>0</v>
      </c>
      <c r="DD118" s="400">
        <f>SUM(INDEX(DD:DD,ROW()+1):INDEX(DD:DD,$CE118))</f>
        <v>1.896E-4</v>
      </c>
      <c r="DE118" s="400">
        <f>SUM(INDEX(DE:DE,ROW()+1):INDEX(DE:DE,$CE118))</f>
        <v>1.8960000000000001E-6</v>
      </c>
      <c r="DF118" s="400">
        <f>SUM(INDEX(DF:DF,ROW()+1):INDEX(DF:DF,$CE118))</f>
        <v>5.595297358977065E-3</v>
      </c>
      <c r="DG118" s="400">
        <f>SUM(INDEX(DG:DG,ROW()+1):INDEX(DG:DG,$CE118))</f>
        <v>5.7867933589770652E-3</v>
      </c>
      <c r="DH118" s="400">
        <f>SUM(INDEX(DH:DH,ROW()+1):INDEX(DH:DH,$CE118))</f>
        <v>5.7867933589770652E-3</v>
      </c>
      <c r="DI118" s="400">
        <f>SUM(INDEX(DI:DI,ROW()+1):INDEX(DI:DI,$CE118))</f>
        <v>0</v>
      </c>
      <c r="DJ118" s="400">
        <f>SUM(INDEX(DJ:DJ,ROW()+1):INDEX(DJ:DJ,$CE118))</f>
        <v>0</v>
      </c>
      <c r="DK118" s="400">
        <f>SUM(INDEX(DK:DK,ROW()+1):INDEX(DK:DK,$CE118))</f>
        <v>7.2334916987213315E-4</v>
      </c>
      <c r="DL118" s="400">
        <f>SUM(INDEX(DL:DL,ROW()+1):INDEX(DL:DL,$CE118))</f>
        <v>0</v>
      </c>
      <c r="DM118" s="400">
        <f>SUM(INDEX(DM:DM,ROW()+1):INDEX(DM:DM,$CE118))</f>
        <v>0</v>
      </c>
      <c r="DN118" s="400">
        <f>SUM(INDEX(DN:DN,ROW()+1):INDEX(DN:DN,$CE118))</f>
        <v>1.1375999999999999E-5</v>
      </c>
      <c r="DO118" s="400">
        <f>SUM(INDEX(DO:DO,ROW()+1):INDEX(DO:DO,$CE118))</f>
        <v>0</v>
      </c>
      <c r="DP118" s="400">
        <f>SUM(INDEX(DP:DP,ROW()+1):INDEX(DP:DP,$CE118))</f>
        <v>6.5215185288491984E-3</v>
      </c>
      <c r="DQ118" s="400">
        <f>SUM(INDEX(DQ:DQ,ROW()+1):INDEX(DQ:DQ,$CE118))</f>
        <v>0</v>
      </c>
      <c r="DR118" s="400">
        <f>SUM(INDEX(DR:DR,ROW()+1):INDEX(DR:DR,$CE118))</f>
        <v>0</v>
      </c>
      <c r="DS118" s="400">
        <f>SUM(INDEX(DS:DS,ROW()+1):INDEX(DS:DS,$CE118))</f>
        <v>0</v>
      </c>
      <c r="DT118" s="400">
        <f>SUM(INDEX(DT:DT,ROW()+1):INDEX(DT:DT,$CE118))</f>
        <v>0</v>
      </c>
      <c r="DU118" s="400">
        <f>SUM(INDEX(DU:DU,ROW()+1):INDEX(DU:DU,$CE118))</f>
        <v>0</v>
      </c>
      <c r="DV118" s="400">
        <f>SUM(INDEX(DV:DV,ROW()+1):INDEX(DV:DV,$CE118))</f>
        <v>6.5215185288491984E-3</v>
      </c>
      <c r="DW118" s="400">
        <f>SUM(INDEX(DW:DW,ROW()+1):INDEX(DW:DW,$CE118))</f>
        <v>0</v>
      </c>
      <c r="DX118" s="400">
        <f>SUM(INDEX(DX:DX,ROW()+1):INDEX(DX:DX,$CE118))</f>
        <v>0</v>
      </c>
      <c r="DY118" s="400">
        <f>SUM(INDEX(DY:DY,ROW()+1):INDEX(DY:DY,$CE118))</f>
        <v>0</v>
      </c>
      <c r="DZ118" s="400">
        <f>SUM(INDEX(DZ:DZ,ROW()+1):INDEX(DZ:DZ,$CE118))</f>
        <v>0</v>
      </c>
      <c r="EA118" s="400">
        <f>SUM(INDEX(EA:EA,ROW()+1):INDEX(EA:EA,$CE118))</f>
        <v>0</v>
      </c>
      <c r="EB118" s="401">
        <f>SUM(INDEX(EB:EB,ROW()+1):INDEX(EB:EB,$CE118))</f>
        <v>6.5215185288491984E-3</v>
      </c>
      <c r="EC118" s="805"/>
      <c r="ED118" s="399"/>
      <c r="EE118" s="400"/>
      <c r="EF118" s="1112"/>
      <c r="EG118" s="1112"/>
      <c r="EH118" s="1112"/>
      <c r="EI118" s="1112"/>
      <c r="EJ118" s="1112"/>
      <c r="EK118" s="1112"/>
      <c r="EL118" s="1112"/>
      <c r="EM118" s="1112"/>
      <c r="EN118" s="1112"/>
      <c r="EO118" s="1112"/>
      <c r="EP118" s="1112"/>
      <c r="EQ118" s="1112"/>
      <c r="ER118" s="1112"/>
      <c r="ES118" s="1112"/>
      <c r="ET118" s="1112"/>
      <c r="EU118" s="1112"/>
      <c r="EV118" s="1112"/>
      <c r="EW118" s="1112"/>
      <c r="EX118" s="1113"/>
      <c r="EY118" s="2"/>
      <c r="EZ118" s="2"/>
      <c r="FA118" s="2"/>
      <c r="FB118" s="2"/>
      <c r="FC118" s="2"/>
      <c r="FD118" s="2"/>
      <c r="FE118" s="2"/>
      <c r="FF118" s="2"/>
      <c r="FG118" s="2"/>
      <c r="FH118" s="2"/>
      <c r="FI118" s="2"/>
      <c r="FJ118" s="399"/>
      <c r="FK118" s="400"/>
      <c r="FL118" s="401"/>
      <c r="FM118" s="969"/>
    </row>
    <row r="119" spans="1:169" s="13" customFormat="1" ht="12.75" customHeight="1">
      <c r="A119" s="221"/>
      <c r="B119" s="402" t="s">
        <v>903</v>
      </c>
      <c r="C119" s="403"/>
      <c r="D119" s="646"/>
      <c r="E119" s="404"/>
      <c r="F119" s="405"/>
      <c r="G119" s="405"/>
      <c r="H119" s="405"/>
      <c r="I119" s="637" cm="1">
        <f t="array" ref="I119">IF($CI119=0,0,IFERROR(INDEX(MHR[],$CI119,MATCH($CA119,MHR!$B$4:$AY$4,0)),0))</f>
        <v>0</v>
      </c>
      <c r="J119" s="634">
        <f>IF(COUNTBLANK($E119:$H119),0,IFERROR($F119/$H119/IF($G119="s",3600,IF($G119="min",60,IF($G119="h",1,0)))*I119,0))</f>
        <v>0</v>
      </c>
      <c r="K119" s="406"/>
      <c r="L119" s="407"/>
      <c r="M119" s="871"/>
      <c r="N119" s="407"/>
      <c r="O119" s="405"/>
      <c r="P119" s="645" cm="1">
        <f t="array" ref="P119">IF($K119=0,0,IFERROR(ROUNDUP(IF(ISNUMBER($K119),$K119,INDEX($D$1:$D119,$CD119)*INDEX(Premises!$A$13:$F$13,1,$CH119)/IF(OR($K119="T",$K119="D"),250,IF($K119="W",50,IF($K119="M",12,IF(OR($K119="HJ",$K119="HY"),2,IF(OR($K119="J",$K119="Y"),1,0)))))),0),0))</f>
        <v>0</v>
      </c>
      <c r="Q119" s="637" cm="1">
        <f t="array" ref="Q119">IF($K119=0,0,IFERROR(INDEX(Premises!$A$22:$F$22,1,$CH119)*100/INDEX(Premises!$A$16:$F$16,1,$CH119),0))</f>
        <v>0</v>
      </c>
      <c r="R119" s="634">
        <f>IF($P119=0,0,IFERROR(($L119/60*($I119+$Q119*$M119)+($N119/60*($Q119*$O119)))/$P119,0))</f>
        <v>0</v>
      </c>
      <c r="S119" s="408"/>
      <c r="T119" s="409"/>
      <c r="U119" s="637" cm="1">
        <f t="array" ref="U119">IF(COUNTBLANK($S119:$T119),0,
IF(AND(INDEX(MHR[Schichtmodell],$CI119)&lt;&gt;0,INDEX(MHR[Schichtmodell],$CI119)&lt;&gt;INDEX(Premises!$A$20:$F$20,1,$CH119)),ExchangeRate*
IF(OR($T119="M",$T119="U"),IF(INDEX(MHR[Schichtmodell],$CI119)=1,INDEX(LOC[M1S],INDEX(Premises!$A$18:$F$18,1,$CH119+1)),IF(INDEX(MHR[Schichtmodell],$CI119)=2,INDEX(LOC[M2S],INDEX(Premises!$A$18:$F$18,1,$CH119+1),IF(INDEX(MHR[Schichtmodell],$CI119)=3,INDEX(LOC[M3S],INDEX(Premises!$A$18:$F$18,1,$CH119+1)),0)))),
IF(INDEX(MHR[Schichtmodell],$CI119)=1,INDEX(LOC[F1S],INDEX(Premises!$A$18:$F$18,1,$CH119+1)),IF(INDEX(MHR[Schichtmodell],$CI119)=2,INDEX(LOC[F2S],INDEX(Premises!$A$18:$F$18,1,$CH119+1)),IF(INDEX(MHR[Schichtmodell],$CI119)=3,INDEX(LOC[F3S],INDEX(Premises!$A$18:$F$18,1,$CH119+1)),0)))),
IF(OR($T119="M",$T119="U"),INDEX(Premises!$A$21:$F$21,1,$CH119),
IF(OR($T119="F",$T119="S"),INDEX(Premises!$A$22:$F$22,1,$CH119),0)))*100/INDEX(Premises!$A$16:$F$16,1,$CH119))</f>
        <v>0</v>
      </c>
      <c r="V119" s="631">
        <f>IF($U119=0,0,IFERROR($F119/$H119/IF($G119="s",3600,IF($G119="min",60,IF($G119="h",1,0)))*$S119*$U119,0))</f>
        <v>0</v>
      </c>
      <c r="W119" s="410"/>
      <c r="X119" s="403"/>
      <c r="Y119" s="411"/>
      <c r="Z119" s="412"/>
      <c r="AA119" s="628">
        <f>IFERROR($X119*$Z119/$Y119/MAX(1,$H119),0)</f>
        <v>0</v>
      </c>
      <c r="AB119" s="410"/>
      <c r="AC119" s="403"/>
      <c r="AD119" s="411"/>
      <c r="AE119" s="413"/>
      <c r="AF119" s="628">
        <f>IFERROR($AC119*$AE119/$AD119,0)</f>
        <v>0</v>
      </c>
      <c r="AG119" s="629" cm="1">
        <f t="array" ref="AG119">IF(($J119+$V119+$AF119)=0,0,INDEX(Premises!$A$30:$F$30,1,$CH119)/100)</f>
        <v>0</v>
      </c>
      <c r="AH119" s="414"/>
      <c r="AI119" s="415"/>
      <c r="AJ119" s="416"/>
      <c r="AK119" s="630">
        <f>IF(COUNTBLANK($AH119:$AI119),0,$AH119*$AI119*$AG119)</f>
        <v>0</v>
      </c>
      <c r="AL119" s="631">
        <f>($AK119+$AJ119*$AG119*(1-$AH119)+($J119+$V119+$AF119)*$AG119*(1-$AH119))</f>
        <v>0</v>
      </c>
      <c r="AM119" s="632" cm="1">
        <f t="array" ref="AM119">IF($CI119=0,0,IFERROR(INDEX(MHR[],$CI119,MATCH($CA119,MHR!$B$4:$AY$4,0)+11),0))</f>
        <v>0</v>
      </c>
      <c r="AN119" s="633" cm="1">
        <f t="array" ref="AN119">IF(($J119+$V119)=0,0,IFERROR(IF(INDEX(Premises!$A$41:$F$41,1,$CH119)&lt;&gt;0,INDEX(Premises!$A$41:$F$41,1,$CH119)/100,(IFERROR(($J119/$I119)*$AM119,0)/($V119+$J119+$R119+$AL119))),0))</f>
        <v>0</v>
      </c>
      <c r="AO119" s="634">
        <f>IF(($J119+$V119)=0,0,IF(IFERROR(($J119+$R119+$V119+$AL119)*$AN119,0)&lt;&gt;IFERROR(($J119/$I119)*$AM119,0),($J119+$R119+$V119+$AL119)*$AN119,IFERROR(($J119/$I119)*$AM119,0)))</f>
        <v>0</v>
      </c>
      <c r="AP119" s="635">
        <f>$V119+$J119+$R119+$AA119+$AF119+$AL119+$AO119</f>
        <v>0</v>
      </c>
      <c r="AQ119" s="410" t="str">
        <f>VLOOKUP($B118,BOM,5,0)</f>
        <v>PE-LD Folienqualitäten</v>
      </c>
      <c r="AR119" s="409">
        <f>VLOOKUP($B118,BOM,7,0)</f>
        <v>1.2E-4</v>
      </c>
      <c r="AS119" s="636" t="str" cm="1">
        <f t="array" ref="AS119">IF($CJ119=0,0,IFERROR(INDEX(MAT[Einheit],$CJ119,1),0))</f>
        <v>kg</v>
      </c>
      <c r="AT119" s="637" cm="1">
        <f t="array" ref="AT119">IF($CJ119=0,0,IFERROR(INDEX(MAT[Preis],$CJ119,1),0))</f>
        <v>1.58</v>
      </c>
      <c r="AU119" s="638">
        <f>$AR119*$AT119</f>
        <v>1.896E-4</v>
      </c>
      <c r="AV119" s="639" cm="1">
        <f t="array" ref="AV119">IF($AU119&lt;=0,0,INDEX(Premises!$A$30:$F$30,1,$CH119)/100)</f>
        <v>0.01</v>
      </c>
      <c r="AW119" s="409"/>
      <c r="AX119" s="631">
        <f>IF($AV119=0,0,($AU119+$AW119)*$AV119)</f>
        <v>1.8960000000000001E-6</v>
      </c>
      <c r="AY119" s="640" cm="1">
        <f t="array" ref="AY119">IF($AT119&lt;=0,0,IFERROR(IF(INDEX(Premises!$A$42:$F$42,1,$CH119)&lt;&gt;0,INDEX(Premises!$A$42:$F$42,1,$CH119)/100,(INDEX(MAT[],$CJ119,MATCH($CA119,MAT!$B$4:$AE$4,0))/($AR119*$CK119*INDEX(Premises!$A$13:$F$13,1,$CH119))+INDEX(MAT[],$CJ119,MATCH($CA119,MAT!$B$4:$AE$4,0)+7))/$AT119),0))</f>
        <v>29.21887328705072</v>
      </c>
      <c r="AZ119" s="631">
        <f>IF($AY119=0,0,($AU119+$AX119)*$AY119)</f>
        <v>5.595297358977065E-3</v>
      </c>
      <c r="BA119" s="635">
        <f>$AU119+$AX119+$AZ119</f>
        <v>5.7867933589770652E-3</v>
      </c>
      <c r="BB119" s="635">
        <f>$AP119+$BA119</f>
        <v>5.7867933589770652E-3</v>
      </c>
      <c r="BC119" s="639" cm="1">
        <f t="array" ref="BC119">IF($BB119&lt;=0,0,IF(BC$2=-1,0,INDEX(Premises!$A$32:$F$32,1,$CH119)/100))</f>
        <v>0</v>
      </c>
      <c r="BD119" s="631">
        <f>IF($AP119&lt;=0,0,($AP119-$AA119-$AL119)*$BC119)</f>
        <v>0</v>
      </c>
      <c r="BE119" s="639" cm="1">
        <f t="array" ref="BE119">IF($BB119&lt;=0,0,IF(BE$2=-1,0,INDEX(Premises!$A$33:$F$33,1,$CH119)/100))</f>
        <v>0</v>
      </c>
      <c r="BF119" s="631">
        <f>IF($BA119&lt;=0,0,$BA119*$BE119)</f>
        <v>0</v>
      </c>
      <c r="BG119" s="639" cm="1">
        <f t="array" ref="BG119">IF($BB119&lt;=0,0,IF(BG$2=-1,0,INDEX(Premises!$A$31:$F$31,1,$CH119)/100))</f>
        <v>0.125</v>
      </c>
      <c r="BH119" s="631">
        <f>(($AP119-$AA119-$AL119)+$BA119)*$BG119</f>
        <v>7.2334916987213315E-4</v>
      </c>
      <c r="BI119" s="635">
        <f>$BB119+$BD119+$BF119+$BH119</f>
        <v>6.5101425288491988E-3</v>
      </c>
      <c r="BJ119" s="639" cm="1">
        <f t="array" ref="BJ119">IF($BB119&lt;=0,0,IF(BJ$2=-1,0,INDEX(Premises!$A$35:$F$35,1,$CH119)/100))</f>
        <v>0</v>
      </c>
      <c r="BK119" s="631">
        <f>IF($AP119&lt;=0,0,($AP119-$AL119-$AA119)*$BJ119)</f>
        <v>0</v>
      </c>
      <c r="BL119" s="639" cm="1">
        <f t="array" ref="BL119">IF($BB119&lt;=0,0,IF(BL$2=-1,0,INDEX(Premises!$A$36:$F$36,1,$CH119)/100))</f>
        <v>0</v>
      </c>
      <c r="BM119" s="631">
        <f>IF($AU119&lt;=0,0,($AR119*$AT119)*$BL119)</f>
        <v>0</v>
      </c>
      <c r="BN119" s="639" cm="1">
        <f t="array" ref="BN119">IF($BB119&lt;=0,0,IF(BN$2=-1,0,INDEX(Premises!$A$34:$F$34,1,$CH119)/100))</f>
        <v>0.06</v>
      </c>
      <c r="BO119" s="631">
        <f>(($AP119-$AL119-$AA119)+($AR119*$AT119))*$BN119</f>
        <v>1.1375999999999999E-5</v>
      </c>
      <c r="BP119" s="639" cm="1">
        <f t="array" ref="BP119">IF($BI119=0,0,INDEX(Premises!$A$37:$F$37,1,$CH119)/100)</f>
        <v>0</v>
      </c>
      <c r="BQ119" s="409"/>
      <c r="BR119" s="631">
        <f>($BI119+$BK119+$BM119+$BO119)*$BP119+$BQ119</f>
        <v>0</v>
      </c>
      <c r="BS119" s="641">
        <f>BI119+BK119+BM119+BO119+BR119</f>
        <v>6.5215185288491984E-3</v>
      </c>
      <c r="BT119" s="641">
        <f>IF($BS119=0,0,$CK119*$BS119)</f>
        <v>6.5215185288491984E-3</v>
      </c>
      <c r="BU119" s="642">
        <f>IF($BT119=0,0,MAX(1,$EB119/$DP119))</f>
        <v>1</v>
      </c>
      <c r="BV119" s="417"/>
      <c r="BW119" s="418"/>
      <c r="BX119" s="418"/>
      <c r="BY119" s="419"/>
      <c r="BZ119" s="968"/>
      <c r="CA119" s="280" cm="1">
        <f t="array" ref="CA119">IF($BZ119&gt;0,VALUE(LEFT($BZ119,IF(ISERROR(FIND("-",$BZ119)),LEN($BZ119),FIND("-",$BZ119)-1))),INDEX($CA$1:$CA119,MAX(1,$CD119)))</f>
        <v>1</v>
      </c>
      <c r="CB119" s="280" cm="1">
        <f t="array" ref="CB119">IF($BT119=0,0,IF(LEN($BZ119)-LEN(SUBSTITUTE($BZ119,"-",""))&gt;1,
VALUE(MID($BZ119,FIND("-",$BZ119)+1,FIND("-",$BZ119,FIND("-",$BZ119)+1)-FIND("-",$BZ119)-1)),IF($BZ119&gt;0,0,INDEX($CB$1:$CB119,MAX(1,$CD119)))))</f>
        <v>0</v>
      </c>
      <c r="CC119" s="280" cm="1">
        <f t="array" ref="CC119">IF($BT119=0,0,IF(NOT(ISERROR(FIND("-",BZ119))),
VALUE(RIGHT($BZ119,LEN($BZ119)-IF(LEN($BZ119)-LEN(SUBSTITUTE($BZ119,"-",""))=1,FIND("-",$BZ119),FIND("-",$BZ119,FIND("-",$BZ119)+1)))),
IF($BZ119&gt;0,0,INDEX($CC$1:$CC119,MAX(1,$CD119)))))</f>
        <v>0</v>
      </c>
      <c r="CD119" s="393">
        <f>MATCH(0,$CE$1:$CE119,-1)</f>
        <v>118</v>
      </c>
      <c r="CE119" s="280"/>
      <c r="CF119" s="394"/>
      <c r="CG119" s="393" cm="1">
        <f t="array" ref="CG119">INDEX($CG$1:$CG119,$CD119)</f>
        <v>13</v>
      </c>
      <c r="CH119" s="280">
        <f>MATCH($CA119,Premises!$A$10:$F$10,0)</f>
        <v>4</v>
      </c>
      <c r="CI119" s="280">
        <f>IF(ISBLANK($E119),0,IFERROR(MATCH($E119,MHR[Bezeichnung],0),0))</f>
        <v>0</v>
      </c>
      <c r="CJ119" s="394">
        <f>IF(ISBLANK($AQ119),0,IFERROR(MATCH($AQ119,MAT[Bezeichnung],0),0))</f>
        <v>10</v>
      </c>
      <c r="CK119" s="280" cm="1">
        <f t="array" ref="CK119">INDEX($D$1:$D119,$CD119)</f>
        <v>1</v>
      </c>
      <c r="CL119" s="280"/>
      <c r="CM119" s="395"/>
      <c r="CN119" s="396" cm="1">
        <f t="array" ref="CN119">IF($CB119=0,0,IF($CB119=INDEX($CB$1:$CB119,$CD119),INDEX($CN$1:$CN119,$CD119),$CP119))</f>
        <v>0</v>
      </c>
      <c r="CO119" s="395"/>
      <c r="CP119" s="396" cm="1">
        <f t="array" ref="CP119">IF($CC119=0,0,INDEX($CP$1:$CP119,$CD119))</f>
        <v>0</v>
      </c>
      <c r="CQ119" s="397"/>
      <c r="CR119" s="398"/>
      <c r="CS119" s="398"/>
      <c r="CT119" s="970"/>
      <c r="CU119" s="2"/>
      <c r="CV119" s="647">
        <f>$J119*$CK119</f>
        <v>0</v>
      </c>
      <c r="CW119" s="648">
        <f>$R119*$CK119</f>
        <v>0</v>
      </c>
      <c r="CX119" s="648">
        <f>$V119*$CK119</f>
        <v>0</v>
      </c>
      <c r="CY119" s="648">
        <f>$AA119*$CK119</f>
        <v>0</v>
      </c>
      <c r="CZ119" s="648">
        <f>$AF119*$CK119</f>
        <v>0</v>
      </c>
      <c r="DA119" s="648">
        <f>$AL119*$CK119</f>
        <v>0</v>
      </c>
      <c r="DB119" s="648">
        <f>$AO119*$CK119</f>
        <v>0</v>
      </c>
      <c r="DC119" s="649">
        <f>$AP119*$CK119</f>
        <v>0</v>
      </c>
      <c r="DD119" s="648">
        <f>$AU119*$CK119</f>
        <v>1.896E-4</v>
      </c>
      <c r="DE119" s="648">
        <f>$AX119*$CK119</f>
        <v>1.8960000000000001E-6</v>
      </c>
      <c r="DF119" s="648">
        <f>$AZ119*$CK119</f>
        <v>5.595297358977065E-3</v>
      </c>
      <c r="DG119" s="649">
        <f>$BA119*$CK119</f>
        <v>5.7867933589770652E-3</v>
      </c>
      <c r="DH119" s="649">
        <f>$BB119*$CK119</f>
        <v>5.7867933589770652E-3</v>
      </c>
      <c r="DI119" s="648">
        <f>$BD119*$CK119</f>
        <v>0</v>
      </c>
      <c r="DJ119" s="648">
        <f>$BF119*$CK119</f>
        <v>0</v>
      </c>
      <c r="DK119" s="648">
        <f>$BH119*$CK119</f>
        <v>7.2334916987213315E-4</v>
      </c>
      <c r="DL119" s="648">
        <f>$BK119*$CK119</f>
        <v>0</v>
      </c>
      <c r="DM119" s="648">
        <f>$BM119*$CK119</f>
        <v>0</v>
      </c>
      <c r="DN119" s="648">
        <f>$BO119*$CK119</f>
        <v>1.1375999999999999E-5</v>
      </c>
      <c r="DO119" s="648">
        <f>$BR119*$CK119</f>
        <v>0</v>
      </c>
      <c r="DP119" s="651">
        <f>$CK119*($BB119+$BD119+$BF119+$BH119+$BK119+$BM119+$BO119+$BR119)</f>
        <v>6.5215185288491984E-3</v>
      </c>
      <c r="DQ119" s="951">
        <f>IF($CB119=0,0,$DP119*_xlfn.XLOOKUP($CB119,Premises!$A$10:$F$10,Premises!$A$30:$F$30)/100)</f>
        <v>0</v>
      </c>
      <c r="DR119" s="650">
        <f>IFERROR(SUM($DP119:$DQ119)*IF(INDEX(Premises!$A$42:$F$42,1,MATCH($CB119,Premises!$A$10:$F$10,0))&gt;0,INDEX(Premises!$A$42:$F$42,1,MATCH($CB119,Premises!$A$10:$F$10,0))%,$CN119),0)</f>
        <v>0</v>
      </c>
      <c r="DS119" s="650" cm="1">
        <f t="array" ref="DS119">IF($CB119=0,0,SUM($DP119:$DR119)*_xlfn.XLOOKUP($CB119,Premises!$A$10:$F$10,IF(INDEX(Settings[],MATCH(3001,Settings[ID],0),2)="B",Premises!$A$33:$F$33,Premises!$A$31:$F$31))/100)</f>
        <v>0</v>
      </c>
      <c r="DT119" s="650" cm="1">
        <f t="array" ref="DT119">IF($CB119=0,0,$DP119*_xlfn.XLOOKUP($CB119,Premises!$A$10:$F$10,IF(INDEX(Settings[],MATCH(3002,Settings[ID],0),2)="B",Premises!$A$36:$F$36,Premises!$A$34:$F$34))/100)</f>
        <v>0</v>
      </c>
      <c r="DU119" s="650">
        <f>IF($CB119=0,0,SUM($DP119:$DT119)*_xlfn.XLOOKUP($CB119,Premises!$A$10:$F$10,Premises!$A$37:$F$37)/100)</f>
        <v>0</v>
      </c>
      <c r="DV119" s="954">
        <f>SUM($DP119:$DU119)</f>
        <v>6.5215185288491984E-3</v>
      </c>
      <c r="DW119" s="951">
        <f>IF($CC119=0,0,$DV119*_xlfn.XLOOKUP($CC119,Premises!$A$10:$F$10,Premises!$A$30:$F$30)/100)</f>
        <v>0</v>
      </c>
      <c r="DX119" s="650">
        <f>IFERROR(SUM($DV119:$DW119)*IF(INDEX(Premises!$A$42:$F$42,1,MATCH($CC119,Premises!$A$10:$F$10,0))&gt;0,INDEX(Premises!$A$42:$F$42,1,MATCH($CC119,Premises!$A$10:$F$10,0))%,$CP119),0)</f>
        <v>0</v>
      </c>
      <c r="DY119" s="650" cm="1">
        <f t="array" ref="DY119">IF($CC119=0,0,SUM($DV119:$DX119)*_xlfn.XLOOKUP($CC119,Premises!$A$10:$F$10,IF(INDEX(Settings[],MATCH(3001,Settings[ID],0),2)="B",Premises!$A$33:$F$33,Premises!$A$31:$F$31))/100)</f>
        <v>0</v>
      </c>
      <c r="DZ119" s="650" cm="1">
        <f t="array" ref="DZ119">IF($CC119=0,0,$DV119*_xlfn.XLOOKUP($CC119,Premises!$A$10:$F$10,IF(INDEX(Settings[],MATCH(3002,Settings[ID],0),2)="B",Premises!$A$36:$F$36,Premises!$A$34:$F$34))/100)</f>
        <v>0</v>
      </c>
      <c r="EA119" s="650">
        <f>IF($CC119=0,0,SUM($DV119:$DZ119)*_xlfn.XLOOKUP($CC119,Premises!$A$10:$F$10,Premises!$A$37:$F$37)/100)</f>
        <v>0</v>
      </c>
      <c r="EB119" s="651">
        <f>SUM($DV119:$EA119)</f>
        <v>6.5215185288491984E-3</v>
      </c>
      <c r="EC119" s="805"/>
      <c r="ED119" s="1104"/>
      <c r="EE119" s="650"/>
      <c r="EF119" s="1110"/>
      <c r="EG119" s="1108"/>
      <c r="EH119" s="1108"/>
      <c r="EI119" s="1108"/>
      <c r="EJ119" s="1108"/>
      <c r="EK119" s="1108"/>
      <c r="EL119" s="1108"/>
      <c r="EM119" s="1110"/>
      <c r="EN119" s="1108"/>
      <c r="EO119" s="1108"/>
      <c r="EP119" s="1108"/>
      <c r="EQ119" s="1108"/>
      <c r="ER119" s="1110"/>
      <c r="ES119" s="1108"/>
      <c r="ET119" s="1108"/>
      <c r="EU119" s="1108"/>
      <c r="EV119" s="1108"/>
      <c r="EW119" s="1108"/>
      <c r="EX119" s="1111"/>
      <c r="EY119" s="2"/>
      <c r="EZ119" s="2"/>
      <c r="FA119" s="2"/>
      <c r="FB119" s="2"/>
      <c r="FC119" s="2"/>
      <c r="FD119" s="2"/>
      <c r="FE119" s="2"/>
      <c r="FF119" s="2"/>
      <c r="FG119" s="2"/>
      <c r="FH119" s="2"/>
      <c r="FI119" s="2"/>
      <c r="FJ119" s="420"/>
      <c r="FK119" s="421"/>
      <c r="FL119" s="422"/>
      <c r="FM119" s="970"/>
    </row>
    <row r="120" spans="1:169" s="13" customFormat="1" ht="12.75" customHeight="1">
      <c r="A120" s="221"/>
      <c r="B120" s="402"/>
      <c r="C120" s="403"/>
      <c r="D120" s="646"/>
      <c r="E120" s="404"/>
      <c r="F120" s="405"/>
      <c r="G120" s="405"/>
      <c r="H120" s="405"/>
      <c r="I120" s="637" cm="1">
        <f t="array" ref="I120">IF($CI120=0,0,IFERROR(INDEX(MHR[],$CI120,MATCH($CA120,MHR!$B$4:$AY$4,0)),0))</f>
        <v>0</v>
      </c>
      <c r="J120" s="634">
        <f>IF(COUNTBLANK($E120:$H120),0,IFERROR($F120/$H120/IF($G120="s",3600,IF($G120="min",60,IF($G120="h",1,0)))*I120,0))</f>
        <v>0</v>
      </c>
      <c r="K120" s="406"/>
      <c r="L120" s="407"/>
      <c r="M120" s="871"/>
      <c r="N120" s="407"/>
      <c r="O120" s="405"/>
      <c r="P120" s="645" cm="1">
        <f t="array" ref="P120">IF($K120=0,0,IFERROR(ROUNDUP(IF(ISNUMBER($K120),$K120,INDEX($D$1:$D120,$CD120)*INDEX(Premises!$A$13:$F$13,1,$CH120)/IF(OR($K120="T",$K120="D"),250,IF($K120="W",50,IF($K120="M",12,IF(OR($K120="HJ",$K120="HY"),2,IF(OR($K120="J",$K120="Y"),1,0)))))),0),0))</f>
        <v>0</v>
      </c>
      <c r="Q120" s="637" cm="1">
        <f t="array" ref="Q120">IF($K120=0,0,IFERROR(INDEX(Premises!$A$22:$F$22,1,$CH120)*100/INDEX(Premises!$A$16:$F$16,1,$CH120),0))</f>
        <v>0</v>
      </c>
      <c r="R120" s="634">
        <f>IF($P120=0,0,IFERROR(($L120/60*($I120+$Q120*$M120)+($N120/60*($Q120*$O120)))/$P120,0))</f>
        <v>0</v>
      </c>
      <c r="S120" s="408"/>
      <c r="T120" s="409"/>
      <c r="U120" s="637" cm="1">
        <f t="array" ref="U120">IF(COUNTBLANK($S120:$T120),0,
IF(AND(INDEX(MHR[Schichtmodell],$CI120)&lt;&gt;0,INDEX(MHR[Schichtmodell],$CI120)&lt;&gt;INDEX(Premises!$A$20:$F$20,1,$CH120)),ExchangeRate*
IF(OR($T120="M",$T120="U"),IF(INDEX(MHR[Schichtmodell],$CI120)=1,INDEX(LOC[M1S],INDEX(Premises!$A$18:$F$18,1,$CH120+1)),IF(INDEX(MHR[Schichtmodell],$CI120)=2,INDEX(LOC[M2S],INDEX(Premises!$A$18:$F$18,1,$CH120+1),IF(INDEX(MHR[Schichtmodell],$CI120)=3,INDEX(LOC[M3S],INDEX(Premises!$A$18:$F$18,1,$CH120+1)),0)))),
IF(INDEX(MHR[Schichtmodell],$CI120)=1,INDEX(LOC[F1S],INDEX(Premises!$A$18:$F$18,1,$CH120+1)),IF(INDEX(MHR[Schichtmodell],$CI120)=2,INDEX(LOC[F2S],INDEX(Premises!$A$18:$F$18,1,$CH120+1)),IF(INDEX(MHR[Schichtmodell],$CI120)=3,INDEX(LOC[F3S],INDEX(Premises!$A$18:$F$18,1,$CH120+1)),0)))),
IF(OR($T120="M",$T120="U"),INDEX(Premises!$A$21:$F$21,1,$CH120),
IF(OR($T120="F",$T120="S"),INDEX(Premises!$A$22:$F$22,1,$CH120),0)))*100/INDEX(Premises!$A$16:$F$16,1,$CH120))</f>
        <v>0</v>
      </c>
      <c r="V120" s="631">
        <f>IF($U120=0,0,IFERROR($F120/$H120/IF($G120="s",3600,IF($G120="min",60,IF($G120="h",1,0)))*$S120*$U120,0))</f>
        <v>0</v>
      </c>
      <c r="W120" s="410"/>
      <c r="X120" s="403"/>
      <c r="Y120" s="411"/>
      <c r="Z120" s="412"/>
      <c r="AA120" s="628">
        <f>IFERROR($X120*$Z120/$Y120/MAX(1,$H120),0)</f>
        <v>0</v>
      </c>
      <c r="AB120" s="410"/>
      <c r="AC120" s="403"/>
      <c r="AD120" s="411"/>
      <c r="AE120" s="413"/>
      <c r="AF120" s="628">
        <f>IFERROR($AC120*$AE120/$AD120,0)</f>
        <v>0</v>
      </c>
      <c r="AG120" s="629" cm="1">
        <f t="array" ref="AG120">IF(($J120+$V120+$AF120)=0,0,INDEX(Premises!$A$30:$F$30,1,$CH120)/100)</f>
        <v>0</v>
      </c>
      <c r="AH120" s="414"/>
      <c r="AI120" s="415"/>
      <c r="AJ120" s="416"/>
      <c r="AK120" s="630">
        <f>IF(COUNTBLANK($AH120:$AI120),0,$AH120*$AI120*$AG120)</f>
        <v>0</v>
      </c>
      <c r="AL120" s="631">
        <f>($AK120+$AJ120*$AG120*(1-$AH120)+($J120+$V120+$AF120)*$AG120*(1-$AH120))</f>
        <v>0</v>
      </c>
      <c r="AM120" s="632" cm="1">
        <f t="array" ref="AM120">IF($CI120=0,0,IFERROR(INDEX(MHR[],$CI120,MATCH($CA120,MHR!$B$4:$AY$4,0)+11),0))</f>
        <v>0</v>
      </c>
      <c r="AN120" s="633" cm="1">
        <f t="array" ref="AN120">IF(($J120+$V120)=0,0,IFERROR(IF(INDEX(Premises!$A$41:$F$41,1,$CH120)&lt;&gt;0,INDEX(Premises!$A$41:$F$41,1,$CH120)/100,(IFERROR(($J120/$I120)*$AM120,0)/($V120+$J120+$R120+$AL120))),0))</f>
        <v>0</v>
      </c>
      <c r="AO120" s="634">
        <f>IF(($J120+$V120)=0,0,IF(IFERROR(($J120+$R120+$V120+$AL120)*$AN120,0)&lt;&gt;IFERROR(($J120/$I120)*$AM120,0),($J120+$R120+$V120+$AL120)*$AN120,IFERROR(($J120/$I120)*$AM120,0)))</f>
        <v>0</v>
      </c>
      <c r="AP120" s="635">
        <f>$V120+$J120+$R120+$AA120+$AF120+$AL120+$AO120</f>
        <v>0</v>
      </c>
      <c r="AQ120" s="410"/>
      <c r="AR120" s="409"/>
      <c r="AS120" s="636" cm="1">
        <f t="array" ref="AS120">IF($CJ120=0,0,IFERROR(INDEX(MAT[Einheit],$CJ120,1),0))</f>
        <v>0</v>
      </c>
      <c r="AT120" s="637" cm="1">
        <f t="array" ref="AT120">IF($CJ120=0,0,IFERROR(INDEX(MAT[Preis],$CJ120,1),0))</f>
        <v>0</v>
      </c>
      <c r="AU120" s="638">
        <f>$AR120*$AT120</f>
        <v>0</v>
      </c>
      <c r="AV120" s="639" cm="1">
        <f t="array" ref="AV120">IF($AU120&lt;=0,0,INDEX(Premises!$A$30:$F$30,1,$CH120)/100)</f>
        <v>0</v>
      </c>
      <c r="AW120" s="409"/>
      <c r="AX120" s="631">
        <f>IF($AV120=0,0,($AU120+$AW120)*$AV120)</f>
        <v>0</v>
      </c>
      <c r="AY120" s="640" cm="1">
        <f t="array" ref="AY120">IF($AT120&lt;=0,0,IFERROR(IF(INDEX(Premises!$A$42:$F$42,1,$CH120)&lt;&gt;0,INDEX(Premises!$A$42:$F$42,1,$CH120)/100,(INDEX(MAT[],$CJ120,MATCH($CA120,MAT!$B$4:$AE$4,0))/($AR120*$CK120*INDEX(Premises!$A$13:$F$13,1,$CH120))+INDEX(MAT[],$CJ120,MATCH($CA120,MAT!$B$4:$AE$4,0)+7))/$AT120),0))</f>
        <v>0</v>
      </c>
      <c r="AZ120" s="631">
        <f>IF($AY120=0,0,($AU120+$AX120)*$AY120)</f>
        <v>0</v>
      </c>
      <c r="BA120" s="635">
        <f>$AU120+$AX120+$AZ120</f>
        <v>0</v>
      </c>
      <c r="BB120" s="635">
        <f>$AP120+$BA120</f>
        <v>0</v>
      </c>
      <c r="BC120" s="639" cm="1">
        <f t="array" ref="BC120">IF($BB120&lt;=0,0,IF(BC$2=-1,0,INDEX(Premises!$A$32:$F$32,1,$CH120)/100))</f>
        <v>0</v>
      </c>
      <c r="BD120" s="631">
        <f>IF($AP120&lt;=0,0,($AP120-$AA120-$AL120)*$BC120)</f>
        <v>0</v>
      </c>
      <c r="BE120" s="639" cm="1">
        <f t="array" ref="BE120">IF($BB120&lt;=0,0,IF(BE$2=-1,0,INDEX(Premises!$A$33:$F$33,1,$CH120)/100))</f>
        <v>0</v>
      </c>
      <c r="BF120" s="631">
        <f>IF($BA120&lt;=0,0,$BA120*$BE120)</f>
        <v>0</v>
      </c>
      <c r="BG120" s="639" cm="1">
        <f t="array" ref="BG120">IF($BB120&lt;=0,0,IF(BG$2=-1,0,INDEX(Premises!$A$31:$F$31,1,$CH120)/100))</f>
        <v>0</v>
      </c>
      <c r="BH120" s="631">
        <f>(($AP120-$AA120-$AL120)+$BA120)*$BG120</f>
        <v>0</v>
      </c>
      <c r="BI120" s="635">
        <f>$BB120+$BD120+$BF120+$BH120</f>
        <v>0</v>
      </c>
      <c r="BJ120" s="639" cm="1">
        <f t="array" ref="BJ120">IF($BB120&lt;=0,0,IF(BJ$2=-1,0,INDEX(Premises!$A$35:$F$35,1,$CH120)/100))</f>
        <v>0</v>
      </c>
      <c r="BK120" s="631">
        <f>IF($AP120&lt;=0,0,($AP120-$AL120-$AA120)*$BJ120)</f>
        <v>0</v>
      </c>
      <c r="BL120" s="639" cm="1">
        <f t="array" ref="BL120">IF($BB120&lt;=0,0,IF(BL$2=-1,0,INDEX(Premises!$A$36:$F$36,1,$CH120)/100))</f>
        <v>0</v>
      </c>
      <c r="BM120" s="631">
        <f>IF($AU120&lt;=0,0,($AR120*$AT120)*$BL120)</f>
        <v>0</v>
      </c>
      <c r="BN120" s="639" cm="1">
        <f t="array" ref="BN120">IF($BB120&lt;=0,0,IF(BN$2=-1,0,INDEX(Premises!$A$34:$F$34,1,$CH120)/100))</f>
        <v>0</v>
      </c>
      <c r="BO120" s="631">
        <f>(($AP120-$AL120-$AA120)+($AR120*$AT120))*$BN120</f>
        <v>0</v>
      </c>
      <c r="BP120" s="639" cm="1">
        <f t="array" ref="BP120">IF($BI120=0,0,INDEX(Premises!$A$37:$F$37,1,$CH120)/100)</f>
        <v>0</v>
      </c>
      <c r="BQ120" s="409"/>
      <c r="BR120" s="631">
        <f>($BI120+$BK120+$BM120+$BO120)*$BP120+$BQ120</f>
        <v>0</v>
      </c>
      <c r="BS120" s="641">
        <f>BI120+BK120+BM120+BO120+BR120</f>
        <v>0</v>
      </c>
      <c r="BT120" s="641">
        <f>IF($BS120=0,0,$CK120*$BS120)</f>
        <v>0</v>
      </c>
      <c r="BU120" s="642">
        <f>IF($BT120=0,0,MAX(1,$EB120/$DP120))</f>
        <v>0</v>
      </c>
      <c r="BV120" s="417"/>
      <c r="BW120" s="418"/>
      <c r="BX120" s="418"/>
      <c r="BY120" s="419"/>
      <c r="BZ120" s="968"/>
      <c r="CA120" s="280" cm="1">
        <f t="array" ref="CA120">IF($BZ120&gt;0,VALUE(LEFT($BZ120,IF(ISERROR(FIND("-",$BZ120)),LEN($BZ120),FIND("-",$BZ120)-1))),INDEX($CA$1:$CA120,MAX(1,$CD120)))</f>
        <v>1</v>
      </c>
      <c r="CB120" s="280" cm="1">
        <f t="array" ref="CB120">IF($BT120=0,0,IF(LEN($BZ120)-LEN(SUBSTITUTE($BZ120,"-",""))&gt;1,
VALUE(MID($BZ120,FIND("-",$BZ120)+1,FIND("-",$BZ120,FIND("-",$BZ120)+1)-FIND("-",$BZ120)-1)),IF($BZ120&gt;0,0,INDEX($CB$1:$CB120,MAX(1,$CD120)))))</f>
        <v>0</v>
      </c>
      <c r="CC120" s="280" cm="1">
        <f t="array" ref="CC120">IF($BT120=0,0,IF(NOT(ISERROR(FIND("-",BZ120))),
VALUE(RIGHT($BZ120,LEN($BZ120)-IF(LEN($BZ120)-LEN(SUBSTITUTE($BZ120,"-",""))=1,FIND("-",$BZ120),FIND("-",$BZ120,FIND("-",$BZ120)+1)))),
IF($BZ120&gt;0,0,INDEX($CC$1:$CC120,MAX(1,$CD120)))))</f>
        <v>0</v>
      </c>
      <c r="CD120" s="393">
        <f>MATCH(0,$CE$1:$CE120,-1)</f>
        <v>118</v>
      </c>
      <c r="CE120" s="280"/>
      <c r="CF120" s="394"/>
      <c r="CG120" s="393" cm="1">
        <f t="array" ref="CG120">INDEX($CG$1:$CG120,$CD120)</f>
        <v>13</v>
      </c>
      <c r="CH120" s="280">
        <f>MATCH($CA120,Premises!$A$10:$F$10,0)</f>
        <v>4</v>
      </c>
      <c r="CI120" s="280">
        <f>IF(ISBLANK($E120),0,IFERROR(MATCH($E120,MHR[Bezeichnung],0),0))</f>
        <v>0</v>
      </c>
      <c r="CJ120" s="394">
        <f>IF(ISBLANK($AQ120),0,IFERROR(MATCH($AQ120,MAT[Bezeichnung],0),0))</f>
        <v>0</v>
      </c>
      <c r="CK120" s="280" cm="1">
        <f t="array" ref="CK120">INDEX($D$1:$D120,$CD120)</f>
        <v>1</v>
      </c>
      <c r="CL120" s="280"/>
      <c r="CM120" s="395"/>
      <c r="CN120" s="396" cm="1">
        <f t="array" ref="CN120">IF($CB120=0,0,IF($CB120=INDEX($CB$1:$CB120,$CD120),INDEX($CN$1:$CN120,$CD120),$CP120))</f>
        <v>0</v>
      </c>
      <c r="CO120" s="395"/>
      <c r="CP120" s="396" cm="1">
        <f t="array" ref="CP120">IF($CC120=0,0,INDEX($CP$1:$CP120,$CD120))</f>
        <v>0</v>
      </c>
      <c r="CQ120" s="397"/>
      <c r="CR120" s="398"/>
      <c r="CS120" s="398"/>
      <c r="CT120" s="970"/>
      <c r="CU120" s="2"/>
      <c r="CV120" s="647">
        <f>$J120*$CK120</f>
        <v>0</v>
      </c>
      <c r="CW120" s="648">
        <f>$R120*$CK120</f>
        <v>0</v>
      </c>
      <c r="CX120" s="648">
        <f>$V120*$CK120</f>
        <v>0</v>
      </c>
      <c r="CY120" s="648">
        <f>$AA120*$CK120</f>
        <v>0</v>
      </c>
      <c r="CZ120" s="648">
        <f>$AF120*$CK120</f>
        <v>0</v>
      </c>
      <c r="DA120" s="648">
        <f>$AL120*$CK120</f>
        <v>0</v>
      </c>
      <c r="DB120" s="648">
        <f>$AO120*$CK120</f>
        <v>0</v>
      </c>
      <c r="DC120" s="649">
        <f>$AP120*$CK120</f>
        <v>0</v>
      </c>
      <c r="DD120" s="648">
        <f>$AU120*$CK120</f>
        <v>0</v>
      </c>
      <c r="DE120" s="648">
        <f>$AX120*$CK120</f>
        <v>0</v>
      </c>
      <c r="DF120" s="648">
        <f>$AZ120*$CK120</f>
        <v>0</v>
      </c>
      <c r="DG120" s="649">
        <f>$BA120*$CK120</f>
        <v>0</v>
      </c>
      <c r="DH120" s="649">
        <f>$BB120*$CK120</f>
        <v>0</v>
      </c>
      <c r="DI120" s="648">
        <f>$BD120*$CK120</f>
        <v>0</v>
      </c>
      <c r="DJ120" s="648">
        <f>$BF120*$CK120</f>
        <v>0</v>
      </c>
      <c r="DK120" s="648">
        <f>$BH120*$CK120</f>
        <v>0</v>
      </c>
      <c r="DL120" s="648">
        <f>$BK120*$CK120</f>
        <v>0</v>
      </c>
      <c r="DM120" s="648">
        <f>$BM120*$CK120</f>
        <v>0</v>
      </c>
      <c r="DN120" s="648">
        <f>$BO120*$CK120</f>
        <v>0</v>
      </c>
      <c r="DO120" s="648">
        <f>$BR120*$CK120</f>
        <v>0</v>
      </c>
      <c r="DP120" s="651">
        <f>$CK120*($BB120+$BD120+$BF120+$BH120+$BK120+$BM120+$BO120+$BR120)</f>
        <v>0</v>
      </c>
      <c r="DQ120" s="951">
        <f>IF($CB120=0,0,$DP120*_xlfn.XLOOKUP($CB120,Premises!$A$10:$F$10,Premises!$A$30:$F$30)/100)</f>
        <v>0</v>
      </c>
      <c r="DR120" s="650">
        <f>IFERROR(SUM($DP120:$DQ120)*IF(INDEX(Premises!$A$42:$F$42,1,MATCH($CB120,Premises!$A$10:$F$10,0))&gt;0,INDEX(Premises!$A$42:$F$42,1,MATCH($CB120,Premises!$A$10:$F$10,0))%,$CN120),0)</f>
        <v>0</v>
      </c>
      <c r="DS120" s="650" cm="1">
        <f t="array" ref="DS120">IF($CB120=0,0,SUM($DP120:$DR120)*_xlfn.XLOOKUP($CB120,Premises!$A$10:$F$10,IF(INDEX(Settings[],MATCH(3001,Settings[ID],0),2)="B",Premises!$A$33:$F$33,Premises!$A$31:$F$31))/100)</f>
        <v>0</v>
      </c>
      <c r="DT120" s="650" cm="1">
        <f t="array" ref="DT120">IF($CB120=0,0,$DP120*_xlfn.XLOOKUP($CB120,Premises!$A$10:$F$10,IF(INDEX(Settings[],MATCH(3002,Settings[ID],0),2)="B",Premises!$A$36:$F$36,Premises!$A$34:$F$34))/100)</f>
        <v>0</v>
      </c>
      <c r="DU120" s="650">
        <f>IF($CB120=0,0,SUM($DP120:$DT120)*_xlfn.XLOOKUP($CB120,Premises!$A$10:$F$10,Premises!$A$37:$F$37)/100)</f>
        <v>0</v>
      </c>
      <c r="DV120" s="954">
        <f>SUM($DP120:$DU120)</f>
        <v>0</v>
      </c>
      <c r="DW120" s="951">
        <f>IF($CC120=0,0,$DV120*_xlfn.XLOOKUP($CC120,Premises!$A$10:$F$10,Premises!$A$30:$F$30)/100)</f>
        <v>0</v>
      </c>
      <c r="DX120" s="650">
        <f>IFERROR(SUM($DV120:$DW120)*IF(INDEX(Premises!$A$42:$F$42,1,MATCH($CC120,Premises!$A$10:$F$10,0))&gt;0,INDEX(Premises!$A$42:$F$42,1,MATCH($CC120,Premises!$A$10:$F$10,0))%,$CP120),0)</f>
        <v>0</v>
      </c>
      <c r="DY120" s="650" cm="1">
        <f t="array" ref="DY120">IF($CC120=0,0,SUM($DV120:$DX120)*_xlfn.XLOOKUP($CC120,Premises!$A$10:$F$10,IF(INDEX(Settings[],MATCH(3001,Settings[ID],0),2)="B",Premises!$A$33:$F$33,Premises!$A$31:$F$31))/100)</f>
        <v>0</v>
      </c>
      <c r="DZ120" s="650" cm="1">
        <f t="array" ref="DZ120">IF($CC120=0,0,$DV120*_xlfn.XLOOKUP($CC120,Premises!$A$10:$F$10,IF(INDEX(Settings[],MATCH(3002,Settings[ID],0),2)="B",Premises!$A$36:$F$36,Premises!$A$34:$F$34))/100)</f>
        <v>0</v>
      </c>
      <c r="EA120" s="650">
        <f>IF($CC120=0,0,SUM($DV120:$DZ120)*_xlfn.XLOOKUP($CC120,Premises!$A$10:$F$10,Premises!$A$37:$F$37)/100)</f>
        <v>0</v>
      </c>
      <c r="EB120" s="651">
        <f>SUM($DV120:$EA120)</f>
        <v>0</v>
      </c>
      <c r="EC120" s="805"/>
      <c r="ED120" s="1104"/>
      <c r="EE120" s="650"/>
      <c r="EF120" s="1110"/>
      <c r="EG120" s="1108"/>
      <c r="EH120" s="1108"/>
      <c r="EI120" s="1108"/>
      <c r="EJ120" s="1108"/>
      <c r="EK120" s="1108"/>
      <c r="EL120" s="1108"/>
      <c r="EM120" s="1110"/>
      <c r="EN120" s="1108"/>
      <c r="EO120" s="1108"/>
      <c r="EP120" s="1108"/>
      <c r="EQ120" s="1108"/>
      <c r="ER120" s="1110"/>
      <c r="ES120" s="1108"/>
      <c r="ET120" s="1108"/>
      <c r="EU120" s="1108"/>
      <c r="EV120" s="1108"/>
      <c r="EW120" s="1108"/>
      <c r="EX120" s="1111"/>
      <c r="EY120" s="2"/>
      <c r="EZ120" s="2"/>
      <c r="FA120" s="2"/>
      <c r="FB120" s="2"/>
      <c r="FC120" s="2"/>
      <c r="FD120" s="2"/>
      <c r="FE120" s="2"/>
      <c r="FF120" s="2"/>
      <c r="FG120" s="2"/>
      <c r="FH120" s="2"/>
      <c r="FI120" s="2"/>
      <c r="FJ120" s="420"/>
      <c r="FK120" s="421"/>
      <c r="FL120" s="422"/>
      <c r="FM120" s="970"/>
    </row>
    <row r="121" spans="1:169" s="13" customFormat="1" ht="12.75" customHeight="1">
      <c r="A121" s="221"/>
      <c r="B121" s="387" t="str">
        <f>BOM!$A$14</f>
        <v>01-01-03-07 Back Outer Metal Cover</v>
      </c>
      <c r="C121" s="388"/>
      <c r="D121" s="389" cm="1">
        <f t="array" ref="D121">IF($CG121=0,0,INDEX(BOM!$N:$N,$CG121))</f>
        <v>1</v>
      </c>
      <c r="E121" s="644" t="s">
        <v>664</v>
      </c>
      <c r="F121" s="644" t="s">
        <v>664</v>
      </c>
      <c r="G121" s="644" t="s">
        <v>664</v>
      </c>
      <c r="H121" s="644" t="s">
        <v>664</v>
      </c>
      <c r="I121" s="644" t="s">
        <v>664</v>
      </c>
      <c r="J121" s="644" t="s">
        <v>664</v>
      </c>
      <c r="K121" s="644" t="s">
        <v>664</v>
      </c>
      <c r="L121" s="644" t="s">
        <v>664</v>
      </c>
      <c r="M121" s="644" t="s">
        <v>664</v>
      </c>
      <c r="N121" s="644" t="s">
        <v>664</v>
      </c>
      <c r="O121" s="644" t="s">
        <v>664</v>
      </c>
      <c r="P121" s="644" t="s">
        <v>664</v>
      </c>
      <c r="Q121" s="644" t="s">
        <v>664</v>
      </c>
      <c r="R121" s="644" t="s">
        <v>664</v>
      </c>
      <c r="S121" s="644" t="s">
        <v>664</v>
      </c>
      <c r="T121" s="644" t="s">
        <v>664</v>
      </c>
      <c r="U121" s="644" t="s">
        <v>664</v>
      </c>
      <c r="V121" s="644" t="s">
        <v>664</v>
      </c>
      <c r="W121" s="644" t="s">
        <v>664</v>
      </c>
      <c r="X121" s="644" t="s">
        <v>664</v>
      </c>
      <c r="Y121" s="644" t="s">
        <v>664</v>
      </c>
      <c r="Z121" s="644" t="s">
        <v>664</v>
      </c>
      <c r="AA121" s="644" t="s">
        <v>664</v>
      </c>
      <c r="AB121" s="644" t="s">
        <v>664</v>
      </c>
      <c r="AC121" s="644" t="s">
        <v>664</v>
      </c>
      <c r="AD121" s="644" t="s">
        <v>664</v>
      </c>
      <c r="AE121" s="644" t="s">
        <v>664</v>
      </c>
      <c r="AF121" s="644" t="s">
        <v>664</v>
      </c>
      <c r="AG121" s="644" t="s">
        <v>664</v>
      </c>
      <c r="AH121" s="644" t="s">
        <v>664</v>
      </c>
      <c r="AI121" s="644" t="s">
        <v>664</v>
      </c>
      <c r="AJ121" s="644" t="s">
        <v>664</v>
      </c>
      <c r="AK121" s="644" t="s">
        <v>664</v>
      </c>
      <c r="AL121" s="644" t="s">
        <v>664</v>
      </c>
      <c r="AM121" s="644" t="s">
        <v>664</v>
      </c>
      <c r="AN121" s="644" t="s">
        <v>664</v>
      </c>
      <c r="AO121" s="644" t="s">
        <v>664</v>
      </c>
      <c r="AP121" s="644" t="s">
        <v>664</v>
      </c>
      <c r="AQ121" s="644" t="s">
        <v>664</v>
      </c>
      <c r="AR121" s="644" t="s">
        <v>664</v>
      </c>
      <c r="AS121" s="644" t="s">
        <v>664</v>
      </c>
      <c r="AT121" s="644" t="s">
        <v>664</v>
      </c>
      <c r="AU121" s="644" t="s">
        <v>664</v>
      </c>
      <c r="AV121" s="644" t="s">
        <v>664</v>
      </c>
      <c r="AW121" s="644" t="s">
        <v>664</v>
      </c>
      <c r="AX121" s="644" t="s">
        <v>664</v>
      </c>
      <c r="AY121" s="644" t="s">
        <v>664</v>
      </c>
      <c r="AZ121" s="644" t="s">
        <v>664</v>
      </c>
      <c r="BA121" s="644" t="s">
        <v>664</v>
      </c>
      <c r="BB121" s="644" t="s">
        <v>664</v>
      </c>
      <c r="BC121" s="644" t="s">
        <v>664</v>
      </c>
      <c r="BD121" s="644" t="s">
        <v>664</v>
      </c>
      <c r="BE121" s="644" t="s">
        <v>664</v>
      </c>
      <c r="BF121" s="644" t="s">
        <v>664</v>
      </c>
      <c r="BG121" s="644" t="s">
        <v>664</v>
      </c>
      <c r="BH121" s="644" t="s">
        <v>664</v>
      </c>
      <c r="BI121" s="644" t="s">
        <v>664</v>
      </c>
      <c r="BJ121" s="644" t="s">
        <v>664</v>
      </c>
      <c r="BK121" s="644" t="s">
        <v>664</v>
      </c>
      <c r="BL121" s="644" t="s">
        <v>664</v>
      </c>
      <c r="BM121" s="644" t="s">
        <v>664</v>
      </c>
      <c r="BN121" s="644" t="s">
        <v>664</v>
      </c>
      <c r="BO121" s="644" t="s">
        <v>664</v>
      </c>
      <c r="BP121" s="644" t="s">
        <v>664</v>
      </c>
      <c r="BQ121" s="644" t="s">
        <v>664</v>
      </c>
      <c r="BR121" s="644" t="s">
        <v>664</v>
      </c>
      <c r="BS121" s="920">
        <f>SUM(INDEX($BS:$BS,ROW()+1):INDEX($BS:$BS,$CE121))</f>
        <v>4.2404790490909373E-2</v>
      </c>
      <c r="BT121" s="920">
        <f>SUM(INDEX($BT:$BT,ROW()+1):INDEX($BT:$BT,$CE121))</f>
        <v>4.2404790490909373E-2</v>
      </c>
      <c r="BU121" s="644" t="s">
        <v>664</v>
      </c>
      <c r="BV121" s="643">
        <f>SUMPRODUCT($BS121:INDEX($BS:$BS,$CE121),$BU121:INDEX($BU:$BU,$CE121))</f>
        <v>4.2404790490909373E-2</v>
      </c>
      <c r="BW121" s="390">
        <f>$D121*$BV121</f>
        <v>4.2404790490909373E-2</v>
      </c>
      <c r="BX121" s="816" cm="1">
        <f t="array" ref="BX121">IF($CG121=0,0,IF(INDEX(BOM!$P:$P,$CG121)=0,0,
SUMPRODUCT($BW121:INDEX($BW:$BW,IFERROR(ROW()+MATCH($CL121,INDEX($CL:$CL,ROW()+1):INDEX($CL:$CL,MAX($CE:$CE)),0)-1,MAX($CE:$CE))),
($CL121:INDEX($CL:$CL,IFERROR(ROW()+MATCH($CL121,INDEX($CL:$CL,ROW()+1):INDEX($CL:$CL,MAX($CE:$CE)),0)-1,MAX($CE:$CE)))&gt;=$CL121)*1)
))</f>
        <v>0</v>
      </c>
      <c r="BY121" s="391"/>
      <c r="BZ121" s="392" cm="1">
        <f t="array" ref="BZ121">IF($CG121=0,0,INDEX(BOM!$M:$M,$CG121))</f>
        <v>1</v>
      </c>
      <c r="CA121" s="280">
        <f>IF($BZ121&gt;0,VALUE(LEFT($BZ121,IF(ISERROR(FIND("-",$BZ121)),LEN($BZ121),FIND("-",$BZ121)-1))),INDEX($BZ$1:BZ121,MATCH("",$A$1:A121,-1)))</f>
        <v>1</v>
      </c>
      <c r="CB121" s="280">
        <f>IF(LEN($BZ121)-LEN(SUBSTITUTE($BZ121,"-",))&gt;1,
VALUE(MID($BZ121,FIND("-",$BZ121)+1,FIND("-",$BZ121,FIND("-",$BZ121)+1)-FIND("-",$BZ121)-1)),0)</f>
        <v>0</v>
      </c>
      <c r="CC121" s="280">
        <f>IF(NOT(ISERROR(FIND("-",BZ121))),
VALUE(RIGHT($BZ121,LEN($BZ121)-IF(LEN($BZ121)-LEN(SUBSTITUTE($BZ121,"-",""))=1,FIND("-",$BZ121),FIND("-",$BZ121,FIND("-",$BZ121)+1)))),0)</f>
        <v>0</v>
      </c>
      <c r="CD121" s="393"/>
      <c r="CE121" s="280" cm="1">
        <f t="array" ref="CE121">ROW()+MATCH(TRUE,_xlfn.ISFORMULA(INDEX(BW:BW,ROW()+1):INDEX(BW:BW,ROW()+MaxNumberOfRowsPerBlock)),0)-1</f>
        <v>126</v>
      </c>
      <c r="CF121" s="394" cm="1">
        <f t="array" ref="CF121">IF(CL121=0,-1,IF(CL121=1,7,MAX(IF($CL$1:$CL121=CL121-1,ROW($CL$1:$CL121),0))))</f>
        <v>49</v>
      </c>
      <c r="CG121" s="393">
        <f>IFERROR(MATCH($B121,BOM!$A:$A,0),0)</f>
        <v>14</v>
      </c>
      <c r="CH121" s="280">
        <f>MATCH($CA121,Premises!$A$10:$F$10,0)</f>
        <v>4</v>
      </c>
      <c r="CI121" s="280"/>
      <c r="CJ121" s="394"/>
      <c r="CK121" s="280"/>
      <c r="CL121" s="280" cm="1">
        <f t="array" ref="CL121">IF($CG121=0,0,INDEX(BOM!$C:$C,$CG121))</f>
        <v>4</v>
      </c>
      <c r="CM121" s="395" cm="1">
        <f t="array" ref="CM121">IF($CG121=0,0,IF(OR($CF121&lt;0,AND(INDEX($CB:$CB,$CF121)=$CB121,INDEX($CC:$CC,$CF121)=$CC121)),0,IF(INDEX(BOM!$P:$P,$CG121)=0,$BT121,(SUMIF($CA121:INDEX($CA:$CA,IFERROR(ROW()+MATCH($CL121,INDEX($CL:$CL,ROW()+1):INDEX($CL:$CL,MAX($CE:$CE)),0)-1,MAX($CE:$CE))),$CA121,$BT121:INDEX($BT:$BT,IFERROR(ROW()+MATCH($CL121,INDEX($CL:$CL,ROW()+1):INDEX($CL:$CL,MAX($CE:$CE)),0)-1,MAX($CE:$CE))))+SUMIF($CB121:INDEX($CB:$CB,IFERROR(ROW()+MATCH($CL121,INDEX($CL:$CL,ROW()+1):INDEX($CL:$CL,MAX($CE:$CE)),0)-1,MAX($CE:$CE))),$CA121,$BT121:INDEX($BT:$BT,IFERROR(ROW()+MATCH($CL121,INDEX($CL:$CL,ROW()+1):INDEX($CL:$CL,MAX($CE:$CE)),0)-1,MAX($CE:$CE)))))/2)))</f>
        <v>0</v>
      </c>
      <c r="CN121" s="396" cm="1">
        <f t="array" ref="CN121">IFERROR(IF($CB121=0,0,IF($CM121=0,INDEX($CN$1:$CN121,$CF121),INDEX(IF($CM121&lt;0.2,Premises!$A$43:$F$43,IF($CM121&lt;5,Premises!$A$46:$F$46,Premises!$A$49:$F$49)),MATCH($CB121,Premises!$A$10:$F$10,0))/($CM121*INDEX(Premises!$A$13:$F$13,MATCH($CB121,Premises!$A$10:$F$10,0)))+INDEX(IF($CM121&lt;0.2,Premises!$A$44:$F$44,IF($CM121&lt;5,Premises!$A$47:$F$47,Premises!$A$50:$F$50)),MATCH($CB121,Premises!$A$10:$F$10,0))+INDEX(IF($CM121&lt;0.2,Premises!$A$45:$F$45,IF($CM121&lt;5,Premises!$A$48:$F$48,Premises!$A$51:$F$51)),MATCH($CB121,Premises!$A$10:$F$10,0))/$CM121)),0.01)</f>
        <v>0</v>
      </c>
      <c r="CO121" s="395" cm="1">
        <f t="array" ref="CO121">IF($CG121=0,0,IF(INDEX($CC:$CC,$CF121)=$CC121,0,$CM121*(1+IFERROR(INDEX(Premises!$A$52:$F$52,1,MATCH($CB121,Premises!$A$10:$F$10,0)),0)+$CN121)))</f>
        <v>0</v>
      </c>
      <c r="CP121" s="396" cm="1">
        <f t="array" ref="CP121">IFERROR(IF($CC121=0,0,IF($CO121=0,INDEX($CP$1:$CP121,$CF121),INDEX(IF($CO121&lt;0.2,Premises!$A$43:$F$43,IF($CO121&lt;5,Premises!$A$46:$F$46,Premises!$A$49:$F$49)),MATCH($CC121,Premises!$A$10:$F$10,0))/($CO121*INDEX(Premises!$A$13:$F$13,MATCH($CC121,Premises!$A$10:$F$10,0)))+INDEX(IF($CO121&lt;0.2,Premises!$A$44:$F$44,IF($CO121&lt;5,Premises!$A$47:$F$47,Premises!$A$50:$F$50)),MATCH($CC121,Premises!$A$10:$F$10,0))+INDEX(IF($CO121&lt;0.2,Premises!$A$45:$F$45,IF($CO121&lt;5,Premises!$A$48:$F$48,Premises!$A$51:$F$51)),MATCH($CC121,Premises!$A$10:$F$10,0))/$CO121)),0.01)</f>
        <v>0</v>
      </c>
      <c r="CQ121" s="397" cm="1">
        <f t="array" ref="CQ121">IF(AND($CM121=0,$CO121=0),0,INDEX(BOM!$O:$O,$CG121))</f>
        <v>0</v>
      </c>
      <c r="CR121" s="398" cm="1">
        <f t="array" ref="CR121">IF(OR($CM121=0,$CN121=0),0,ACOS(COS(RADIANS(90-INDEX(Premises!$A$66:$F$66,1,$CH121)))*COS(RADIANS(90-INDEX(Premises!$A$66:$F$66,1,MATCH($CB121,Premises!$A$10:$F$10,0))))
+SIN(RADIANS(90-INDEX(Premises!$A$66:$F$66,1,$CH121)))*SIN(RADIANS(90-INDEX(Premises!$A$66:$F$66,1,MATCH($CB121,Premises!$A$10:$F$10,0)))) * COS(RADIANS(INDEX(Premises!$A$67:$F$67,1,$CH121)-INDEX(Premises!$A$67:$F$67,1,MATCH($CB121,Premises!$A$10:$F$10,0)))))*6371)</f>
        <v>0</v>
      </c>
      <c r="CS121" s="398" cm="1">
        <f t="array" ref="CS121">IF(OR($CO121=0,$CP121=0),0,
IF($CR121=0,ACOS(COS(RADIANS(90-INDEX(Premises!$A$66:$F$66,1,$CH121)))*COS(RADIANS(90-INDEX(Premises!$A$66:$F$66,1,MATCH($CC121,Premises!$A$10:$F$10,0))))
+SIN(RADIANS(90-INDEX(Premises!$A$66:$F$66,1,$CH121)))*SIN(RADIANS(90-INDEX(Premises!$A$66:$F$66,1,MATCH($CC121,Premises!$A$10:$F$10,0))))*COS(RADIANS(INDEX(Premises!$A$67:$F$67,1,$CH121)-INDEX(Premises!$A$67:$F$67,1,MATCH($CC121,Premises!$A$10:$F$10,0)))))*6371,
ACOS(COS(RADIANS(90-INDEX(Premises!$A$66:$F$66,1,MATCH($CB121,Premises!$A$10:$F$10,0))))*COS(RADIANS(90-INDEX(Premises!$A$66:$F$66,1,MATCH($CC121,Premises!$A$10:$F$10,0))))
+SIN(RADIANS(90-INDEX(Premises!$A$66:$F$66,1,MATCH($CB121,Premises!$A$10:$F$10,0))))*SIN(RADIANS(90-INDEX(Premises!$A$66:$F$66,1,MATCH($CC121,Premises!$A$10:$F$10,0))))*COS(RADIANS(INDEX(Premises!$A$67:$F$67,1,MATCH($CB121,Premises!$A$10:$F$10,0))-INDEX(Premises!$A$67:$F$67,1,MATCH($CC121,Premises!$A$10:$F$10,0)))))*6371))</f>
        <v>0</v>
      </c>
      <c r="CT121" s="969"/>
      <c r="CU121" s="2"/>
      <c r="CV121" s="399">
        <f>SUM(INDEX(CV:CV,ROW()+1):INDEX(CV:CV,$CE121))</f>
        <v>4.531575681584363E-4</v>
      </c>
      <c r="CW121" s="400">
        <f>SUM(INDEX(CW:CW,ROW()+1):INDEX(CW:CW,$CE121))</f>
        <v>2.7013464552459879E-3</v>
      </c>
      <c r="CX121" s="400">
        <f>SUM(INDEX(CX:CX,ROW()+1):INDEX(CX:CX,$CE121))</f>
        <v>3.3437500000000004E-4</v>
      </c>
      <c r="CY121" s="400">
        <f>SUM(INDEX(CY:CY,ROW()+1):INDEX(CY:CY,$CE121))</f>
        <v>0</v>
      </c>
      <c r="CZ121" s="400">
        <f>SUM(INDEX(CZ:CZ,ROW()+1):INDEX(CZ:CZ,$CE121))</f>
        <v>0</v>
      </c>
      <c r="DA121" s="400">
        <f>SUM(INDEX(DA:DA,ROW()+1):INDEX(DA:DA,$CE121))</f>
        <v>7.8753256815843639E-6</v>
      </c>
      <c r="DB121" s="400">
        <f>SUM(INDEX(DB:DB,ROW()+1):INDEX(DB:DB,$CE121))</f>
        <v>6.278966732492237E-5</v>
      </c>
      <c r="DC121" s="400">
        <f>SUM(INDEX(DC:DC,ROW()+1):INDEX(DC:DC,$CE121))</f>
        <v>3.5595440164109312E-3</v>
      </c>
      <c r="DD121" s="400">
        <f>SUM(INDEX(DD:DD,ROW()+1):INDEX(DD:DD,$CE121))</f>
        <v>2.6727886848000003E-2</v>
      </c>
      <c r="DE121" s="400">
        <f>SUM(INDEX(DE:DE,ROW()+1):INDEX(DE:DE,$CE121))</f>
        <v>2.7715592448000005E-4</v>
      </c>
      <c r="DF121" s="400">
        <f>SUM(INDEX(DF:DF,ROW()+1):INDEX(DF:DF,$CE121))</f>
        <v>5.3521030229275726E-3</v>
      </c>
      <c r="DG121" s="400">
        <f>SUM(INDEX(DG:DG,ROW()+1):INDEX(DG:DG,$CE121))</f>
        <v>3.235714579540757E-2</v>
      </c>
      <c r="DH121" s="400">
        <f>SUM(INDEX(DH:DH,ROW()+1):INDEX(DH:DH,$CE121))</f>
        <v>3.5916689811818503E-2</v>
      </c>
      <c r="DI121" s="400">
        <f>SUM(INDEX(DI:DI,ROW()+1):INDEX(DI:DI,$CE121))</f>
        <v>0</v>
      </c>
      <c r="DJ121" s="400">
        <f>SUM(INDEX(DJ:DJ,ROW()+1):INDEX(DJ:DJ,$CE121))</f>
        <v>0</v>
      </c>
      <c r="DK121" s="400">
        <f>SUM(INDEX(DK:DK,ROW()+1):INDEX(DK:DK,$CE121))</f>
        <v>4.6120650107671158E-3</v>
      </c>
      <c r="DL121" s="400">
        <f>SUM(INDEX(DL:DL,ROW()+1):INDEX(DL:DL,$CE121))</f>
        <v>0</v>
      </c>
      <c r="DM121" s="400">
        <f>SUM(INDEX(DM:DM,ROW()+1):INDEX(DM:DM,$CE121))</f>
        <v>0</v>
      </c>
      <c r="DN121" s="400">
        <f>SUM(INDEX(DN:DN,ROW()+1):INDEX(DN:DN,$CE121))</f>
        <v>1.876035668323761E-3</v>
      </c>
      <c r="DO121" s="400">
        <f>SUM(INDEX(DO:DO,ROW()+1):INDEX(DO:DO,$CE121))</f>
        <v>0</v>
      </c>
      <c r="DP121" s="400">
        <f>SUM(INDEX(DP:DP,ROW()+1):INDEX(DP:DP,$CE121))</f>
        <v>4.2404790490909373E-2</v>
      </c>
      <c r="DQ121" s="400">
        <f>SUM(INDEX(DQ:DQ,ROW()+1):INDEX(DQ:DQ,$CE121))</f>
        <v>0</v>
      </c>
      <c r="DR121" s="400">
        <f>SUM(INDEX(DR:DR,ROW()+1):INDEX(DR:DR,$CE121))</f>
        <v>0</v>
      </c>
      <c r="DS121" s="400">
        <f>SUM(INDEX(DS:DS,ROW()+1):INDEX(DS:DS,$CE121))</f>
        <v>0</v>
      </c>
      <c r="DT121" s="400">
        <f>SUM(INDEX(DT:DT,ROW()+1):INDEX(DT:DT,$CE121))</f>
        <v>0</v>
      </c>
      <c r="DU121" s="400">
        <f>SUM(INDEX(DU:DU,ROW()+1):INDEX(DU:DU,$CE121))</f>
        <v>0</v>
      </c>
      <c r="DV121" s="400">
        <f>SUM(INDEX(DV:DV,ROW()+1):INDEX(DV:DV,$CE121))</f>
        <v>4.2404790490909373E-2</v>
      </c>
      <c r="DW121" s="400">
        <f>SUM(INDEX(DW:DW,ROW()+1):INDEX(DW:DW,$CE121))</f>
        <v>0</v>
      </c>
      <c r="DX121" s="400">
        <f>SUM(INDEX(DX:DX,ROW()+1):INDEX(DX:DX,$CE121))</f>
        <v>0</v>
      </c>
      <c r="DY121" s="400">
        <f>SUM(INDEX(DY:DY,ROW()+1):INDEX(DY:DY,$CE121))</f>
        <v>0</v>
      </c>
      <c r="DZ121" s="400">
        <f>SUM(INDEX(DZ:DZ,ROW()+1):INDEX(DZ:DZ,$CE121))</f>
        <v>0</v>
      </c>
      <c r="EA121" s="400">
        <f>SUM(INDEX(EA:EA,ROW()+1):INDEX(EA:EA,$CE121))</f>
        <v>0</v>
      </c>
      <c r="EB121" s="401">
        <f>SUM(INDEX(EB:EB,ROW()+1):INDEX(EB:EB,$CE121))</f>
        <v>4.2404790490909373E-2</v>
      </c>
      <c r="EC121" s="805"/>
      <c r="ED121" s="399"/>
      <c r="EE121" s="400"/>
      <c r="EF121" s="1112"/>
      <c r="EG121" s="1112"/>
      <c r="EH121" s="1112"/>
      <c r="EI121" s="1112"/>
      <c r="EJ121" s="1112"/>
      <c r="EK121" s="1112"/>
      <c r="EL121" s="1112"/>
      <c r="EM121" s="1112"/>
      <c r="EN121" s="1112"/>
      <c r="EO121" s="1112"/>
      <c r="EP121" s="1112"/>
      <c r="EQ121" s="1112"/>
      <c r="ER121" s="1112"/>
      <c r="ES121" s="1112"/>
      <c r="ET121" s="1112"/>
      <c r="EU121" s="1112"/>
      <c r="EV121" s="1112"/>
      <c r="EW121" s="1112"/>
      <c r="EX121" s="1113"/>
      <c r="EY121" s="2"/>
      <c r="EZ121" s="2"/>
      <c r="FA121" s="2"/>
      <c r="FB121" s="2"/>
      <c r="FC121" s="2"/>
      <c r="FD121" s="2"/>
      <c r="FE121" s="2"/>
      <c r="FF121" s="2"/>
      <c r="FG121" s="2"/>
      <c r="FH121" s="2"/>
      <c r="FI121" s="2"/>
      <c r="FJ121" s="399"/>
      <c r="FK121" s="400"/>
      <c r="FL121" s="401"/>
      <c r="FM121" s="969"/>
    </row>
    <row r="122" spans="1:169" s="13" customFormat="1" ht="12.75" customHeight="1">
      <c r="A122" s="221"/>
      <c r="B122" s="402" t="s">
        <v>34</v>
      </c>
      <c r="C122" s="403"/>
      <c r="D122" s="646"/>
      <c r="E122" s="404"/>
      <c r="F122" s="405"/>
      <c r="G122" s="405"/>
      <c r="H122" s="405"/>
      <c r="I122" s="637" cm="1">
        <f t="array" ref="I122">IF($CI122=0,0,IFERROR(INDEX(MHR[],$CI122,MATCH($CA122,MHR!$B$4:$AY$4,0)),0))</f>
        <v>0</v>
      </c>
      <c r="J122" s="634">
        <f>IF(COUNTBLANK($E122:$H122),0,IFERROR($F122/$H122/IF($G122="s",3600,IF($G122="min",60,IF($G122="h",1,0)))*I122,0))</f>
        <v>0</v>
      </c>
      <c r="K122" s="406"/>
      <c r="L122" s="407"/>
      <c r="M122" s="871"/>
      <c r="N122" s="407"/>
      <c r="O122" s="405"/>
      <c r="P122" s="645" cm="1">
        <f t="array" ref="P122">IF($K122=0,0,IFERROR(ROUNDUP(IF(ISNUMBER($K122),$K122,INDEX($D$1:$D122,$CD122)*INDEX(Premises!$A$13:$F$13,1,$CH122)/IF(OR($K122="T",$K122="D"),250,IF($K122="W",50,IF($K122="M",12,IF(OR($K122="HJ",$K122="HY"),2,IF(OR($K122="J",$K122="Y"),1,0)))))),0),0))</f>
        <v>0</v>
      </c>
      <c r="Q122" s="637" cm="1">
        <f t="array" ref="Q122">IF($K122=0,0,IFERROR(INDEX(Premises!$A$22:$F$22,1,$CH122)*100/INDEX(Premises!$A$16:$F$16,1,$CH122),0))</f>
        <v>0</v>
      </c>
      <c r="R122" s="634">
        <f>IF($P122=0,0,IFERROR(($L122/60*($I122+$Q122*$M122)+($N122/60*($Q122*$O122)))/$P122,0))</f>
        <v>0</v>
      </c>
      <c r="S122" s="408"/>
      <c r="T122" s="409"/>
      <c r="U122" s="637" cm="1">
        <f t="array" ref="U122">IF(COUNTBLANK($S122:$T122),0,
IF(AND(INDEX(MHR[Schichtmodell],$CI122)&lt;&gt;0,INDEX(MHR[Schichtmodell],$CI122)&lt;&gt;INDEX(Premises!$A$20:$F$20,1,$CH122)),ExchangeRate*
IF(OR($T122="M",$T122="U"),IF(INDEX(MHR[Schichtmodell],$CI122)=1,INDEX(LOC[M1S],INDEX(Premises!$A$18:$F$18,1,$CH122+1)),IF(INDEX(MHR[Schichtmodell],$CI122)=2,INDEX(LOC[M2S],INDEX(Premises!$A$18:$F$18,1,$CH122+1),IF(INDEX(MHR[Schichtmodell],$CI122)=3,INDEX(LOC[M3S],INDEX(Premises!$A$18:$F$18,1,$CH122+1)),0)))),
IF(INDEX(MHR[Schichtmodell],$CI122)=1,INDEX(LOC[F1S],INDEX(Premises!$A$18:$F$18,1,$CH122+1)),IF(INDEX(MHR[Schichtmodell],$CI122)=2,INDEX(LOC[F2S],INDEX(Premises!$A$18:$F$18,1,$CH122+1)),IF(INDEX(MHR[Schichtmodell],$CI122)=3,INDEX(LOC[F3S],INDEX(Premises!$A$18:$F$18,1,$CH122+1)),0)))),
IF(OR($T122="M",$T122="U"),INDEX(Premises!$A$21:$F$21,1,$CH122),
IF(OR($T122="F",$T122="S"),INDEX(Premises!$A$22:$F$22,1,$CH122),0)))*100/INDEX(Premises!$A$16:$F$16,1,$CH122))</f>
        <v>0</v>
      </c>
      <c r="V122" s="631">
        <f>IF($U122=0,0,IFERROR($F122/$H122/IF($G122="s",3600,IF($G122="min",60,IF($G122="h",1,0)))*$S122*$U122,0))</f>
        <v>0</v>
      </c>
      <c r="W122" s="410"/>
      <c r="X122" s="403"/>
      <c r="Y122" s="411"/>
      <c r="Z122" s="412"/>
      <c r="AA122" s="628">
        <f>IFERROR($X122*$Z122/$Y122/MAX(1,$H122),0)</f>
        <v>0</v>
      </c>
      <c r="AB122" s="410"/>
      <c r="AC122" s="403"/>
      <c r="AD122" s="411"/>
      <c r="AE122" s="413"/>
      <c r="AF122" s="628">
        <f>IFERROR($AC122*$AE122/$AD122,0)</f>
        <v>0</v>
      </c>
      <c r="AG122" s="629" cm="1">
        <f t="array" ref="AG122">IF(($J122+$V122+$AF122)=0,0,INDEX(Premises!$A$30:$F$30,1,$CH122)/100)</f>
        <v>0</v>
      </c>
      <c r="AH122" s="414"/>
      <c r="AI122" s="415"/>
      <c r="AJ122" s="416"/>
      <c r="AK122" s="630">
        <f>IF(COUNTBLANK($AH122:$AI122),0,$AH122*$AI122*$AG122)</f>
        <v>0</v>
      </c>
      <c r="AL122" s="631">
        <f>($AK122+$AJ122*$AG122*(1-$AH122)+($J122+$V122+$AF122)*$AG122*(1-$AH122))</f>
        <v>0</v>
      </c>
      <c r="AM122" s="632" cm="1">
        <f t="array" ref="AM122">IF($CI122=0,0,IFERROR(INDEX(MHR[],$CI122,MATCH($CA122,MHR!$B$4:$AY$4,0)+11),0))</f>
        <v>0</v>
      </c>
      <c r="AN122" s="633" cm="1">
        <f t="array" ref="AN122">IF(($J122+$V122)=0,0,IFERROR(IF(INDEX(Premises!$A$41:$F$41,1,$CH122)&lt;&gt;0,INDEX(Premises!$A$41:$F$41,1,$CH122)/100,(IFERROR(($J122/$I122)*$AM122,0)/($V122+$J122+$R122+$AL122))),0))</f>
        <v>0</v>
      </c>
      <c r="AO122" s="634">
        <f>IF(($J122+$V122)=0,0,IF(IFERROR(($J122+$R122+$V122+$AL122)*$AN122,0)&lt;&gt;IFERROR(($J122/$I122)*$AM122,0),($J122+$R122+$V122+$AL122)*$AN122,IFERROR(($J122/$I122)*$AM122,0)))</f>
        <v>0</v>
      </c>
      <c r="AP122" s="635">
        <f>$V122+$J122+$R122+$AA122+$AF122+$AL122+$AO122</f>
        <v>0</v>
      </c>
      <c r="AQ122" s="410" t="str">
        <f>VLOOKUP($B121,BOM,5,0)</f>
        <v>Aluminium sheet AlMg4, 5Mn0,7</v>
      </c>
      <c r="AR122" s="409">
        <f>Info!Q7</f>
        <v>1.3223088000000003E-2</v>
      </c>
      <c r="AS122" s="636" t="str" cm="1">
        <f t="array" ref="AS122">IF($CJ122=0,0,IFERROR(INDEX(MAT[Einheit],$CJ122,1),0))</f>
        <v>kg</v>
      </c>
      <c r="AT122" s="637" cm="1">
        <f t="array" ref="AT122">IF($CJ122=0,0,IFERROR(INDEX(MAT[Preis],$CJ122,1),0))</f>
        <v>2.0960000000000001</v>
      </c>
      <c r="AU122" s="638">
        <f>$AR122*$AT122</f>
        <v>2.7715592448000006E-2</v>
      </c>
      <c r="AV122" s="639" cm="1">
        <f t="array" ref="AV122">IF($AU122&lt;=0,0,INDEX(Premises!$A$30:$F$30,1,$CH122)/100)</f>
        <v>0.01</v>
      </c>
      <c r="AW122" s="409"/>
      <c r="AX122" s="631">
        <f>IF($AV122=0,0,($AU122+$AW122)*$AV122)</f>
        <v>2.7715592448000005E-4</v>
      </c>
      <c r="AY122" s="640" cm="1">
        <f t="array" ref="AY122">IF($AT122&lt;=0,0,IFERROR(IF(INDEX(Premises!$A$42:$F$42,1,$CH122)&lt;&gt;0,INDEX(Premises!$A$42:$F$42,1,$CH122)/100,(INDEX(MAT[],$CJ122,MATCH($CA122,MAT!$B$4:$AE$4,0))/($AR122*$CK122*INDEX(Premises!$A$13:$F$13,1,$CH122))+INDEX(MAT[],$CJ122,MATCH($CA122,MAT!$B$4:$AE$4,0)+7))/$AT122),0))</f>
        <v>0.19119605376759957</v>
      </c>
      <c r="AZ122" s="631">
        <f>IF($AY122=0,0,($AU122+$AX122)*$AY122)</f>
        <v>5.3521030229275726E-3</v>
      </c>
      <c r="BA122" s="635">
        <f>$AU122+$AX122+$AZ122</f>
        <v>3.3344851395407576E-2</v>
      </c>
      <c r="BB122" s="635">
        <f>$AP122+$BA122</f>
        <v>3.3344851395407576E-2</v>
      </c>
      <c r="BC122" s="639" cm="1">
        <f t="array" ref="BC122">IF($BB122&lt;=0,0,IF(BC$2=-1,0,INDEX(Premises!$A$32:$F$32,1,$CH122)/100))</f>
        <v>0</v>
      </c>
      <c r="BD122" s="631">
        <f>IF($AP122&lt;=0,0,($AP122-$AA122-$AL122)*$BC122)</f>
        <v>0</v>
      </c>
      <c r="BE122" s="639" cm="1">
        <f t="array" ref="BE122">IF($BB122&lt;=0,0,IF(BE$2=-1,0,INDEX(Premises!$A$33:$F$33,1,$CH122)/100))</f>
        <v>0</v>
      </c>
      <c r="BF122" s="631">
        <f>IF($BA122&lt;=0,0,$BA122*$BE122)</f>
        <v>0</v>
      </c>
      <c r="BG122" s="639" cm="1">
        <f t="array" ref="BG122">IF($BB122&lt;=0,0,IF(BG$2=-1,0,INDEX(Premises!$A$31:$F$31,1,$CH122)/100))</f>
        <v>0.125</v>
      </c>
      <c r="BH122" s="631">
        <f>(($AP122-$AA122-$AL122)+$BA122)*$BG122</f>
        <v>4.1681064244259471E-3</v>
      </c>
      <c r="BI122" s="635">
        <f>$BB122+$BD122+$BF122+$BH122</f>
        <v>3.751295781983352E-2</v>
      </c>
      <c r="BJ122" s="639" cm="1">
        <f t="array" ref="BJ122">IF($BB122&lt;=0,0,IF(BJ$2=-1,0,INDEX(Premises!$A$35:$F$35,1,$CH122)/100))</f>
        <v>0</v>
      </c>
      <c r="BK122" s="631">
        <f>IF($AP122&lt;=0,0,($AP122-$AL122-$AA122)*$BJ122)</f>
        <v>0</v>
      </c>
      <c r="BL122" s="639" cm="1">
        <f t="array" ref="BL122">IF($BB122&lt;=0,0,IF(BL$2=-1,0,INDEX(Premises!$A$36:$F$36,1,$CH122)/100))</f>
        <v>0</v>
      </c>
      <c r="BM122" s="631">
        <f>IF($AU122&lt;=0,0,($AR122*$AT122)*$BL122)</f>
        <v>0</v>
      </c>
      <c r="BN122" s="639" cm="1">
        <f t="array" ref="BN122">IF($BB122&lt;=0,0,IF(BN$2=-1,0,INDEX(Premises!$A$34:$F$34,1,$CH122)/100))</f>
        <v>0.06</v>
      </c>
      <c r="BO122" s="631">
        <f>(($AP122-$AL122-$AA122)+($AR122*$AT122))*$BN122</f>
        <v>1.6629355468800002E-3</v>
      </c>
      <c r="BP122" s="639" cm="1">
        <f t="array" ref="BP122">IF($BI122=0,0,INDEX(Premises!$A$37:$F$37,1,$CH122)/100)</f>
        <v>0</v>
      </c>
      <c r="BQ122" s="409"/>
      <c r="BR122" s="631">
        <f>($BI122+$BK122+$BM122+$BO122)*$BP122+$BQ122</f>
        <v>0</v>
      </c>
      <c r="BS122" s="641">
        <f>BI122+BK122+BM122+BO122+BR122</f>
        <v>3.9175893366713517E-2</v>
      </c>
      <c r="BT122" s="641">
        <f>IF($BS122=0,0,$CK122*$BS122)</f>
        <v>3.9175893366713517E-2</v>
      </c>
      <c r="BU122" s="642">
        <f>IF($BT122=0,0,MAX(1,$EB122/$DP122))</f>
        <v>1</v>
      </c>
      <c r="BV122" s="417"/>
      <c r="BW122" s="418"/>
      <c r="BX122" s="418"/>
      <c r="BY122" s="419"/>
      <c r="BZ122" s="968"/>
      <c r="CA122" s="280" cm="1">
        <f t="array" ref="CA122">IF($BZ122&gt;0,VALUE(LEFT($BZ122,IF(ISERROR(FIND("-",$BZ122)),LEN($BZ122),FIND("-",$BZ122)-1))),INDEX($CA$1:$CA122,MAX(1,$CD122)))</f>
        <v>1</v>
      </c>
      <c r="CB122" s="280" cm="1">
        <f t="array" ref="CB122">IF($BT122=0,0,IF(LEN($BZ122)-LEN(SUBSTITUTE($BZ122,"-",""))&gt;1,
VALUE(MID($BZ122,FIND("-",$BZ122)+1,FIND("-",$BZ122,FIND("-",$BZ122)+1)-FIND("-",$BZ122)-1)),IF($BZ122&gt;0,0,INDEX($CB$1:$CB122,MAX(1,$CD122)))))</f>
        <v>0</v>
      </c>
      <c r="CC122" s="280" cm="1">
        <f t="array" ref="CC122">IF($BT122=0,0,IF(NOT(ISERROR(FIND("-",BZ122))),
VALUE(RIGHT($BZ122,LEN($BZ122)-IF(LEN($BZ122)-LEN(SUBSTITUTE($BZ122,"-",""))=1,FIND("-",$BZ122),FIND("-",$BZ122,FIND("-",$BZ122)+1)))),
IF($BZ122&gt;0,0,INDEX($CC$1:$CC122,MAX(1,$CD122)))))</f>
        <v>0</v>
      </c>
      <c r="CD122" s="393">
        <f>MATCH(0,$CE$1:$CE122,-1)</f>
        <v>121</v>
      </c>
      <c r="CE122" s="280"/>
      <c r="CF122" s="394"/>
      <c r="CG122" s="393" cm="1">
        <f t="array" ref="CG122">INDEX($CG$1:$CG122,$CD122)</f>
        <v>14</v>
      </c>
      <c r="CH122" s="280">
        <f>MATCH($CA122,Premises!$A$10:$F$10,0)</f>
        <v>4</v>
      </c>
      <c r="CI122" s="280">
        <f>IF(ISBLANK($E122),0,IFERROR(MATCH($E122,MHR[Bezeichnung],0),0))</f>
        <v>0</v>
      </c>
      <c r="CJ122" s="394">
        <f>IF(ISBLANK($AQ122),0,IFERROR(MATCH($AQ122,MAT[Bezeichnung],0),0))</f>
        <v>6</v>
      </c>
      <c r="CK122" s="280" cm="1">
        <f t="array" ref="CK122">INDEX($D$1:$D122,$CD122)</f>
        <v>1</v>
      </c>
      <c r="CL122" s="280"/>
      <c r="CM122" s="395"/>
      <c r="CN122" s="396" cm="1">
        <f t="array" ref="CN122">IF($CB122=0,0,IF($CB122=INDEX($CB$1:$CB122,$CD122),INDEX($CN$1:$CN122,$CD122),$CP122))</f>
        <v>0</v>
      </c>
      <c r="CO122" s="395"/>
      <c r="CP122" s="396" cm="1">
        <f t="array" ref="CP122">IF($CC122=0,0,INDEX($CP$1:$CP122,$CD122))</f>
        <v>0</v>
      </c>
      <c r="CQ122" s="397"/>
      <c r="CR122" s="398"/>
      <c r="CS122" s="398"/>
      <c r="CT122" s="970"/>
      <c r="CU122" s="2"/>
      <c r="CV122" s="647">
        <f>$J122*$CK122</f>
        <v>0</v>
      </c>
      <c r="CW122" s="648">
        <f>$R122*$CK122</f>
        <v>0</v>
      </c>
      <c r="CX122" s="648">
        <f>$V122*$CK122</f>
        <v>0</v>
      </c>
      <c r="CY122" s="648">
        <f>$AA122*$CK122</f>
        <v>0</v>
      </c>
      <c r="CZ122" s="648">
        <f>$AF122*$CK122</f>
        <v>0</v>
      </c>
      <c r="DA122" s="648">
        <f>$AL122*$CK122</f>
        <v>0</v>
      </c>
      <c r="DB122" s="648">
        <f>$AO122*$CK122</f>
        <v>0</v>
      </c>
      <c r="DC122" s="649">
        <f>$AP122*$CK122</f>
        <v>0</v>
      </c>
      <c r="DD122" s="648">
        <f>$AU122*$CK122</f>
        <v>2.7715592448000006E-2</v>
      </c>
      <c r="DE122" s="648">
        <f>$AX122*$CK122</f>
        <v>2.7715592448000005E-4</v>
      </c>
      <c r="DF122" s="648">
        <f>$AZ122*$CK122</f>
        <v>5.3521030229275726E-3</v>
      </c>
      <c r="DG122" s="649">
        <f>$BA122*$CK122</f>
        <v>3.3344851395407576E-2</v>
      </c>
      <c r="DH122" s="649">
        <f>$BB122*$CK122</f>
        <v>3.3344851395407576E-2</v>
      </c>
      <c r="DI122" s="648">
        <f>$BD122*$CK122</f>
        <v>0</v>
      </c>
      <c r="DJ122" s="648">
        <f>$BF122*$CK122</f>
        <v>0</v>
      </c>
      <c r="DK122" s="648">
        <f>$BH122*$CK122</f>
        <v>4.1681064244259471E-3</v>
      </c>
      <c r="DL122" s="648">
        <f>$BK122*$CK122</f>
        <v>0</v>
      </c>
      <c r="DM122" s="648">
        <f>$BM122*$CK122</f>
        <v>0</v>
      </c>
      <c r="DN122" s="648">
        <f>$BO122*$CK122</f>
        <v>1.6629355468800002E-3</v>
      </c>
      <c r="DO122" s="648">
        <f>$BR122*$CK122</f>
        <v>0</v>
      </c>
      <c r="DP122" s="651">
        <f>$CK122*($BB122+$BD122+$BF122+$BH122+$BK122+$BM122+$BO122+$BR122)</f>
        <v>3.9175893366713517E-2</v>
      </c>
      <c r="DQ122" s="951">
        <f>IF($CB122=0,0,$DP122*_xlfn.XLOOKUP($CB122,Premises!$A$10:$F$10,Premises!$A$30:$F$30)/100)</f>
        <v>0</v>
      </c>
      <c r="DR122" s="650">
        <f>IFERROR(SUM($DP122:$DQ122)*IF(INDEX(Premises!$A$42:$F$42,1,MATCH($CB122,Premises!$A$10:$F$10,0))&gt;0,INDEX(Premises!$A$42:$F$42,1,MATCH($CB122,Premises!$A$10:$F$10,0))%,$CN122),0)</f>
        <v>0</v>
      </c>
      <c r="DS122" s="650" cm="1">
        <f t="array" ref="DS122">IF($CB122=0,0,SUM($DP122:$DR122)*_xlfn.XLOOKUP($CB122,Premises!$A$10:$F$10,IF(INDEX(Settings[],MATCH(3001,Settings[ID],0),2)="B",Premises!$A$33:$F$33,Premises!$A$31:$F$31))/100)</f>
        <v>0</v>
      </c>
      <c r="DT122" s="650" cm="1">
        <f t="array" ref="DT122">IF($CB122=0,0,$DP122*_xlfn.XLOOKUP($CB122,Premises!$A$10:$F$10,IF(INDEX(Settings[],MATCH(3002,Settings[ID],0),2)="B",Premises!$A$36:$F$36,Premises!$A$34:$F$34))/100)</f>
        <v>0</v>
      </c>
      <c r="DU122" s="650">
        <f>IF($CB122=0,0,SUM($DP122:$DT122)*_xlfn.XLOOKUP($CB122,Premises!$A$10:$F$10,Premises!$A$37:$F$37)/100)</f>
        <v>0</v>
      </c>
      <c r="DV122" s="954">
        <f>SUM($DP122:$DU122)</f>
        <v>3.9175893366713517E-2</v>
      </c>
      <c r="DW122" s="951">
        <f>IF($CC122=0,0,$DV122*_xlfn.XLOOKUP($CC122,Premises!$A$10:$F$10,Premises!$A$30:$F$30)/100)</f>
        <v>0</v>
      </c>
      <c r="DX122" s="650">
        <f>IFERROR(SUM($DV122:$DW122)*IF(INDEX(Premises!$A$42:$F$42,1,MATCH($CC122,Premises!$A$10:$F$10,0))&gt;0,INDEX(Premises!$A$42:$F$42,1,MATCH($CC122,Premises!$A$10:$F$10,0))%,$CP122),0)</f>
        <v>0</v>
      </c>
      <c r="DY122" s="650" cm="1">
        <f t="array" ref="DY122">IF($CC122=0,0,SUM($DV122:$DX122)*_xlfn.XLOOKUP($CC122,Premises!$A$10:$F$10,IF(INDEX(Settings[],MATCH(3001,Settings[ID],0),2)="B",Premises!$A$33:$F$33,Premises!$A$31:$F$31))/100)</f>
        <v>0</v>
      </c>
      <c r="DZ122" s="650" cm="1">
        <f t="array" ref="DZ122">IF($CC122=0,0,$DV122*_xlfn.XLOOKUP($CC122,Premises!$A$10:$F$10,IF(INDEX(Settings[],MATCH(3002,Settings[ID],0),2)="B",Premises!$A$36:$F$36,Premises!$A$34:$F$34))/100)</f>
        <v>0</v>
      </c>
      <c r="EA122" s="650">
        <f>IF($CC122=0,0,SUM($DV122:$DZ122)*_xlfn.XLOOKUP($CC122,Premises!$A$10:$F$10,Premises!$A$37:$F$37)/100)</f>
        <v>0</v>
      </c>
      <c r="EB122" s="651">
        <f>SUM($DV122:$EA122)</f>
        <v>3.9175893366713517E-2</v>
      </c>
      <c r="EC122" s="805"/>
      <c r="ED122" s="1104"/>
      <c r="EE122" s="650"/>
      <c r="EF122" s="1110"/>
      <c r="EG122" s="1108"/>
      <c r="EH122" s="1108"/>
      <c r="EI122" s="1108"/>
      <c r="EJ122" s="1108"/>
      <c r="EK122" s="1108"/>
      <c r="EL122" s="1108"/>
      <c r="EM122" s="1110"/>
      <c r="EN122" s="1108"/>
      <c r="EO122" s="1108"/>
      <c r="EP122" s="1108"/>
      <c r="EQ122" s="1108"/>
      <c r="ER122" s="1110"/>
      <c r="ES122" s="1108"/>
      <c r="ET122" s="1108"/>
      <c r="EU122" s="1108"/>
      <c r="EV122" s="1108"/>
      <c r="EW122" s="1108"/>
      <c r="EX122" s="1111"/>
      <c r="EY122" s="2"/>
      <c r="EZ122" s="2"/>
      <c r="FA122" s="2"/>
      <c r="FB122" s="2"/>
      <c r="FC122" s="2"/>
      <c r="FD122" s="2"/>
      <c r="FE122" s="2"/>
      <c r="FF122" s="2"/>
      <c r="FG122" s="2"/>
      <c r="FH122" s="2"/>
      <c r="FI122" s="2"/>
      <c r="FJ122" s="420"/>
      <c r="FK122" s="421"/>
      <c r="FL122" s="422"/>
      <c r="FM122" s="970"/>
    </row>
    <row r="123" spans="1:169" s="13" customFormat="1" ht="12.75" customHeight="1">
      <c r="A123" s="221"/>
      <c r="B123" s="402" t="s">
        <v>4355</v>
      </c>
      <c r="C123" s="403"/>
      <c r="D123" s="646"/>
      <c r="E123" s="404"/>
      <c r="F123" s="405"/>
      <c r="G123" s="405"/>
      <c r="H123" s="405"/>
      <c r="I123" s="637" cm="1">
        <f t="array" ref="I123">IF($CI123=0,0,IFERROR(INDEX(MHR[],$CI123,MATCH($CA123,MHR!$B$4:$AY$4,0)),0))</f>
        <v>0</v>
      </c>
      <c r="J123" s="634">
        <f>IF(COUNTBLANK($E123:$H123),0,IFERROR($F123/$H123/IF($G123="s",3600,IF($G123="min",60,IF($G123="h",1,0)))*I123,0))</f>
        <v>0</v>
      </c>
      <c r="K123" s="406"/>
      <c r="L123" s="407"/>
      <c r="M123" s="871"/>
      <c r="N123" s="407"/>
      <c r="O123" s="405"/>
      <c r="P123" s="645" cm="1">
        <f t="array" ref="P123">IF($K123=0,0,IFERROR(ROUNDUP(IF(ISNUMBER($K123),$K123,INDEX($D$1:$D123,$CD123)*INDEX(Premises!$A$13:$F$13,1,$CH123)/IF(OR($K123="T",$K123="D"),250,IF($K123="W",50,IF($K123="M",12,IF(OR($K123="HJ",$K123="HY"),2,IF(OR($K123="J",$K123="Y"),1,0)))))),0),0))</f>
        <v>0</v>
      </c>
      <c r="Q123" s="637" cm="1">
        <f t="array" ref="Q123">IF($K123=0,0,IFERROR(INDEX(Premises!$A$22:$F$22,1,$CH123)*100/INDEX(Premises!$A$16:$F$16,1,$CH123),0))</f>
        <v>0</v>
      </c>
      <c r="R123" s="634">
        <f>IF($P123=0,0,IFERROR(($L123/60*($I123+$Q123*$M123)+($N123/60*($Q123*$O123)))/$P123,0))</f>
        <v>0</v>
      </c>
      <c r="S123" s="408"/>
      <c r="T123" s="409"/>
      <c r="U123" s="637" cm="1">
        <f t="array" ref="U123">IF(COUNTBLANK($S123:$T123),0,
IF(AND(INDEX(MHR[Schichtmodell],$CI123)&lt;&gt;0,INDEX(MHR[Schichtmodell],$CI123)&lt;&gt;INDEX(Premises!$A$20:$F$20,1,$CH123)),ExchangeRate*
IF(OR($T123="M",$T123="U"),IF(INDEX(MHR[Schichtmodell],$CI123)=1,INDEX(LOC[M1S],INDEX(Premises!$A$18:$F$18,1,$CH123+1)),IF(INDEX(MHR[Schichtmodell],$CI123)=2,INDEX(LOC[M2S],INDEX(Premises!$A$18:$F$18,1,$CH123+1),IF(INDEX(MHR[Schichtmodell],$CI123)=3,INDEX(LOC[M3S],INDEX(Premises!$A$18:$F$18,1,$CH123+1)),0)))),
IF(INDEX(MHR[Schichtmodell],$CI123)=1,INDEX(LOC[F1S],INDEX(Premises!$A$18:$F$18,1,$CH123+1)),IF(INDEX(MHR[Schichtmodell],$CI123)=2,INDEX(LOC[F2S],INDEX(Premises!$A$18:$F$18,1,$CH123+1)),IF(INDEX(MHR[Schichtmodell],$CI123)=3,INDEX(LOC[F3S],INDEX(Premises!$A$18:$F$18,1,$CH123+1)),0)))),
IF(OR($T123="M",$T123="U"),INDEX(Premises!$A$21:$F$21,1,$CH123),
IF(OR($T123="F",$T123="S"),INDEX(Premises!$A$22:$F$22,1,$CH123),0)))*100/INDEX(Premises!$A$16:$F$16,1,$CH123))</f>
        <v>0</v>
      </c>
      <c r="V123" s="631">
        <f>IF($U123=0,0,IFERROR($F123/$H123/IF($G123="s",3600,IF($G123="min",60,IF($G123="h",1,0)))*$S123*$U123,0))</f>
        <v>0</v>
      </c>
      <c r="W123" s="410"/>
      <c r="X123" s="403"/>
      <c r="Y123" s="411"/>
      <c r="Z123" s="412"/>
      <c r="AA123" s="628">
        <f>IFERROR($X123*$Z123/$Y123/MAX(1,$H123),0)</f>
        <v>0</v>
      </c>
      <c r="AB123" s="410"/>
      <c r="AC123" s="403"/>
      <c r="AD123" s="411"/>
      <c r="AE123" s="413"/>
      <c r="AF123" s="628">
        <f>IFERROR($AC123*$AE123/$AD123,0)</f>
        <v>0</v>
      </c>
      <c r="AG123" s="629" cm="1">
        <f t="array" ref="AG123">IF(($J123+$V123+$AF123)=0,0,INDEX(Premises!$A$30:$F$30,1,$CH123)/100)</f>
        <v>0</v>
      </c>
      <c r="AH123" s="414"/>
      <c r="AI123" s="415"/>
      <c r="AJ123" s="416"/>
      <c r="AK123" s="630">
        <f>IF(COUNTBLANK($AH123:$AI123),0,$AH123*$AI123*$AG123)</f>
        <v>0</v>
      </c>
      <c r="AL123" s="631">
        <f>($AK123+$AJ123*$AG123*(1-$AH123)+($J123+$V123+$AF123)*$AG123*(1-$AH123))</f>
        <v>0</v>
      </c>
      <c r="AM123" s="632" cm="1">
        <f t="array" ref="AM123">IF($CI123=0,0,IFERROR(INDEX(MHR[],$CI123,MATCH($CA123,MHR!$B$4:$AY$4,0)+11),0))</f>
        <v>0</v>
      </c>
      <c r="AN123" s="633" cm="1">
        <f t="array" ref="AN123">IF(($J123+$V123)=0,0,IFERROR(IF(INDEX(Premises!$A$41:$F$41,1,$CH123)&lt;&gt;0,INDEX(Premises!$A$41:$F$41,1,$CH123)/100,(IFERROR(($J123/$I123)*$AM123,0)/($V123+$J123+$R123+$AL123))),0))</f>
        <v>0</v>
      </c>
      <c r="AO123" s="634">
        <f>IF(($J123+$V123)=0,0,IF(IFERROR(($J123+$R123+$V123+$AL123)*$AN123,0)&lt;&gt;IFERROR(($J123/$I123)*$AM123,0),($J123+$R123+$V123+$AL123)*$AN123,IFERROR(($J123/$I123)*$AM123,0)))</f>
        <v>0</v>
      </c>
      <c r="AP123" s="635">
        <f>$V123+$J123+$R123+$AA123+$AF123+$AL123+$AO123</f>
        <v>0</v>
      </c>
      <c r="AQ123" s="410" t="s">
        <v>4355</v>
      </c>
      <c r="AR123" s="1343">
        <f>AR122-BOM!G14</f>
        <v>8.2308800000000307E-4</v>
      </c>
      <c r="AS123" s="636" t="str" cm="1">
        <f t="array" ref="AS123">IF($CJ123=0,0,IFERROR(INDEX(MAT[Einheit],$CJ123,1),0))</f>
        <v>kg</v>
      </c>
      <c r="AT123" s="637" cm="1">
        <f t="array" ref="AT123">IF($CJ123=0,0,IFERROR(INDEX(MAT[Preis],$CJ123,1),0))</f>
        <v>-1.2</v>
      </c>
      <c r="AU123" s="638">
        <f>$AR123*$AT123</f>
        <v>-9.8770560000000364E-4</v>
      </c>
      <c r="AV123" s="639" cm="1">
        <f t="array" ref="AV123">IF($AU123&lt;=0,0,INDEX(Premises!$A$30:$F$30,1,$CH123)/100)</f>
        <v>0</v>
      </c>
      <c r="AW123" s="409"/>
      <c r="AX123" s="631">
        <f>IF($AV123=0,0,($AU123+$AW123)*$AV123)</f>
        <v>0</v>
      </c>
      <c r="AY123" s="640" cm="1">
        <f t="array" ref="AY123">IF($AT123&lt;=0,0,IFERROR(IF(INDEX(Premises!$A$42:$F$42,1,$CH123)&lt;&gt;0,INDEX(Premises!$A$42:$F$42,1,$CH123)/100,(INDEX(MAT[],$CJ123,MATCH($CA123,MAT!$B$4:$AE$4,0))/($AR123*$CK123*INDEX(Premises!$A$13:$F$13,1,$CH123))+INDEX(MAT[],$CJ123,MATCH($CA123,MAT!$B$4:$AE$4,0)+7))/$AT123),0))</f>
        <v>0</v>
      </c>
      <c r="AZ123" s="631">
        <f>IF($AY123=0,0,($AU123+$AX123)*$AY123)</f>
        <v>0</v>
      </c>
      <c r="BA123" s="635">
        <f>$AU123+$AX123+$AZ123</f>
        <v>-9.8770560000000364E-4</v>
      </c>
      <c r="BB123" s="635">
        <f>$AP123+$BA123</f>
        <v>-9.8770560000000364E-4</v>
      </c>
      <c r="BC123" s="639" cm="1">
        <f t="array" ref="BC123">IF($BB123&lt;=0,0,IF(BC$2=-1,0,INDEX(Premises!$A$32:$F$32,1,$CH123)/100))</f>
        <v>0</v>
      </c>
      <c r="BD123" s="631">
        <f>IF($AP123&lt;=0,0,($AP123-$AA123-$AL123)*$BC123)</f>
        <v>0</v>
      </c>
      <c r="BE123" s="639" cm="1">
        <f t="array" ref="BE123">IF($BB123&lt;=0,0,IF(BE$2=-1,0,INDEX(Premises!$A$33:$F$33,1,$CH123)/100))</f>
        <v>0</v>
      </c>
      <c r="BF123" s="631">
        <f>IF($BA123&lt;=0,0,$BA123*$BE123)</f>
        <v>0</v>
      </c>
      <c r="BG123" s="639" cm="1">
        <f t="array" ref="BG123">IF($BB123&lt;=0,0,IF(BG$2=-1,0,INDEX(Premises!$A$31:$F$31,1,$CH123)/100))</f>
        <v>0</v>
      </c>
      <c r="BH123" s="631">
        <f>(($AP123-$AA123-$AL123)+$BA123)*$BG123</f>
        <v>0</v>
      </c>
      <c r="BI123" s="635">
        <f>$BB123+$BD123+$BF123+$BH123</f>
        <v>-9.8770560000000364E-4</v>
      </c>
      <c r="BJ123" s="639" cm="1">
        <f t="array" ref="BJ123">IF($BB123&lt;=0,0,IF(BJ$2=-1,0,INDEX(Premises!$A$35:$F$35,1,$CH123)/100))</f>
        <v>0</v>
      </c>
      <c r="BK123" s="631">
        <f>IF($AP123&lt;=0,0,($AP123-$AL123-$AA123)*$BJ123)</f>
        <v>0</v>
      </c>
      <c r="BL123" s="639" cm="1">
        <f t="array" ref="BL123">IF($BB123&lt;=0,0,IF(BL$2=-1,0,INDEX(Premises!$A$36:$F$36,1,$CH123)/100))</f>
        <v>0</v>
      </c>
      <c r="BM123" s="631">
        <f>IF($AU123&lt;=0,0,($AR123*$AT123)*$BL123)</f>
        <v>0</v>
      </c>
      <c r="BN123" s="639" cm="1">
        <f t="array" ref="BN123">IF($BB123&lt;=0,0,IF(BN$2=-1,0,INDEX(Premises!$A$34:$F$34,1,$CH123)/100))</f>
        <v>0</v>
      </c>
      <c r="BO123" s="631">
        <f>(($AP123-$AL123-$AA123)+($AR123*$AT123))*$BN123</f>
        <v>0</v>
      </c>
      <c r="BP123" s="639" cm="1">
        <f t="array" ref="BP123">IF($BI123=0,0,INDEX(Premises!$A$37:$F$37,1,$CH123)/100)</f>
        <v>0</v>
      </c>
      <c r="BQ123" s="409"/>
      <c r="BR123" s="631">
        <f>($BI123+$BK123+$BM123+$BO123)*$BP123+$BQ123</f>
        <v>0</v>
      </c>
      <c r="BS123" s="1344">
        <f>BI123+BK123+BM123+BO123+BR123</f>
        <v>-9.8770560000000364E-4</v>
      </c>
      <c r="BT123" s="1344">
        <f>IF($BS123=0,0,$CK123*$BS123)</f>
        <v>-9.8770560000000364E-4</v>
      </c>
      <c r="BU123" s="642">
        <f>IF($BT123=0,0,MAX(1,$EB123/$DP123))</f>
        <v>1</v>
      </c>
      <c r="BV123" s="417"/>
      <c r="BW123" s="418"/>
      <c r="BX123" s="418"/>
      <c r="BY123" s="419"/>
      <c r="BZ123" s="968"/>
      <c r="CA123" s="280" cm="1">
        <f t="array" ref="CA123">IF($BZ123&gt;0,VALUE(LEFT($BZ123,IF(ISERROR(FIND("-",$BZ123)),LEN($BZ123),FIND("-",$BZ123)-1))),INDEX($CA$1:$CA123,MAX(1,$CD123)))</f>
        <v>1</v>
      </c>
      <c r="CB123" s="280" cm="1">
        <f t="array" ref="CB123">IF($BT123=0,0,IF(LEN($BZ123)-LEN(SUBSTITUTE($BZ123,"-",""))&gt;1,
VALUE(MID($BZ123,FIND("-",$BZ123)+1,FIND("-",$BZ123,FIND("-",$BZ123)+1)-FIND("-",$BZ123)-1)),IF($BZ123&gt;0,0,INDEX($CB$1:$CB123,MAX(1,$CD123)))))</f>
        <v>0</v>
      </c>
      <c r="CC123" s="280" cm="1">
        <f t="array" ref="CC123">IF($BT123=0,0,IF(NOT(ISERROR(FIND("-",BZ123))),
VALUE(RIGHT($BZ123,LEN($BZ123)-IF(LEN($BZ123)-LEN(SUBSTITUTE($BZ123,"-",""))=1,FIND("-",$BZ123),FIND("-",$BZ123,FIND("-",$BZ123)+1)))),
IF($BZ123&gt;0,0,INDEX($CC$1:$CC123,MAX(1,$CD123)))))</f>
        <v>0</v>
      </c>
      <c r="CD123" s="393">
        <f>MATCH(0,$CE$1:$CE123,-1)</f>
        <v>121</v>
      </c>
      <c r="CE123" s="280"/>
      <c r="CF123" s="394"/>
      <c r="CG123" s="393" cm="1">
        <f t="array" ref="CG123">INDEX($CG$1:$CG123,$CD123)</f>
        <v>14</v>
      </c>
      <c r="CH123" s="280">
        <f>MATCH($CA123,Premises!$A$10:$F$10,0)</f>
        <v>4</v>
      </c>
      <c r="CI123" s="280">
        <f>IF(ISBLANK($E123),0,IFERROR(MATCH($E123,MHR[Bezeichnung],0),0))</f>
        <v>0</v>
      </c>
      <c r="CJ123" s="394">
        <f>IF(ISBLANK($AQ123),0,IFERROR(MATCH($AQ123,MAT[Bezeichnung],0),0))</f>
        <v>17</v>
      </c>
      <c r="CK123" s="280" cm="1">
        <f t="array" ref="CK123">INDEX($D$1:$D123,$CD123)</f>
        <v>1</v>
      </c>
      <c r="CL123" s="280"/>
      <c r="CM123" s="395"/>
      <c r="CN123" s="396" cm="1">
        <f t="array" ref="CN123">IF($CB123=0,0,IF($CB123=INDEX($CB$1:$CB123,$CD123),INDEX($CN$1:$CN123,$CD123),$CP123))</f>
        <v>0</v>
      </c>
      <c r="CO123" s="395"/>
      <c r="CP123" s="396" cm="1">
        <f t="array" ref="CP123">IF($CC123=0,0,INDEX($CP$1:$CP123,$CD123))</f>
        <v>0</v>
      </c>
      <c r="CQ123" s="397"/>
      <c r="CR123" s="398"/>
      <c r="CS123" s="398"/>
      <c r="CT123" s="970"/>
      <c r="CU123" s="2"/>
      <c r="CV123" s="647">
        <f>$J123*$CK123</f>
        <v>0</v>
      </c>
      <c r="CW123" s="648">
        <f>$R123*$CK123</f>
        <v>0</v>
      </c>
      <c r="CX123" s="648">
        <f>$V123*$CK123</f>
        <v>0</v>
      </c>
      <c r="CY123" s="648">
        <f>$AA123*$CK123</f>
        <v>0</v>
      </c>
      <c r="CZ123" s="648">
        <f>$AF123*$CK123</f>
        <v>0</v>
      </c>
      <c r="DA123" s="648">
        <f>$AL123*$CK123</f>
        <v>0</v>
      </c>
      <c r="DB123" s="648">
        <f>$AO123*$CK123</f>
        <v>0</v>
      </c>
      <c r="DC123" s="649">
        <f>$AP123*$CK123</f>
        <v>0</v>
      </c>
      <c r="DD123" s="648">
        <f>$AU123*$CK123</f>
        <v>-9.8770560000000364E-4</v>
      </c>
      <c r="DE123" s="648">
        <f>$AX123*$CK123</f>
        <v>0</v>
      </c>
      <c r="DF123" s="648">
        <f>$AZ123*$CK123</f>
        <v>0</v>
      </c>
      <c r="DG123" s="649">
        <f>$BA123*$CK123</f>
        <v>-9.8770560000000364E-4</v>
      </c>
      <c r="DH123" s="649">
        <f>$BB123*$CK123</f>
        <v>-9.8770560000000364E-4</v>
      </c>
      <c r="DI123" s="648">
        <f>$BD123*$CK123</f>
        <v>0</v>
      </c>
      <c r="DJ123" s="648">
        <f>$BF123*$CK123</f>
        <v>0</v>
      </c>
      <c r="DK123" s="648">
        <f>$BH123*$CK123</f>
        <v>0</v>
      </c>
      <c r="DL123" s="648">
        <f>$BK123*$CK123</f>
        <v>0</v>
      </c>
      <c r="DM123" s="648">
        <f>$BM123*$CK123</f>
        <v>0</v>
      </c>
      <c r="DN123" s="648">
        <f>$BO123*$CK123</f>
        <v>0</v>
      </c>
      <c r="DO123" s="648">
        <f>$BR123*$CK123</f>
        <v>0</v>
      </c>
      <c r="DP123" s="651">
        <f>$CK123*($BB123+$BD123+$BF123+$BH123+$BK123+$BM123+$BO123+$BR123)</f>
        <v>-9.8770560000000364E-4</v>
      </c>
      <c r="DQ123" s="951">
        <f>IF($CB123=0,0,$DP123*_xlfn.XLOOKUP($CB123,Premises!$A$10:$F$10,Premises!$A$30:$F$30)/100)</f>
        <v>0</v>
      </c>
      <c r="DR123" s="650">
        <f>IFERROR(SUM($DP123:$DQ123)*IF(INDEX(Premises!$A$42:$F$42,1,MATCH($CB123,Premises!$A$10:$F$10,0))&gt;0,INDEX(Premises!$A$42:$F$42,1,MATCH($CB123,Premises!$A$10:$F$10,0))%,$CN123),0)</f>
        <v>0</v>
      </c>
      <c r="DS123" s="650" cm="1">
        <f t="array" ref="DS123">IF($CB123=0,0,SUM($DP123:$DR123)*_xlfn.XLOOKUP($CB123,Premises!$A$10:$F$10,IF(INDEX(Settings[],MATCH(3001,Settings[ID],0),2)="B",Premises!$A$33:$F$33,Premises!$A$31:$F$31))/100)</f>
        <v>0</v>
      </c>
      <c r="DT123" s="650" cm="1">
        <f t="array" ref="DT123">IF($CB123=0,0,$DP123*_xlfn.XLOOKUP($CB123,Premises!$A$10:$F$10,IF(INDEX(Settings[],MATCH(3002,Settings[ID],0),2)="B",Premises!$A$36:$F$36,Premises!$A$34:$F$34))/100)</f>
        <v>0</v>
      </c>
      <c r="DU123" s="650">
        <f>IF($CB123=0,0,SUM($DP123:$DT123)*_xlfn.XLOOKUP($CB123,Premises!$A$10:$F$10,Premises!$A$37:$F$37)/100)</f>
        <v>0</v>
      </c>
      <c r="DV123" s="954">
        <f>SUM($DP123:$DU123)</f>
        <v>-9.8770560000000364E-4</v>
      </c>
      <c r="DW123" s="951">
        <f>IF($CC123=0,0,$DV123*_xlfn.XLOOKUP($CC123,Premises!$A$10:$F$10,Premises!$A$30:$F$30)/100)</f>
        <v>0</v>
      </c>
      <c r="DX123" s="650">
        <f>IFERROR(SUM($DV123:$DW123)*IF(INDEX(Premises!$A$42:$F$42,1,MATCH($CC123,Premises!$A$10:$F$10,0))&gt;0,INDEX(Premises!$A$42:$F$42,1,MATCH($CC123,Premises!$A$10:$F$10,0))%,$CP123),0)</f>
        <v>0</v>
      </c>
      <c r="DY123" s="650" cm="1">
        <f t="array" ref="DY123">IF($CC123=0,0,SUM($DV123:$DX123)*_xlfn.XLOOKUP($CC123,Premises!$A$10:$F$10,IF(INDEX(Settings[],MATCH(3001,Settings[ID],0),2)="B",Premises!$A$33:$F$33,Premises!$A$31:$F$31))/100)</f>
        <v>0</v>
      </c>
      <c r="DZ123" s="650" cm="1">
        <f t="array" ref="DZ123">IF($CC123=0,0,$DV123*_xlfn.XLOOKUP($CC123,Premises!$A$10:$F$10,IF(INDEX(Settings[],MATCH(3002,Settings[ID],0),2)="B",Premises!$A$36:$F$36,Premises!$A$34:$F$34))/100)</f>
        <v>0</v>
      </c>
      <c r="EA123" s="650">
        <f>IF($CC123=0,0,SUM($DV123:$DZ123)*_xlfn.XLOOKUP($CC123,Premises!$A$10:$F$10,Premises!$A$37:$F$37)/100)</f>
        <v>0</v>
      </c>
      <c r="EB123" s="651">
        <f>SUM($DV123:$EA123)</f>
        <v>-9.8770560000000364E-4</v>
      </c>
      <c r="EC123" s="805"/>
      <c r="ED123" s="1104"/>
      <c r="EE123" s="650"/>
      <c r="EF123" s="1110"/>
      <c r="EG123" s="1108"/>
      <c r="EH123" s="1108"/>
      <c r="EI123" s="1108"/>
      <c r="EJ123" s="1108"/>
      <c r="EK123" s="1108"/>
      <c r="EL123" s="1108"/>
      <c r="EM123" s="1110"/>
      <c r="EN123" s="1108"/>
      <c r="EO123" s="1108"/>
      <c r="EP123" s="1108"/>
      <c r="EQ123" s="1108"/>
      <c r="ER123" s="1110"/>
      <c r="ES123" s="1108"/>
      <c r="ET123" s="1108"/>
      <c r="EU123" s="1108"/>
      <c r="EV123" s="1108"/>
      <c r="EW123" s="1108"/>
      <c r="EX123" s="1111"/>
      <c r="EY123" s="2"/>
      <c r="EZ123" s="2"/>
      <c r="FA123" s="2"/>
      <c r="FB123" s="2"/>
      <c r="FC123" s="2"/>
      <c r="FD123" s="2"/>
      <c r="FE123" s="2"/>
      <c r="FF123" s="2"/>
      <c r="FG123" s="2"/>
      <c r="FH123" s="2"/>
      <c r="FI123" s="2"/>
      <c r="FJ123" s="420"/>
      <c r="FK123" s="421"/>
      <c r="FL123" s="422"/>
      <c r="FM123" s="970"/>
    </row>
    <row r="124" spans="1:169" s="13" customFormat="1" ht="12.75" customHeight="1">
      <c r="A124" s="221"/>
      <c r="B124" s="402"/>
      <c r="C124" s="403"/>
      <c r="D124" s="646"/>
      <c r="E124" s="404"/>
      <c r="F124" s="405"/>
      <c r="G124" s="405"/>
      <c r="H124" s="405"/>
      <c r="I124" s="637" cm="1">
        <f t="array" ref="I124">IF($CI124=0,0,IFERROR(INDEX(MHR[],$CI124,MATCH($CA124,MHR!$B$4:$AY$4,0)),0))</f>
        <v>0</v>
      </c>
      <c r="J124" s="634">
        <f>IF(COUNTBLANK($E124:$H124),0,IFERROR($F124/$H124/IF($G124="s",3600,IF($G124="min",60,IF($G124="h",1,0)))*I124,0))</f>
        <v>0</v>
      </c>
      <c r="K124" s="406"/>
      <c r="L124" s="407"/>
      <c r="M124" s="871"/>
      <c r="N124" s="407"/>
      <c r="O124" s="405"/>
      <c r="P124" s="645" cm="1">
        <f t="array" ref="P124">IF($K124=0,0,IFERROR(ROUNDUP(IF(ISNUMBER($K124),$K124,INDEX($D$1:$D124,$CD124)*INDEX(Premises!$A$13:$F$13,1,$CH124)/IF(OR($K124="T",$K124="D"),250,IF($K124="W",50,IF($K124="M",12,IF(OR($K124="HJ",$K124="HY"),2,IF(OR($K124="J",$K124="Y"),1,0)))))),0),0))</f>
        <v>0</v>
      </c>
      <c r="Q124" s="637" cm="1">
        <f t="array" ref="Q124">IF($K124=0,0,IFERROR(INDEX(Premises!$A$22:$F$22,1,$CH124)*100/INDEX(Premises!$A$16:$F$16,1,$CH124),0))</f>
        <v>0</v>
      </c>
      <c r="R124" s="634">
        <f>IF($P124=0,0,IFERROR(($L124/60*($I124+$Q124*$M124)+($N124/60*($Q124*$O124)))/$P124,0))</f>
        <v>0</v>
      </c>
      <c r="S124" s="408"/>
      <c r="T124" s="409"/>
      <c r="U124" s="637" cm="1">
        <f t="array" ref="U124">IF(COUNTBLANK($S124:$T124),0,
IF(AND(INDEX(MHR[Schichtmodell],$CI124)&lt;&gt;0,INDEX(MHR[Schichtmodell],$CI124)&lt;&gt;INDEX(Premises!$A$20:$F$20,1,$CH124)),ExchangeRate*
IF(OR($T124="M",$T124="U"),IF(INDEX(MHR[Schichtmodell],$CI124)=1,INDEX(LOC[M1S],INDEX(Premises!$A$18:$F$18,1,$CH124+1)),IF(INDEX(MHR[Schichtmodell],$CI124)=2,INDEX(LOC[M2S],INDEX(Premises!$A$18:$F$18,1,$CH124+1),IF(INDEX(MHR[Schichtmodell],$CI124)=3,INDEX(LOC[M3S],INDEX(Premises!$A$18:$F$18,1,$CH124+1)),0)))),
IF(INDEX(MHR[Schichtmodell],$CI124)=1,INDEX(LOC[F1S],INDEX(Premises!$A$18:$F$18,1,$CH124+1)),IF(INDEX(MHR[Schichtmodell],$CI124)=2,INDEX(LOC[F2S],INDEX(Premises!$A$18:$F$18,1,$CH124+1)),IF(INDEX(MHR[Schichtmodell],$CI124)=3,INDEX(LOC[F3S],INDEX(Premises!$A$18:$F$18,1,$CH124+1)),0)))),
IF(OR($T124="M",$T124="U"),INDEX(Premises!$A$21:$F$21,1,$CH124),
IF(OR($T124="F",$T124="S"),INDEX(Premises!$A$22:$F$22,1,$CH124),0)))*100/INDEX(Premises!$A$16:$F$16,1,$CH124))</f>
        <v>0</v>
      </c>
      <c r="V124" s="631">
        <f>IF($U124=0,0,IFERROR($F124/$H124/IF($G124="s",3600,IF($G124="min",60,IF($G124="h",1,0)))*$S124*$U124,0))</f>
        <v>0</v>
      </c>
      <c r="W124" s="410"/>
      <c r="X124" s="403"/>
      <c r="Y124" s="411"/>
      <c r="Z124" s="412"/>
      <c r="AA124" s="628">
        <f>IFERROR($X124*$Z124/$Y124/MAX(1,$H124),0)</f>
        <v>0</v>
      </c>
      <c r="AB124" s="410"/>
      <c r="AC124" s="403"/>
      <c r="AD124" s="411"/>
      <c r="AE124" s="413"/>
      <c r="AF124" s="628">
        <f>IFERROR($AC124*$AE124/$AD124,0)</f>
        <v>0</v>
      </c>
      <c r="AG124" s="629" cm="1">
        <f t="array" ref="AG124">IF(($J124+$V124+$AF124)=0,0,INDEX(Premises!$A$30:$F$30,1,$CH124)/100)</f>
        <v>0</v>
      </c>
      <c r="AH124" s="414"/>
      <c r="AI124" s="415"/>
      <c r="AJ124" s="416"/>
      <c r="AK124" s="630">
        <f>IF(COUNTBLANK($AH124:$AI124),0,$AH124*$AI124*$AG124)</f>
        <v>0</v>
      </c>
      <c r="AL124" s="631">
        <f>($AK124+$AJ124*$AG124*(1-$AH124)+($J124+$V124+$AF124)*$AG124*(1-$AH124))</f>
        <v>0</v>
      </c>
      <c r="AM124" s="632" cm="1">
        <f t="array" ref="AM124">IF($CI124=0,0,IFERROR(INDEX(MHR[],$CI124,MATCH($CA124,MHR!$B$4:$AY$4,0)+11),0))</f>
        <v>0</v>
      </c>
      <c r="AN124" s="633" cm="1">
        <f t="array" ref="AN124">IF(($J124+$V124)=0,0,IFERROR(IF(INDEX(Premises!$A$41:$F$41,1,$CH124)&lt;&gt;0,INDEX(Premises!$A$41:$F$41,1,$CH124)/100,(IFERROR(($J124/$I124)*$AM124,0)/($V124+$J124+$R124+$AL124))),0))</f>
        <v>0</v>
      </c>
      <c r="AO124" s="634">
        <f>IF(($J124+$V124)=0,0,IF(IFERROR(($J124+$R124+$V124+$AL124)*$AN124,0)&lt;&gt;IFERROR(($J124/$I124)*$AM124,0),($J124+$R124+$V124+$AL124)*$AN124,IFERROR(($J124/$I124)*$AM124,0)))</f>
        <v>0</v>
      </c>
      <c r="AP124" s="635">
        <f>$V124+$J124+$R124+$AA124+$AF124+$AL124+$AO124</f>
        <v>0</v>
      </c>
      <c r="AQ124" s="410"/>
      <c r="AR124" s="409"/>
      <c r="AS124" s="636" cm="1">
        <f t="array" ref="AS124">IF($CJ124=0,0,IFERROR(INDEX(MAT[Einheit],$CJ124,1),0))</f>
        <v>0</v>
      </c>
      <c r="AT124" s="637" cm="1">
        <f t="array" ref="AT124">IF($CJ124=0,0,IFERROR(INDEX(MAT[Preis],$CJ124,1),0))</f>
        <v>0</v>
      </c>
      <c r="AU124" s="638">
        <f>$AR124*$AT124</f>
        <v>0</v>
      </c>
      <c r="AV124" s="639" cm="1">
        <f t="array" ref="AV124">IF($AU124&lt;=0,0,INDEX(Premises!$A$30:$F$30,1,$CH124)/100)</f>
        <v>0</v>
      </c>
      <c r="AW124" s="409"/>
      <c r="AX124" s="631">
        <f>IF($AV124=0,0,($AU124+$AW124)*$AV124)</f>
        <v>0</v>
      </c>
      <c r="AY124" s="640" cm="1">
        <f t="array" ref="AY124">IF($AT124&lt;=0,0,IFERROR(IF(INDEX(Premises!$A$42:$F$42,1,$CH124)&lt;&gt;0,INDEX(Premises!$A$42:$F$42,1,$CH124)/100,(INDEX(MAT[],$CJ124,MATCH($CA124,MAT!$B$4:$AE$4,0))/($AR124*$CK124*INDEX(Premises!$A$13:$F$13,1,$CH124))+INDEX(MAT[],$CJ124,MATCH($CA124,MAT!$B$4:$AE$4,0)+7))/$AT124),0))</f>
        <v>0</v>
      </c>
      <c r="AZ124" s="631">
        <f>IF($AY124=0,0,($AU124+$AX124)*$AY124)</f>
        <v>0</v>
      </c>
      <c r="BA124" s="635">
        <f>$AU124+$AX124+$AZ124</f>
        <v>0</v>
      </c>
      <c r="BB124" s="635">
        <f>$AP124+$BA124</f>
        <v>0</v>
      </c>
      <c r="BC124" s="639" cm="1">
        <f t="array" ref="BC124">IF($BB124&lt;=0,0,IF(BC$2=-1,0,INDEX(Premises!$A$32:$F$32,1,$CH124)/100))</f>
        <v>0</v>
      </c>
      <c r="BD124" s="631">
        <f>IF($AP124&lt;=0,0,($AP124-$AA124-$AL124)*$BC124)</f>
        <v>0</v>
      </c>
      <c r="BE124" s="639" cm="1">
        <f t="array" ref="BE124">IF($BB124&lt;=0,0,IF(BE$2=-1,0,INDEX(Premises!$A$33:$F$33,1,$CH124)/100))</f>
        <v>0</v>
      </c>
      <c r="BF124" s="631">
        <f>IF($BA124&lt;=0,0,$BA124*$BE124)</f>
        <v>0</v>
      </c>
      <c r="BG124" s="639" cm="1">
        <f t="array" ref="BG124">IF($BB124&lt;=0,0,IF(BG$2=-1,0,INDEX(Premises!$A$31:$F$31,1,$CH124)/100))</f>
        <v>0</v>
      </c>
      <c r="BH124" s="631">
        <f>(($AP124-$AA124-$AL124)+$BA124)*$BG124</f>
        <v>0</v>
      </c>
      <c r="BI124" s="635">
        <f>$BB124+$BD124+$BF124+$BH124</f>
        <v>0</v>
      </c>
      <c r="BJ124" s="639" cm="1">
        <f t="array" ref="BJ124">IF($BB124&lt;=0,0,IF(BJ$2=-1,0,INDEX(Premises!$A$35:$F$35,1,$CH124)/100))</f>
        <v>0</v>
      </c>
      <c r="BK124" s="631">
        <f>IF($AP124&lt;=0,0,($AP124-$AL124-$AA124)*$BJ124)</f>
        <v>0</v>
      </c>
      <c r="BL124" s="639" cm="1">
        <f t="array" ref="BL124">IF($BB124&lt;=0,0,IF(BL$2=-1,0,INDEX(Premises!$A$36:$F$36,1,$CH124)/100))</f>
        <v>0</v>
      </c>
      <c r="BM124" s="631">
        <f>IF($AU124&lt;=0,0,($AR124*$AT124)*$BL124)</f>
        <v>0</v>
      </c>
      <c r="BN124" s="639" cm="1">
        <f t="array" ref="BN124">IF($BB124&lt;=0,0,IF(BN$2=-1,0,INDEX(Premises!$A$34:$F$34,1,$CH124)/100))</f>
        <v>0</v>
      </c>
      <c r="BO124" s="631">
        <f>(($AP124-$AL124-$AA124)+($AR124*$AT124))*$BN124</f>
        <v>0</v>
      </c>
      <c r="BP124" s="639" cm="1">
        <f t="array" ref="BP124">IF($BI124=0,0,INDEX(Premises!$A$37:$F$37,1,$CH124)/100)</f>
        <v>0</v>
      </c>
      <c r="BQ124" s="409"/>
      <c r="BR124" s="631">
        <f>($BI124+$BK124+$BM124+$BO124)*$BP124+$BQ124</f>
        <v>0</v>
      </c>
      <c r="BS124" s="641">
        <f>BI124+BK124+BM124+BO124+BR124</f>
        <v>0</v>
      </c>
      <c r="BT124" s="641">
        <f>IF($BS124=0,0,$CK124*$BS124)</f>
        <v>0</v>
      </c>
      <c r="BU124" s="642">
        <f>IF($BT124=0,0,MAX(1,$EB124/$DP124))</f>
        <v>0</v>
      </c>
      <c r="BV124" s="1147"/>
      <c r="BW124" s="418"/>
      <c r="BX124" s="418"/>
      <c r="BY124" s="419"/>
      <c r="BZ124" s="968"/>
      <c r="CA124" s="280" cm="1">
        <f t="array" ref="CA124">IF($BZ124&gt;0,VALUE(LEFT($BZ124,IF(ISERROR(FIND("-",$BZ124)),LEN($BZ124),FIND("-",$BZ124)-1))),INDEX($CA$1:$CA124,MAX(1,$CD124)))</f>
        <v>1</v>
      </c>
      <c r="CB124" s="280" cm="1">
        <f t="array" ref="CB124">IF($BT124=0,0,IF(LEN($BZ124)-LEN(SUBSTITUTE($BZ124,"-",""))&gt;1,
VALUE(MID($BZ124,FIND("-",$BZ124)+1,FIND("-",$BZ124,FIND("-",$BZ124)+1)-FIND("-",$BZ124)-1)),IF($BZ124&gt;0,0,INDEX($CB$1:$CB124,MAX(1,$CD124)))))</f>
        <v>0</v>
      </c>
      <c r="CC124" s="280" cm="1">
        <f t="array" ref="CC124">IF($BT124=0,0,IF(NOT(ISERROR(FIND("-",BZ124))),
VALUE(RIGHT($BZ124,LEN($BZ124)-IF(LEN($BZ124)-LEN(SUBSTITUTE($BZ124,"-",""))=1,FIND("-",$BZ124),FIND("-",$BZ124,FIND("-",$BZ124)+1)))),
IF($BZ124&gt;0,0,INDEX($CC$1:$CC124,MAX(1,$CD124)))))</f>
        <v>0</v>
      </c>
      <c r="CD124" s="393">
        <f>MATCH(0,$CE$1:$CE124,-1)</f>
        <v>121</v>
      </c>
      <c r="CE124" s="280"/>
      <c r="CF124" s="394"/>
      <c r="CG124" s="393" cm="1">
        <f t="array" ref="CG124">INDEX($CG$1:$CG124,$CD124)</f>
        <v>14</v>
      </c>
      <c r="CH124" s="280">
        <f>MATCH($CA124,Premises!$A$10:$F$10,0)</f>
        <v>4</v>
      </c>
      <c r="CI124" s="280">
        <f>IF(ISBLANK($E124),0,IFERROR(MATCH($E124,MHR[Bezeichnung],0),0))</f>
        <v>0</v>
      </c>
      <c r="CJ124" s="394">
        <f>IF(ISBLANK($AQ124),0,IFERROR(MATCH($AQ124,MAT[Bezeichnung],0),0))</f>
        <v>0</v>
      </c>
      <c r="CK124" s="280" cm="1">
        <f t="array" ref="CK124">INDEX($D$1:$D124,$CD124)</f>
        <v>1</v>
      </c>
      <c r="CL124" s="280"/>
      <c r="CM124" s="395"/>
      <c r="CN124" s="396" cm="1">
        <f t="array" ref="CN124">IF($CB124=0,0,IF($CB124=INDEX($CB$1:$CB124,$CD124),INDEX($CN$1:$CN124,$CD124),$CP124))</f>
        <v>0</v>
      </c>
      <c r="CO124" s="395"/>
      <c r="CP124" s="396" cm="1">
        <f t="array" ref="CP124">IF($CC124=0,0,INDEX($CP$1:$CP124,$CD124))</f>
        <v>0</v>
      </c>
      <c r="CQ124" s="397"/>
      <c r="CR124" s="398"/>
      <c r="CS124" s="398"/>
      <c r="CT124" s="1152"/>
      <c r="CU124" s="1149"/>
      <c r="CV124" s="647">
        <f>$J124*$CK124</f>
        <v>0</v>
      </c>
      <c r="CW124" s="648">
        <f>$R124*$CK124</f>
        <v>0</v>
      </c>
      <c r="CX124" s="648">
        <f>$V124*$CK124</f>
        <v>0</v>
      </c>
      <c r="CY124" s="648">
        <f>$AA124*$CK124</f>
        <v>0</v>
      </c>
      <c r="CZ124" s="648">
        <f>$AF124*$CK124</f>
        <v>0</v>
      </c>
      <c r="DA124" s="648">
        <f>$AL124*$CK124</f>
        <v>0</v>
      </c>
      <c r="DB124" s="648">
        <f>$AO124*$CK124</f>
        <v>0</v>
      </c>
      <c r="DC124" s="649">
        <f>$AP124*$CK124</f>
        <v>0</v>
      </c>
      <c r="DD124" s="648">
        <f>$AU124*$CK124</f>
        <v>0</v>
      </c>
      <c r="DE124" s="648">
        <f>$AX124*$CK124</f>
        <v>0</v>
      </c>
      <c r="DF124" s="648">
        <f>$AZ124*$CK124</f>
        <v>0</v>
      </c>
      <c r="DG124" s="649">
        <f>$BA124*$CK124</f>
        <v>0</v>
      </c>
      <c r="DH124" s="649">
        <f>$BB124*$CK124</f>
        <v>0</v>
      </c>
      <c r="DI124" s="648">
        <f>$BD124*$CK124</f>
        <v>0</v>
      </c>
      <c r="DJ124" s="648">
        <f>$BF124*$CK124</f>
        <v>0</v>
      </c>
      <c r="DK124" s="648">
        <f>$BH124*$CK124</f>
        <v>0</v>
      </c>
      <c r="DL124" s="648">
        <f>$BK124*$CK124</f>
        <v>0</v>
      </c>
      <c r="DM124" s="648">
        <f>$BM124*$CK124</f>
        <v>0</v>
      </c>
      <c r="DN124" s="648">
        <f>$BO124*$CK124</f>
        <v>0</v>
      </c>
      <c r="DO124" s="648">
        <f>$BR124*$CK124</f>
        <v>0</v>
      </c>
      <c r="DP124" s="651">
        <f>$CK124*($BB124+$BD124+$BF124+$BH124+$BK124+$BM124+$BO124+$BR124)</f>
        <v>0</v>
      </c>
      <c r="DQ124" s="951">
        <f>IF($CB124=0,0,$DP124*_xlfn.XLOOKUP($CB124,Premises!$A$10:$F$10,Premises!$A$30:$F$30)/100)</f>
        <v>0</v>
      </c>
      <c r="DR124" s="650">
        <f>IFERROR(SUM($DP124:$DQ124)*IF(INDEX(Premises!$A$42:$F$42,1,MATCH($CB124,Premises!$A$10:$F$10,0))&gt;0,INDEX(Premises!$A$42:$F$42,1,MATCH($CB124,Premises!$A$10:$F$10,0))%,$CN124),0)</f>
        <v>0</v>
      </c>
      <c r="DS124" s="650" cm="1">
        <f t="array" ref="DS124">IF($CB124=0,0,SUM($DP124:$DR124)*_xlfn.XLOOKUP($CB124,Premises!$A$10:$F$10,IF(INDEX(Settings[],MATCH(3001,Settings[ID],0),2)="B",Premises!$A$33:$F$33,Premises!$A$31:$F$31))/100)</f>
        <v>0</v>
      </c>
      <c r="DT124" s="650" cm="1">
        <f t="array" ref="DT124">IF($CB124=0,0,$DP124*_xlfn.XLOOKUP($CB124,Premises!$A$10:$F$10,IF(INDEX(Settings[],MATCH(3002,Settings[ID],0),2)="B",Premises!$A$36:$F$36,Premises!$A$34:$F$34))/100)</f>
        <v>0</v>
      </c>
      <c r="DU124" s="650">
        <f>IF($CB124=0,0,SUM($DP124:$DT124)*_xlfn.XLOOKUP($CB124,Premises!$A$10:$F$10,Premises!$A$37:$F$37)/100)</f>
        <v>0</v>
      </c>
      <c r="DV124" s="954">
        <f>SUM($DP124:$DU124)</f>
        <v>0</v>
      </c>
      <c r="DW124" s="951">
        <f>IF($CC124=0,0,$DV124*_xlfn.XLOOKUP($CC124,Premises!$A$10:$F$10,Premises!$A$30:$F$30)/100)</f>
        <v>0</v>
      </c>
      <c r="DX124" s="650">
        <f>IFERROR(SUM($DV124:$DW124)*IF(INDEX(Premises!$A$42:$F$42,1,MATCH($CC124,Premises!$A$10:$F$10,0))&gt;0,INDEX(Premises!$A$42:$F$42,1,MATCH($CC124,Premises!$A$10:$F$10,0))%,$CP124),0)</f>
        <v>0</v>
      </c>
      <c r="DY124" s="650" cm="1">
        <f t="array" ref="DY124">IF($CC124=0,0,SUM($DV124:$DX124)*_xlfn.XLOOKUP($CC124,Premises!$A$10:$F$10,IF(INDEX(Settings[],MATCH(3001,Settings[ID],0),2)="B",Premises!$A$33:$F$33,Premises!$A$31:$F$31))/100)</f>
        <v>0</v>
      </c>
      <c r="DZ124" s="650" cm="1">
        <f t="array" ref="DZ124">IF($CC124=0,0,$DV124*_xlfn.XLOOKUP($CC124,Premises!$A$10:$F$10,IF(INDEX(Settings[],MATCH(3002,Settings[ID],0),2)="B",Premises!$A$36:$F$36,Premises!$A$34:$F$34))/100)</f>
        <v>0</v>
      </c>
      <c r="EA124" s="650">
        <f>IF($CC124=0,0,SUM($DV124:$DZ124)*_xlfn.XLOOKUP($CC124,Premises!$A$10:$F$10,Premises!$A$37:$F$37)/100)</f>
        <v>0</v>
      </c>
      <c r="EB124" s="651">
        <f>SUM($DV124:$EA124)</f>
        <v>0</v>
      </c>
      <c r="EC124" s="805"/>
      <c r="ED124" s="1104"/>
      <c r="EE124" s="650"/>
      <c r="EF124" s="1110"/>
      <c r="EG124" s="1108"/>
      <c r="EH124" s="1108"/>
      <c r="EI124" s="1108"/>
      <c r="EJ124" s="1108"/>
      <c r="EK124" s="1108"/>
      <c r="EL124" s="1108"/>
      <c r="EM124" s="1110"/>
      <c r="EN124" s="1108"/>
      <c r="EO124" s="1108"/>
      <c r="EP124" s="1108"/>
      <c r="EQ124" s="1108"/>
      <c r="ER124" s="1110"/>
      <c r="ES124" s="1108"/>
      <c r="ET124" s="1108"/>
      <c r="EU124" s="1108"/>
      <c r="EV124" s="1108"/>
      <c r="EW124" s="1108"/>
      <c r="EX124" s="1111"/>
      <c r="EY124" s="2"/>
      <c r="EZ124" s="2"/>
      <c r="FA124" s="2"/>
      <c r="FB124" s="2"/>
      <c r="FC124" s="2"/>
      <c r="FD124" s="2"/>
      <c r="FE124" s="2"/>
      <c r="FF124" s="2"/>
      <c r="FG124" s="2"/>
      <c r="FH124" s="2"/>
      <c r="FI124" s="2"/>
      <c r="FJ124" s="420"/>
      <c r="FK124" s="421"/>
      <c r="FL124" s="422"/>
      <c r="FM124" s="1153"/>
    </row>
    <row r="125" spans="1:169" s="13" customFormat="1" ht="12.75" customHeight="1">
      <c r="A125" s="221"/>
      <c r="B125" s="1329" t="s">
        <v>4353</v>
      </c>
      <c r="C125" s="403"/>
      <c r="D125" s="646"/>
      <c r="E125" s="404" t="s">
        <v>4351</v>
      </c>
      <c r="F125" s="405">
        <f>60/300</f>
        <v>0.2</v>
      </c>
      <c r="G125" s="405" t="s">
        <v>93</v>
      </c>
      <c r="H125" s="405">
        <v>2</v>
      </c>
      <c r="I125" s="637" cm="1">
        <f t="array" ref="I125">IF($CI125=0,0,IFERROR(INDEX(MHR[],$CI125,MATCH($CA125,MHR!$B$4:$AY$4,0)),0))</f>
        <v>16.313672453703706</v>
      </c>
      <c r="J125" s="634">
        <f>IF(COUNTBLANK($E125:$H125),0,IFERROR($F125/$H125/IF($G125="s",3600,IF($G125="min",60,IF($G125="h",1,0)))*I125,0))</f>
        <v>4.531575681584363E-4</v>
      </c>
      <c r="K125" s="406" t="s">
        <v>49</v>
      </c>
      <c r="L125" s="407">
        <v>2</v>
      </c>
      <c r="M125" s="871">
        <v>15</v>
      </c>
      <c r="N125" s="407"/>
      <c r="O125" s="405"/>
      <c r="P125" s="645" cm="1">
        <f t="array" ref="P125">IF($K125=0,0,IFERROR(ROUNDUP(IF(ISNUMBER($K125),$K125,INDEX($D$1:$D125,$CD125)*INDEX(Premises!$A$13:$F$13,1,$CH125)/IF(OR($K125="T",$K125="D"),250,IF($K125="W",50,IF($K125="M",12,IF(OR($K125="HJ",$K125="HY"),2,IF(OR($K125="J",$K125="Y"),1,0)))))),0),0))</f>
        <v>3334</v>
      </c>
      <c r="Q125" s="637" cm="1">
        <f t="array" ref="Q125">IF($K125=0,0,IFERROR(INDEX(Premises!$A$22:$F$22,1,$CH125)*100/INDEX(Premises!$A$16:$F$16,1,$CH125),0))</f>
        <v>16.925000000000001</v>
      </c>
      <c r="R125" s="634">
        <f>IF($P125=0,0,IFERROR(($L125/60*($I125+$Q125*$M125)+($N125/60*($Q125*$O125)))/$P125,0))</f>
        <v>2.7013464552459879E-3</v>
      </c>
      <c r="S125" s="408">
        <v>1</v>
      </c>
      <c r="T125" s="409" t="s">
        <v>275</v>
      </c>
      <c r="U125" s="637" cm="1">
        <f t="array" ref="U125">IF(COUNTBLANK($S125:$T125),0,
IF(AND(INDEX(MHR[Schichtmodell],$CI125)&lt;&gt;0,INDEX(MHR[Schichtmodell],$CI125)&lt;&gt;INDEX(Premises!$A$20:$F$20,1,$CH125)),ExchangeRate*
IF(OR($T125="M",$T125="U"),IF(INDEX(MHR[Schichtmodell],$CI125)=1,INDEX(LOC[M1S],INDEX(Premises!$A$18:$F$18,1,$CH125+1)),IF(INDEX(MHR[Schichtmodell],$CI125)=2,INDEX(LOC[M2S],INDEX(Premises!$A$18:$F$18,1,$CH125+1),IF(INDEX(MHR[Schichtmodell],$CI125)=3,INDEX(LOC[M3S],INDEX(Premises!$A$18:$F$18,1,$CH125+1)),0)))),
IF(INDEX(MHR[Schichtmodell],$CI125)=1,INDEX(LOC[F1S],INDEX(Premises!$A$18:$F$18,1,$CH125+1)),IF(INDEX(MHR[Schichtmodell],$CI125)=2,INDEX(LOC[F2S],INDEX(Premises!$A$18:$F$18,1,$CH125+1)),IF(INDEX(MHR[Schichtmodell],$CI125)=3,INDEX(LOC[F3S],INDEX(Premises!$A$18:$F$18,1,$CH125+1)),0)))),
IF(OR($T125="M",$T125="U"),INDEX(Premises!$A$21:$F$21,1,$CH125),
IF(OR($T125="F",$T125="S"),INDEX(Premises!$A$22:$F$22,1,$CH125),0)))*100/INDEX(Premises!$A$16:$F$16,1,$CH125))</f>
        <v>12.037500000000001</v>
      </c>
      <c r="V125" s="631">
        <f>IF($U125=0,0,IFERROR($F125/$H125/IF($G125="s",3600,IF($G125="min",60,IF($G125="h",1,0)))*$S125*$U125,0))</f>
        <v>3.3437500000000004E-4</v>
      </c>
      <c r="W125" s="410"/>
      <c r="X125" s="403"/>
      <c r="Y125" s="411"/>
      <c r="Z125" s="412"/>
      <c r="AA125" s="628">
        <f>IFERROR($X125*$Z125/$Y125/MAX(1,$H125),0)</f>
        <v>0</v>
      </c>
      <c r="AB125" s="410"/>
      <c r="AC125" s="403"/>
      <c r="AD125" s="411"/>
      <c r="AE125" s="413"/>
      <c r="AF125" s="628">
        <f>IFERROR($AC125*$AE125/$AD125,0)</f>
        <v>0</v>
      </c>
      <c r="AG125" s="629" cm="1">
        <f t="array" ref="AG125">IF(($J125+$V125+$AF125)=0,0,INDEX(Premises!$A$30:$F$30,1,$CH125)/100)</f>
        <v>0.01</v>
      </c>
      <c r="AH125" s="414"/>
      <c r="AI125" s="415"/>
      <c r="AJ125" s="416"/>
      <c r="AK125" s="630">
        <f>IF(COUNTBLANK($AH125:$AI125),0,$AH125*$AI125*$AG125)</f>
        <v>0</v>
      </c>
      <c r="AL125" s="631">
        <f>($AK125+$AJ125*$AG125*(1-$AH125)+($J125+$V125+$AF125)*$AG125*(1-$AH125))</f>
        <v>7.8753256815843639E-6</v>
      </c>
      <c r="AM125" s="632" cm="1">
        <f t="array" ref="AM125">IF($CI125=0,0,IFERROR(INDEX(MHR[],$CI125,MATCH($CA125,MHR!$B$4:$AY$4,0)+11),0))</f>
        <v>2.2604280236972052</v>
      </c>
      <c r="AN125" s="633" cm="1">
        <f t="array" ref="AN125">IF(($J125+$V125)=0,0,IFERROR(IF(INDEX(Premises!$A$41:$F$41,1,$CH125)&lt;&gt;0,INDEX(Premises!$A$41:$F$41,1,$CH125)/100,(IFERROR(($J125/$I125)*$AM125,0)/($V125+$J125+$R125+$AL125))),0))</f>
        <v>1.795655658263055E-2</v>
      </c>
      <c r="AO125" s="634">
        <f>IF(($J125+$V125)=0,0,IF(IFERROR(($J125+$R125+$V125+$AL125)*$AN125,0)&lt;&gt;IFERROR(($J125/$I125)*$AM125,0),($J125+$R125+$V125+$AL125)*$AN125,IFERROR(($J125/$I125)*$AM125,0)))</f>
        <v>6.278966732492237E-5</v>
      </c>
      <c r="AP125" s="635">
        <f>$V125+$J125+$R125+$AA125+$AF125+$AL125+$AO125</f>
        <v>3.5595440164109312E-3</v>
      </c>
      <c r="AQ125" s="410"/>
      <c r="AR125" s="409"/>
      <c r="AS125" s="636" cm="1">
        <f t="array" ref="AS125">IF($CJ125=0,0,IFERROR(INDEX(MAT[Einheit],$CJ125,1),0))</f>
        <v>0</v>
      </c>
      <c r="AT125" s="637" cm="1">
        <f t="array" ref="AT125">IF($CJ125=0,0,IFERROR(INDEX(MAT[Preis],$CJ125,1),0))</f>
        <v>0</v>
      </c>
      <c r="AU125" s="638">
        <f>$AR125*$AT125</f>
        <v>0</v>
      </c>
      <c r="AV125" s="639" cm="1">
        <f t="array" ref="AV125">IF($AU125&lt;=0,0,INDEX(Premises!$A$30:$F$30,1,$CH125)/100)</f>
        <v>0</v>
      </c>
      <c r="AW125" s="409"/>
      <c r="AX125" s="631">
        <f>IF($AV125=0,0,($AU125+$AW125)*$AV125)</f>
        <v>0</v>
      </c>
      <c r="AY125" s="640" cm="1">
        <f t="array" ref="AY125">IF($AT125&lt;=0,0,IFERROR(IF(INDEX(Premises!$A$42:$F$42,1,$CH125)&lt;&gt;0,INDEX(Premises!$A$42:$F$42,1,$CH125)/100,(INDEX(MAT[],$CJ125,MATCH($CA125,MAT!$B$4:$AE$4,0))/($AR125*$CK125*INDEX(Premises!$A$13:$F$13,1,$CH125))+INDEX(MAT[],$CJ125,MATCH($CA125,MAT!$B$4:$AE$4,0)+7))/$AT125),0))</f>
        <v>0</v>
      </c>
      <c r="AZ125" s="631">
        <f>IF($AY125=0,0,($AU125+$AX125)*$AY125)</f>
        <v>0</v>
      </c>
      <c r="BA125" s="635">
        <f>$AU125+$AX125+$AZ125</f>
        <v>0</v>
      </c>
      <c r="BB125" s="635">
        <f>$AP125+$BA125</f>
        <v>3.5595440164109312E-3</v>
      </c>
      <c r="BC125" s="639" cm="1">
        <f t="array" ref="BC125">IF($BB125&lt;=0,0,IF(BC$2=-1,0,INDEX(Premises!$A$32:$F$32,1,$CH125)/100))</f>
        <v>0</v>
      </c>
      <c r="BD125" s="631">
        <f>IF($AP125&lt;=0,0,($AP125-$AA125-$AL125)*$BC125)</f>
        <v>0</v>
      </c>
      <c r="BE125" s="639" cm="1">
        <f t="array" ref="BE125">IF($BB125&lt;=0,0,IF(BE$2=-1,0,INDEX(Premises!$A$33:$F$33,1,$CH125)/100))</f>
        <v>0</v>
      </c>
      <c r="BF125" s="631">
        <f>IF($BA125&lt;=0,0,$BA125*$BE125)</f>
        <v>0</v>
      </c>
      <c r="BG125" s="639" cm="1">
        <f t="array" ref="BG125">IF($BB125&lt;=0,0,IF(BG$2=-1,0,INDEX(Premises!$A$31:$F$31,1,$CH125)/100))</f>
        <v>0.125</v>
      </c>
      <c r="BH125" s="631">
        <f>(($AP125-$AA125-$AL125)+$BA125)*$BG125</f>
        <v>4.4395858634116837E-4</v>
      </c>
      <c r="BI125" s="635">
        <f>$BB125+$BD125+$BF125+$BH125</f>
        <v>4.0035026027520999E-3</v>
      </c>
      <c r="BJ125" s="639" cm="1">
        <f t="array" ref="BJ125">IF($BB125&lt;=0,0,IF(BJ$2=-1,0,INDEX(Premises!$A$35:$F$35,1,$CH125)/100))</f>
        <v>0</v>
      </c>
      <c r="BK125" s="631">
        <f>IF($AP125&lt;=0,0,($AP125-$AL125-$AA125)*$BJ125)</f>
        <v>0</v>
      </c>
      <c r="BL125" s="639" cm="1">
        <f t="array" ref="BL125">IF($BB125&lt;=0,0,IF(BL$2=-1,0,INDEX(Premises!$A$36:$F$36,1,$CH125)/100))</f>
        <v>0</v>
      </c>
      <c r="BM125" s="631">
        <f>IF($AU125&lt;=0,0,($AR125*$AT125)*$BL125)</f>
        <v>0</v>
      </c>
      <c r="BN125" s="639" cm="1">
        <f t="array" ref="BN125">IF($BB125&lt;=0,0,IF(BN$2=-1,0,INDEX(Premises!$A$34:$F$34,1,$CH125)/100))</f>
        <v>0.06</v>
      </c>
      <c r="BO125" s="631">
        <f>(($AP125-$AL125-$AA125)+($AR125*$AT125))*$BN125</f>
        <v>2.1310012144376081E-4</v>
      </c>
      <c r="BP125" s="639" cm="1">
        <f t="array" ref="BP125">IF($BI125=0,0,INDEX(Premises!$A$37:$F$37,1,$CH125)/100)</f>
        <v>0</v>
      </c>
      <c r="BQ125" s="409"/>
      <c r="BR125" s="631">
        <f>($BI125+$BK125+$BM125+$BO125)*$BP125+$BQ125</f>
        <v>0</v>
      </c>
      <c r="BS125" s="641">
        <f>BI125+BK125+BM125+BO125+BR125</f>
        <v>4.2166027241958611E-3</v>
      </c>
      <c r="BT125" s="641">
        <f>IF($BS125=0,0,$CK125*$BS125)</f>
        <v>4.2166027241958611E-3</v>
      </c>
      <c r="BU125" s="642">
        <f>IF($BT125=0,0,MAX(1,$EB125/$DP125))</f>
        <v>1</v>
      </c>
      <c r="BV125" s="1147"/>
      <c r="BW125" s="418"/>
      <c r="BX125" s="418"/>
      <c r="BY125" s="419"/>
      <c r="BZ125" s="968"/>
      <c r="CA125" s="280" cm="1">
        <f t="array" ref="CA125">IF($BZ125&gt;0,VALUE(LEFT($BZ125,IF(ISERROR(FIND("-",$BZ125)),LEN($BZ125),FIND("-",$BZ125)-1))),INDEX($CA$1:$CA125,MAX(1,$CD125)))</f>
        <v>1</v>
      </c>
      <c r="CB125" s="280" cm="1">
        <f t="array" ref="CB125">IF($BT125=0,0,IF(LEN($BZ125)-LEN(SUBSTITUTE($BZ125,"-",""))&gt;1,
VALUE(MID($BZ125,FIND("-",$BZ125)+1,FIND("-",$BZ125,FIND("-",$BZ125)+1)-FIND("-",$BZ125)-1)),IF($BZ125&gt;0,0,INDEX($CB$1:$CB125,MAX(1,$CD125)))))</f>
        <v>0</v>
      </c>
      <c r="CC125" s="280" cm="1">
        <f t="array" ref="CC125">IF($BT125=0,0,IF(NOT(ISERROR(FIND("-",BZ125))),
VALUE(RIGHT($BZ125,LEN($BZ125)-IF(LEN($BZ125)-LEN(SUBSTITUTE($BZ125,"-",""))=1,FIND("-",$BZ125),FIND("-",$BZ125,FIND("-",$BZ125)+1)))),
IF($BZ125&gt;0,0,INDEX($CC$1:$CC125,MAX(1,$CD125)))))</f>
        <v>0</v>
      </c>
      <c r="CD125" s="393">
        <f>MATCH(0,$CE$1:$CE125,-1)</f>
        <v>121</v>
      </c>
      <c r="CE125" s="280"/>
      <c r="CF125" s="394"/>
      <c r="CG125" s="393" cm="1">
        <f t="array" ref="CG125">INDEX($CG$1:$CG125,$CD125)</f>
        <v>14</v>
      </c>
      <c r="CH125" s="280">
        <f>MATCH($CA125,Premises!$A$10:$F$10,0)</f>
        <v>4</v>
      </c>
      <c r="CI125" s="280">
        <f>IF(ISBLANK($E125),0,IFERROR(MATCH($E125,MHR[Bezeichnung],0),0))</f>
        <v>8</v>
      </c>
      <c r="CJ125" s="394">
        <f>IF(ISBLANK($AQ125),0,IFERROR(MATCH($AQ125,MAT[Bezeichnung],0),0))</f>
        <v>0</v>
      </c>
      <c r="CK125" s="280" cm="1">
        <f t="array" ref="CK125">INDEX($D$1:$D125,$CD125)</f>
        <v>1</v>
      </c>
      <c r="CL125" s="280"/>
      <c r="CM125" s="395"/>
      <c r="CN125" s="396" cm="1">
        <f t="array" ref="CN125">IF($CB125=0,0,IF($CB125=INDEX($CB$1:$CB125,$CD125),INDEX($CN$1:$CN125,$CD125),$CP125))</f>
        <v>0</v>
      </c>
      <c r="CO125" s="395"/>
      <c r="CP125" s="396" cm="1">
        <f t="array" ref="CP125">IF($CC125=0,0,INDEX($CP$1:$CP125,$CD125))</f>
        <v>0</v>
      </c>
      <c r="CQ125" s="397"/>
      <c r="CR125" s="398"/>
      <c r="CS125" s="398"/>
      <c r="CT125" s="1152"/>
      <c r="CU125" s="1149"/>
      <c r="CV125" s="647">
        <f>$J125*$CK125</f>
        <v>4.531575681584363E-4</v>
      </c>
      <c r="CW125" s="648">
        <f>$R125*$CK125</f>
        <v>2.7013464552459879E-3</v>
      </c>
      <c r="CX125" s="648">
        <f>$V125*$CK125</f>
        <v>3.3437500000000004E-4</v>
      </c>
      <c r="CY125" s="648">
        <f>$AA125*$CK125</f>
        <v>0</v>
      </c>
      <c r="CZ125" s="648">
        <f>$AF125*$CK125</f>
        <v>0</v>
      </c>
      <c r="DA125" s="648">
        <f>$AL125*$CK125</f>
        <v>7.8753256815843639E-6</v>
      </c>
      <c r="DB125" s="648">
        <f>$AO125*$CK125</f>
        <v>6.278966732492237E-5</v>
      </c>
      <c r="DC125" s="649">
        <f>$AP125*$CK125</f>
        <v>3.5595440164109312E-3</v>
      </c>
      <c r="DD125" s="648">
        <f>$AU125*$CK125</f>
        <v>0</v>
      </c>
      <c r="DE125" s="648">
        <f>$AX125*$CK125</f>
        <v>0</v>
      </c>
      <c r="DF125" s="648">
        <f>$AZ125*$CK125</f>
        <v>0</v>
      </c>
      <c r="DG125" s="649">
        <f>$BA125*$CK125</f>
        <v>0</v>
      </c>
      <c r="DH125" s="649">
        <f>$BB125*$CK125</f>
        <v>3.5595440164109312E-3</v>
      </c>
      <c r="DI125" s="648">
        <f>$BD125*$CK125</f>
        <v>0</v>
      </c>
      <c r="DJ125" s="648">
        <f>$BF125*$CK125</f>
        <v>0</v>
      </c>
      <c r="DK125" s="648">
        <f>$BH125*$CK125</f>
        <v>4.4395858634116837E-4</v>
      </c>
      <c r="DL125" s="648">
        <f>$BK125*$CK125</f>
        <v>0</v>
      </c>
      <c r="DM125" s="648">
        <f>$BM125*$CK125</f>
        <v>0</v>
      </c>
      <c r="DN125" s="648">
        <f>$BO125*$CK125</f>
        <v>2.1310012144376081E-4</v>
      </c>
      <c r="DO125" s="648">
        <f>$BR125*$CK125</f>
        <v>0</v>
      </c>
      <c r="DP125" s="651">
        <f>$CK125*($BB125+$BD125+$BF125+$BH125+$BK125+$BM125+$BO125+$BR125)</f>
        <v>4.2166027241958611E-3</v>
      </c>
      <c r="DQ125" s="951">
        <f>IF($CB125=0,0,$DP125*_xlfn.XLOOKUP($CB125,Premises!$A$10:$F$10,Premises!$A$30:$F$30)/100)</f>
        <v>0</v>
      </c>
      <c r="DR125" s="650">
        <f>IFERROR(SUM($DP125:$DQ125)*IF(INDEX(Premises!$A$42:$F$42,1,MATCH($CB125,Premises!$A$10:$F$10,0))&gt;0,INDEX(Premises!$A$42:$F$42,1,MATCH($CB125,Premises!$A$10:$F$10,0))%,$CN125),0)</f>
        <v>0</v>
      </c>
      <c r="DS125" s="650" cm="1">
        <f t="array" ref="DS125">IF($CB125=0,0,SUM($DP125:$DR125)*_xlfn.XLOOKUP($CB125,Premises!$A$10:$F$10,IF(INDEX(Settings[],MATCH(3001,Settings[ID],0),2)="B",Premises!$A$33:$F$33,Premises!$A$31:$F$31))/100)</f>
        <v>0</v>
      </c>
      <c r="DT125" s="650" cm="1">
        <f t="array" ref="DT125">IF($CB125=0,0,$DP125*_xlfn.XLOOKUP($CB125,Premises!$A$10:$F$10,IF(INDEX(Settings[],MATCH(3002,Settings[ID],0),2)="B",Premises!$A$36:$F$36,Premises!$A$34:$F$34))/100)</f>
        <v>0</v>
      </c>
      <c r="DU125" s="650">
        <f>IF($CB125=0,0,SUM($DP125:$DT125)*_xlfn.XLOOKUP($CB125,Premises!$A$10:$F$10,Premises!$A$37:$F$37)/100)</f>
        <v>0</v>
      </c>
      <c r="DV125" s="954">
        <f>SUM($DP125:$DU125)</f>
        <v>4.2166027241958611E-3</v>
      </c>
      <c r="DW125" s="951">
        <f>IF($CC125=0,0,$DV125*_xlfn.XLOOKUP($CC125,Premises!$A$10:$F$10,Premises!$A$30:$F$30)/100)</f>
        <v>0</v>
      </c>
      <c r="DX125" s="650">
        <f>IFERROR(SUM($DV125:$DW125)*IF(INDEX(Premises!$A$42:$F$42,1,MATCH($CC125,Premises!$A$10:$F$10,0))&gt;0,INDEX(Premises!$A$42:$F$42,1,MATCH($CC125,Premises!$A$10:$F$10,0))%,$CP125),0)</f>
        <v>0</v>
      </c>
      <c r="DY125" s="650" cm="1">
        <f t="array" ref="DY125">IF($CC125=0,0,SUM($DV125:$DX125)*_xlfn.XLOOKUP($CC125,Premises!$A$10:$F$10,IF(INDEX(Settings[],MATCH(3001,Settings[ID],0),2)="B",Premises!$A$33:$F$33,Premises!$A$31:$F$31))/100)</f>
        <v>0</v>
      </c>
      <c r="DZ125" s="650" cm="1">
        <f t="array" ref="DZ125">IF($CC125=0,0,$DV125*_xlfn.XLOOKUP($CC125,Premises!$A$10:$F$10,IF(INDEX(Settings[],MATCH(3002,Settings[ID],0),2)="B",Premises!$A$36:$F$36,Premises!$A$34:$F$34))/100)</f>
        <v>0</v>
      </c>
      <c r="EA125" s="650">
        <f>IF($CC125=0,0,SUM($DV125:$DZ125)*_xlfn.XLOOKUP($CC125,Premises!$A$10:$F$10,Premises!$A$37:$F$37)/100)</f>
        <v>0</v>
      </c>
      <c r="EB125" s="651">
        <f>SUM($DV125:$EA125)</f>
        <v>4.2166027241958611E-3</v>
      </c>
      <c r="EC125" s="805"/>
      <c r="ED125" s="1104"/>
      <c r="EE125" s="650"/>
      <c r="EF125" s="1110"/>
      <c r="EG125" s="1108"/>
      <c r="EH125" s="1108"/>
      <c r="EI125" s="1108"/>
      <c r="EJ125" s="1108"/>
      <c r="EK125" s="1108"/>
      <c r="EL125" s="1108"/>
      <c r="EM125" s="1110"/>
      <c r="EN125" s="1108"/>
      <c r="EO125" s="1108"/>
      <c r="EP125" s="1108"/>
      <c r="EQ125" s="1108"/>
      <c r="ER125" s="1110"/>
      <c r="ES125" s="1108"/>
      <c r="ET125" s="1108"/>
      <c r="EU125" s="1108"/>
      <c r="EV125" s="1108"/>
      <c r="EW125" s="1108"/>
      <c r="EX125" s="1111"/>
      <c r="EY125" s="2"/>
      <c r="EZ125" s="2"/>
      <c r="FA125" s="2"/>
      <c r="FB125" s="2"/>
      <c r="FC125" s="2"/>
      <c r="FD125" s="2"/>
      <c r="FE125" s="2"/>
      <c r="FF125" s="2"/>
      <c r="FG125" s="2"/>
      <c r="FH125" s="2"/>
      <c r="FI125" s="2"/>
      <c r="FJ125" s="420"/>
      <c r="FK125" s="421"/>
      <c r="FL125" s="422"/>
      <c r="FM125" s="1153"/>
    </row>
    <row r="126" spans="1:169" s="13" customFormat="1" ht="12.75" customHeight="1">
      <c r="A126" s="221"/>
      <c r="B126" s="402"/>
      <c r="C126" s="403"/>
      <c r="D126" s="646"/>
      <c r="E126" s="404"/>
      <c r="F126" s="405"/>
      <c r="G126" s="405"/>
      <c r="H126" s="405"/>
      <c r="I126" s="637" cm="1">
        <f t="array" ref="I126">IF($CI126=0,0,IFERROR(INDEX(MHR[],$CI126,MATCH($CA126,MHR!$B$4:$AY$4,0)),0))</f>
        <v>0</v>
      </c>
      <c r="J126" s="634">
        <f>IF(COUNTBLANK($E126:$H126),0,IFERROR($F126/$H126/IF($G126="s",3600,IF($G126="min",60,IF($G126="h",1,0)))*I126,0))</f>
        <v>0</v>
      </c>
      <c r="K126" s="406"/>
      <c r="L126" s="407"/>
      <c r="M126" s="871"/>
      <c r="N126" s="407"/>
      <c r="O126" s="405"/>
      <c r="P126" s="645" cm="1">
        <f t="array" ref="P126">IF($K126=0,0,IFERROR(ROUNDUP(IF(ISNUMBER($K126),$K126,INDEX($D$1:$D126,$CD126)*INDEX(Premises!$A$13:$F$13,1,$CH126)/IF(OR($K126="T",$K126="D"),250,IF($K126="W",50,IF($K126="M",12,IF(OR($K126="HJ",$K126="HY"),2,IF(OR($K126="J",$K126="Y"),1,0)))))),0),0))</f>
        <v>0</v>
      </c>
      <c r="Q126" s="637" cm="1">
        <f t="array" ref="Q126">IF($K126=0,0,IFERROR(INDEX(Premises!$A$22:$F$22,1,$CH126)*100/INDEX(Premises!$A$16:$F$16,1,$CH126),0))</f>
        <v>0</v>
      </c>
      <c r="R126" s="634">
        <f>IF($P126=0,0,IFERROR(($L126/60*($I126+$Q126*$M126)+($N126/60*($Q126*$O126)))/$P126,0))</f>
        <v>0</v>
      </c>
      <c r="S126" s="408"/>
      <c r="T126" s="409"/>
      <c r="U126" s="637" cm="1">
        <f t="array" ref="U126">IF(COUNTBLANK($S126:$T126),0,
IF(AND(INDEX(MHR[Schichtmodell],$CI126)&lt;&gt;0,INDEX(MHR[Schichtmodell],$CI126)&lt;&gt;INDEX(Premises!$A$20:$F$20,1,$CH126)),ExchangeRate*
IF(OR($T126="M",$T126="U"),IF(INDEX(MHR[Schichtmodell],$CI126)=1,INDEX(LOC[M1S],INDEX(Premises!$A$18:$F$18,1,$CH126+1)),IF(INDEX(MHR[Schichtmodell],$CI126)=2,INDEX(LOC[M2S],INDEX(Premises!$A$18:$F$18,1,$CH126+1),IF(INDEX(MHR[Schichtmodell],$CI126)=3,INDEX(LOC[M3S],INDEX(Premises!$A$18:$F$18,1,$CH126+1)),0)))),
IF(INDEX(MHR[Schichtmodell],$CI126)=1,INDEX(LOC[F1S],INDEX(Premises!$A$18:$F$18,1,$CH126+1)),IF(INDEX(MHR[Schichtmodell],$CI126)=2,INDEX(LOC[F2S],INDEX(Premises!$A$18:$F$18,1,$CH126+1)),IF(INDEX(MHR[Schichtmodell],$CI126)=3,INDEX(LOC[F3S],INDEX(Premises!$A$18:$F$18,1,$CH126+1)),0)))),
IF(OR($T126="M",$T126="U"),INDEX(Premises!$A$21:$F$21,1,$CH126),
IF(OR($T126="F",$T126="S"),INDEX(Premises!$A$22:$F$22,1,$CH126),0)))*100/INDEX(Premises!$A$16:$F$16,1,$CH126))</f>
        <v>0</v>
      </c>
      <c r="V126" s="631">
        <f>IF($U126=0,0,IFERROR($F126/$H126/IF($G126="s",3600,IF($G126="min",60,IF($G126="h",1,0)))*$S126*$U126,0))</f>
        <v>0</v>
      </c>
      <c r="W126" s="410"/>
      <c r="X126" s="403"/>
      <c r="Y126" s="411"/>
      <c r="Z126" s="412"/>
      <c r="AA126" s="628">
        <f>IFERROR($X126*$Z126/$Y126/MAX(1,$H126),0)</f>
        <v>0</v>
      </c>
      <c r="AB126" s="410"/>
      <c r="AC126" s="403"/>
      <c r="AD126" s="411"/>
      <c r="AE126" s="413"/>
      <c r="AF126" s="628">
        <f>IFERROR($AC126*$AE126/$AD126,0)</f>
        <v>0</v>
      </c>
      <c r="AG126" s="629" cm="1">
        <f t="array" ref="AG126">IF(($J126+$V126+$AF126)=0,0,INDEX(Premises!$A$30:$F$30,1,$CH126)/100)</f>
        <v>0</v>
      </c>
      <c r="AH126" s="414"/>
      <c r="AI126" s="415"/>
      <c r="AJ126" s="416"/>
      <c r="AK126" s="630">
        <f>IF(COUNTBLANK($AH126:$AI126),0,$AH126*$AI126*$AG126)</f>
        <v>0</v>
      </c>
      <c r="AL126" s="631">
        <f>($AK126+$AJ126*$AG126*(1-$AH126)+($J126+$V126+$AF126)*$AG126*(1-$AH126))</f>
        <v>0</v>
      </c>
      <c r="AM126" s="632" cm="1">
        <f t="array" ref="AM126">IF($CI126=0,0,IFERROR(INDEX(MHR[],$CI126,MATCH($CA126,MHR!$B$4:$AY$4,0)+11),0))</f>
        <v>0</v>
      </c>
      <c r="AN126" s="633" cm="1">
        <f t="array" ref="AN126">IF(($J126+$V126)=0,0,IFERROR(IF(INDEX(Premises!$A$41:$F$41,1,$CH126)&lt;&gt;0,INDEX(Premises!$A$41:$F$41,1,$CH126)/100,(IFERROR(($J126/$I126)*$AM126,0)/($V126+$J126+$R126+$AL126))),0))</f>
        <v>0</v>
      </c>
      <c r="AO126" s="634">
        <f>IF(($J126+$V126)=0,0,IF(IFERROR(($J126+$R126+$V126+$AL126)*$AN126,0)&lt;&gt;IFERROR(($J126/$I126)*$AM126,0),($J126+$R126+$V126+$AL126)*$AN126,IFERROR(($J126/$I126)*$AM126,0)))</f>
        <v>0</v>
      </c>
      <c r="AP126" s="635">
        <f>$V126+$J126+$R126+$AA126+$AF126+$AL126+$AO126</f>
        <v>0</v>
      </c>
      <c r="AQ126" s="410"/>
      <c r="AR126" s="409"/>
      <c r="AS126" s="636" cm="1">
        <f t="array" ref="AS126">IF($CJ126=0,0,IFERROR(INDEX(MAT[Einheit],$CJ126,1),0))</f>
        <v>0</v>
      </c>
      <c r="AT126" s="637" cm="1">
        <f t="array" ref="AT126">IF($CJ126=0,0,IFERROR(INDEX(MAT[Preis],$CJ126,1),0))</f>
        <v>0</v>
      </c>
      <c r="AU126" s="638">
        <f>$AR126*$AT126</f>
        <v>0</v>
      </c>
      <c r="AV126" s="639" cm="1">
        <f t="array" ref="AV126">IF($AU126&lt;=0,0,INDEX(Premises!$A$30:$F$30,1,$CH126)/100)</f>
        <v>0</v>
      </c>
      <c r="AW126" s="409"/>
      <c r="AX126" s="631">
        <f>IF($AV126=0,0,($AU126+$AW126)*$AV126)</f>
        <v>0</v>
      </c>
      <c r="AY126" s="640" cm="1">
        <f t="array" ref="AY126">IF($AT126&lt;=0,0,IFERROR(IF(INDEX(Premises!$A$42:$F$42,1,$CH126)&lt;&gt;0,INDEX(Premises!$A$42:$F$42,1,$CH126)/100,(INDEX(MAT[],$CJ126,MATCH($CA126,MAT!$B$4:$AE$4,0))/($AR126*$CK126*INDEX(Premises!$A$13:$F$13,1,$CH126))+INDEX(MAT[],$CJ126,MATCH($CA126,MAT!$B$4:$AE$4,0)+7))/$AT126),0))</f>
        <v>0</v>
      </c>
      <c r="AZ126" s="631">
        <f>IF($AY126=0,0,($AU126+$AX126)*$AY126)</f>
        <v>0</v>
      </c>
      <c r="BA126" s="635">
        <f>$AU126+$AX126+$AZ126</f>
        <v>0</v>
      </c>
      <c r="BB126" s="635">
        <f>$AP126+$BA126</f>
        <v>0</v>
      </c>
      <c r="BC126" s="639" cm="1">
        <f t="array" ref="BC126">IF($BB126&lt;=0,0,IF(BC$2=-1,0,INDEX(Premises!$A$32:$F$32,1,$CH126)/100))</f>
        <v>0</v>
      </c>
      <c r="BD126" s="631">
        <f>IF($AP126&lt;=0,0,($AP126-$AA126-$AL126)*$BC126)</f>
        <v>0</v>
      </c>
      <c r="BE126" s="639" cm="1">
        <f t="array" ref="BE126">IF($BB126&lt;=0,0,IF(BE$2=-1,0,INDEX(Premises!$A$33:$F$33,1,$CH126)/100))</f>
        <v>0</v>
      </c>
      <c r="BF126" s="631">
        <f>IF($BA126&lt;=0,0,$BA126*$BE126)</f>
        <v>0</v>
      </c>
      <c r="BG126" s="639" cm="1">
        <f t="array" ref="BG126">IF($BB126&lt;=0,0,IF(BG$2=-1,0,INDEX(Premises!$A$31:$F$31,1,$CH126)/100))</f>
        <v>0</v>
      </c>
      <c r="BH126" s="631">
        <f>(($AP126-$AA126-$AL126)+$BA126)*$BG126</f>
        <v>0</v>
      </c>
      <c r="BI126" s="635">
        <f>$BB126+$BD126+$BF126+$BH126</f>
        <v>0</v>
      </c>
      <c r="BJ126" s="639" cm="1">
        <f t="array" ref="BJ126">IF($BB126&lt;=0,0,IF(BJ$2=-1,0,INDEX(Premises!$A$35:$F$35,1,$CH126)/100))</f>
        <v>0</v>
      </c>
      <c r="BK126" s="631">
        <f>IF($AP126&lt;=0,0,($AP126-$AL126-$AA126)*$BJ126)</f>
        <v>0</v>
      </c>
      <c r="BL126" s="639" cm="1">
        <f t="array" ref="BL126">IF($BB126&lt;=0,0,IF(BL$2=-1,0,INDEX(Premises!$A$36:$F$36,1,$CH126)/100))</f>
        <v>0</v>
      </c>
      <c r="BM126" s="631">
        <f>IF($AU126&lt;=0,0,($AR126*$AT126)*$BL126)</f>
        <v>0</v>
      </c>
      <c r="BN126" s="639" cm="1">
        <f t="array" ref="BN126">IF($BB126&lt;=0,0,IF(BN$2=-1,0,INDEX(Premises!$A$34:$F$34,1,$CH126)/100))</f>
        <v>0</v>
      </c>
      <c r="BO126" s="631">
        <f>(($AP126-$AL126-$AA126)+($AR126*$AT126))*$BN126</f>
        <v>0</v>
      </c>
      <c r="BP126" s="639" cm="1">
        <f t="array" ref="BP126">IF($BI126=0,0,INDEX(Premises!$A$37:$F$37,1,$CH126)/100)</f>
        <v>0</v>
      </c>
      <c r="BQ126" s="409"/>
      <c r="BR126" s="631">
        <f>($BI126+$BK126+$BM126+$BO126)*$BP126+$BQ126</f>
        <v>0</v>
      </c>
      <c r="BS126" s="641">
        <f>BI126+BK126+BM126+BO126+BR126</f>
        <v>0</v>
      </c>
      <c r="BT126" s="641">
        <f>IF($BS126=0,0,$CK126*$BS126)</f>
        <v>0</v>
      </c>
      <c r="BU126" s="642">
        <f>IF($BT126=0,0,MAX(1,$EB126/$DP126))</f>
        <v>0</v>
      </c>
      <c r="BV126" s="417"/>
      <c r="BW126" s="418"/>
      <c r="BX126" s="418"/>
      <c r="BY126" s="419"/>
      <c r="BZ126" s="968"/>
      <c r="CA126" s="280" cm="1">
        <f t="array" ref="CA126">IF($BZ126&gt;0,VALUE(LEFT($BZ126,IF(ISERROR(FIND("-",$BZ126)),LEN($BZ126),FIND("-",$BZ126)-1))),INDEX($CA$1:$CA126,MAX(1,$CD126)))</f>
        <v>1</v>
      </c>
      <c r="CB126" s="280" cm="1">
        <f t="array" ref="CB126">IF($BT126=0,0,IF(LEN($BZ126)-LEN(SUBSTITUTE($BZ126,"-",""))&gt;1,
VALUE(MID($BZ126,FIND("-",$BZ126)+1,FIND("-",$BZ126,FIND("-",$BZ126)+1)-FIND("-",$BZ126)-1)),IF($BZ126&gt;0,0,INDEX($CB$1:$CB126,MAX(1,$CD126)))))</f>
        <v>0</v>
      </c>
      <c r="CC126" s="280" cm="1">
        <f t="array" ref="CC126">IF($BT126=0,0,IF(NOT(ISERROR(FIND("-",BZ126))),
VALUE(RIGHT($BZ126,LEN($BZ126)-IF(LEN($BZ126)-LEN(SUBSTITUTE($BZ126,"-",""))=1,FIND("-",$BZ126),FIND("-",$BZ126,FIND("-",$BZ126)+1)))),
IF($BZ126&gt;0,0,INDEX($CC$1:$CC126,MAX(1,$CD126)))))</f>
        <v>0</v>
      </c>
      <c r="CD126" s="393">
        <f>MATCH(0,$CE$1:$CE126,-1)</f>
        <v>121</v>
      </c>
      <c r="CE126" s="280"/>
      <c r="CF126" s="394"/>
      <c r="CG126" s="393" cm="1">
        <f t="array" ref="CG126">INDEX($CG$1:$CG126,$CD126)</f>
        <v>14</v>
      </c>
      <c r="CH126" s="280">
        <f>MATCH($CA126,Premises!$A$10:$F$10,0)</f>
        <v>4</v>
      </c>
      <c r="CI126" s="280">
        <f>IF(ISBLANK($E126),0,IFERROR(MATCH($E126,MHR[Bezeichnung],0),0))</f>
        <v>0</v>
      </c>
      <c r="CJ126" s="394">
        <f>IF(ISBLANK($AQ126),0,IFERROR(MATCH($AQ126,MAT[Bezeichnung],0),0))</f>
        <v>0</v>
      </c>
      <c r="CK126" s="280" cm="1">
        <f t="array" ref="CK126">INDEX($D$1:$D126,$CD126)</f>
        <v>1</v>
      </c>
      <c r="CL126" s="280"/>
      <c r="CM126" s="395"/>
      <c r="CN126" s="396" cm="1">
        <f t="array" ref="CN126">IF($CB126=0,0,IF($CB126=INDEX($CB$1:$CB126,$CD126),INDEX($CN$1:$CN126,$CD126),$CP126))</f>
        <v>0</v>
      </c>
      <c r="CO126" s="395"/>
      <c r="CP126" s="396" cm="1">
        <f t="array" ref="CP126">IF($CC126=0,0,INDEX($CP$1:$CP126,$CD126))</f>
        <v>0</v>
      </c>
      <c r="CQ126" s="397"/>
      <c r="CR126" s="398"/>
      <c r="CS126" s="398"/>
      <c r="CT126" s="970"/>
      <c r="CU126" s="2"/>
      <c r="CV126" s="647">
        <f>$J126*$CK126</f>
        <v>0</v>
      </c>
      <c r="CW126" s="648">
        <f>$R126*$CK126</f>
        <v>0</v>
      </c>
      <c r="CX126" s="648">
        <f>$V126*$CK126</f>
        <v>0</v>
      </c>
      <c r="CY126" s="648">
        <f>$AA126*$CK126</f>
        <v>0</v>
      </c>
      <c r="CZ126" s="648">
        <f>$AF126*$CK126</f>
        <v>0</v>
      </c>
      <c r="DA126" s="648">
        <f>$AL126*$CK126</f>
        <v>0</v>
      </c>
      <c r="DB126" s="648">
        <f>$AO126*$CK126</f>
        <v>0</v>
      </c>
      <c r="DC126" s="649">
        <f>$AP126*$CK126</f>
        <v>0</v>
      </c>
      <c r="DD126" s="648">
        <f>$AU126*$CK126</f>
        <v>0</v>
      </c>
      <c r="DE126" s="648">
        <f>$AX126*$CK126</f>
        <v>0</v>
      </c>
      <c r="DF126" s="648">
        <f>$AZ126*$CK126</f>
        <v>0</v>
      </c>
      <c r="DG126" s="649">
        <f>$BA126*$CK126</f>
        <v>0</v>
      </c>
      <c r="DH126" s="649">
        <f>$BB126*$CK126</f>
        <v>0</v>
      </c>
      <c r="DI126" s="648">
        <f>$BD126*$CK126</f>
        <v>0</v>
      </c>
      <c r="DJ126" s="648">
        <f>$BF126*$CK126</f>
        <v>0</v>
      </c>
      <c r="DK126" s="648">
        <f>$BH126*$CK126</f>
        <v>0</v>
      </c>
      <c r="DL126" s="648">
        <f>$BK126*$CK126</f>
        <v>0</v>
      </c>
      <c r="DM126" s="648">
        <f>$BM126*$CK126</f>
        <v>0</v>
      </c>
      <c r="DN126" s="648">
        <f>$BO126*$CK126</f>
        <v>0</v>
      </c>
      <c r="DO126" s="648">
        <f>$BR126*$CK126</f>
        <v>0</v>
      </c>
      <c r="DP126" s="651">
        <f>$CK126*($BB126+$BD126+$BF126+$BH126+$BK126+$BM126+$BO126+$BR126)</f>
        <v>0</v>
      </c>
      <c r="DQ126" s="951">
        <f>IF($CB126=0,0,$DP126*_xlfn.XLOOKUP($CB126,Premises!$A$10:$F$10,Premises!$A$30:$F$30)/100)</f>
        <v>0</v>
      </c>
      <c r="DR126" s="650">
        <f>IFERROR(SUM($DP126:$DQ126)*IF(INDEX(Premises!$A$42:$F$42,1,MATCH($CB126,Premises!$A$10:$F$10,0))&gt;0,INDEX(Premises!$A$42:$F$42,1,MATCH($CB126,Premises!$A$10:$F$10,0))%,$CN126),0)</f>
        <v>0</v>
      </c>
      <c r="DS126" s="650" cm="1">
        <f t="array" ref="DS126">IF($CB126=0,0,SUM($DP126:$DR126)*_xlfn.XLOOKUP($CB126,Premises!$A$10:$F$10,IF(INDEX(Settings[],MATCH(3001,Settings[ID],0),2)="B",Premises!$A$33:$F$33,Premises!$A$31:$F$31))/100)</f>
        <v>0</v>
      </c>
      <c r="DT126" s="650" cm="1">
        <f t="array" ref="DT126">IF($CB126=0,0,$DP126*_xlfn.XLOOKUP($CB126,Premises!$A$10:$F$10,IF(INDEX(Settings[],MATCH(3002,Settings[ID],0),2)="B",Premises!$A$36:$F$36,Premises!$A$34:$F$34))/100)</f>
        <v>0</v>
      </c>
      <c r="DU126" s="650">
        <f>IF($CB126=0,0,SUM($DP126:$DT126)*_xlfn.XLOOKUP($CB126,Premises!$A$10:$F$10,Premises!$A$37:$F$37)/100)</f>
        <v>0</v>
      </c>
      <c r="DV126" s="954">
        <f>SUM($DP126:$DU126)</f>
        <v>0</v>
      </c>
      <c r="DW126" s="951">
        <f>IF($CC126=0,0,$DV126*_xlfn.XLOOKUP($CC126,Premises!$A$10:$F$10,Premises!$A$30:$F$30)/100)</f>
        <v>0</v>
      </c>
      <c r="DX126" s="650">
        <f>IFERROR(SUM($DV126:$DW126)*IF(INDEX(Premises!$A$42:$F$42,1,MATCH($CC126,Premises!$A$10:$F$10,0))&gt;0,INDEX(Premises!$A$42:$F$42,1,MATCH($CC126,Premises!$A$10:$F$10,0))%,$CP126),0)</f>
        <v>0</v>
      </c>
      <c r="DY126" s="650" cm="1">
        <f t="array" ref="DY126">IF($CC126=0,0,SUM($DV126:$DX126)*_xlfn.XLOOKUP($CC126,Premises!$A$10:$F$10,IF(INDEX(Settings[],MATCH(3001,Settings[ID],0),2)="B",Premises!$A$33:$F$33,Premises!$A$31:$F$31))/100)</f>
        <v>0</v>
      </c>
      <c r="DZ126" s="650" cm="1">
        <f t="array" ref="DZ126">IF($CC126=0,0,$DV126*_xlfn.XLOOKUP($CC126,Premises!$A$10:$F$10,IF(INDEX(Settings[],MATCH(3002,Settings[ID],0),2)="B",Premises!$A$36:$F$36,Premises!$A$34:$F$34))/100)</f>
        <v>0</v>
      </c>
      <c r="EA126" s="650">
        <f>IF($CC126=0,0,SUM($DV126:$DZ126)*_xlfn.XLOOKUP($CC126,Premises!$A$10:$F$10,Premises!$A$37:$F$37)/100)</f>
        <v>0</v>
      </c>
      <c r="EB126" s="651">
        <f>SUM($DV126:$EA126)</f>
        <v>0</v>
      </c>
      <c r="EC126" s="805"/>
      <c r="ED126" s="1104"/>
      <c r="EE126" s="650"/>
      <c r="EF126" s="1110"/>
      <c r="EG126" s="1108"/>
      <c r="EH126" s="1108"/>
      <c r="EI126" s="1108"/>
      <c r="EJ126" s="1108"/>
      <c r="EK126" s="1108"/>
      <c r="EL126" s="1108"/>
      <c r="EM126" s="1110"/>
      <c r="EN126" s="1108"/>
      <c r="EO126" s="1108"/>
      <c r="EP126" s="1108"/>
      <c r="EQ126" s="1108"/>
      <c r="ER126" s="1110"/>
      <c r="ES126" s="1108"/>
      <c r="ET126" s="1108"/>
      <c r="EU126" s="1108"/>
      <c r="EV126" s="1108"/>
      <c r="EW126" s="1108"/>
      <c r="EX126" s="1111"/>
      <c r="EY126" s="2"/>
      <c r="EZ126" s="2"/>
      <c r="FA126" s="2"/>
      <c r="FB126" s="2"/>
      <c r="FC126" s="2"/>
      <c r="FD126" s="2"/>
      <c r="FE126" s="2"/>
      <c r="FF126" s="2"/>
      <c r="FG126" s="2"/>
      <c r="FH126" s="2"/>
      <c r="FI126" s="2"/>
      <c r="FJ126" s="420"/>
      <c r="FK126" s="421"/>
      <c r="FL126" s="422"/>
      <c r="FM126" s="970"/>
    </row>
    <row r="127" spans="1:169" s="13" customFormat="1" ht="12.75" customHeight="1">
      <c r="A127" s="221"/>
      <c r="B127" s="387" t="str">
        <f>BOM!$A$15</f>
        <v>01-01-03-08 Black Film</v>
      </c>
      <c r="C127" s="388"/>
      <c r="D127" s="389" cm="1">
        <f t="array" ref="D127">IF($CG127=0,0,INDEX(BOM!$N:$N,$CG127))</f>
        <v>1</v>
      </c>
      <c r="E127" s="644" t="s">
        <v>664</v>
      </c>
      <c r="F127" s="644" t="s">
        <v>664</v>
      </c>
      <c r="G127" s="644" t="s">
        <v>664</v>
      </c>
      <c r="H127" s="644" t="s">
        <v>664</v>
      </c>
      <c r="I127" s="644" t="s">
        <v>664</v>
      </c>
      <c r="J127" s="644" t="s">
        <v>664</v>
      </c>
      <c r="K127" s="644" t="s">
        <v>664</v>
      </c>
      <c r="L127" s="644" t="s">
        <v>664</v>
      </c>
      <c r="M127" s="644" t="s">
        <v>664</v>
      </c>
      <c r="N127" s="644" t="s">
        <v>664</v>
      </c>
      <c r="O127" s="644" t="s">
        <v>664</v>
      </c>
      <c r="P127" s="644" t="s">
        <v>664</v>
      </c>
      <c r="Q127" s="644" t="s">
        <v>664</v>
      </c>
      <c r="R127" s="644" t="s">
        <v>664</v>
      </c>
      <c r="S127" s="644" t="s">
        <v>664</v>
      </c>
      <c r="T127" s="644" t="s">
        <v>664</v>
      </c>
      <c r="U127" s="644" t="s">
        <v>664</v>
      </c>
      <c r="V127" s="644" t="s">
        <v>664</v>
      </c>
      <c r="W127" s="644" t="s">
        <v>664</v>
      </c>
      <c r="X127" s="644" t="s">
        <v>664</v>
      </c>
      <c r="Y127" s="644" t="s">
        <v>664</v>
      </c>
      <c r="Z127" s="644" t="s">
        <v>664</v>
      </c>
      <c r="AA127" s="644" t="s">
        <v>664</v>
      </c>
      <c r="AB127" s="644" t="s">
        <v>664</v>
      </c>
      <c r="AC127" s="644" t="s">
        <v>664</v>
      </c>
      <c r="AD127" s="644" t="s">
        <v>664</v>
      </c>
      <c r="AE127" s="644" t="s">
        <v>664</v>
      </c>
      <c r="AF127" s="644" t="s">
        <v>664</v>
      </c>
      <c r="AG127" s="644" t="s">
        <v>664</v>
      </c>
      <c r="AH127" s="644" t="s">
        <v>664</v>
      </c>
      <c r="AI127" s="644" t="s">
        <v>664</v>
      </c>
      <c r="AJ127" s="644" t="s">
        <v>664</v>
      </c>
      <c r="AK127" s="644" t="s">
        <v>664</v>
      </c>
      <c r="AL127" s="644" t="s">
        <v>664</v>
      </c>
      <c r="AM127" s="644" t="s">
        <v>664</v>
      </c>
      <c r="AN127" s="644" t="s">
        <v>664</v>
      </c>
      <c r="AO127" s="644" t="s">
        <v>664</v>
      </c>
      <c r="AP127" s="644" t="s">
        <v>664</v>
      </c>
      <c r="AQ127" s="644" t="s">
        <v>664</v>
      </c>
      <c r="AR127" s="644" t="s">
        <v>664</v>
      </c>
      <c r="AS127" s="644" t="s">
        <v>664</v>
      </c>
      <c r="AT127" s="644" t="s">
        <v>664</v>
      </c>
      <c r="AU127" s="644" t="s">
        <v>664</v>
      </c>
      <c r="AV127" s="644" t="s">
        <v>664</v>
      </c>
      <c r="AW127" s="644" t="s">
        <v>664</v>
      </c>
      <c r="AX127" s="644" t="s">
        <v>664</v>
      </c>
      <c r="AY127" s="644" t="s">
        <v>664</v>
      </c>
      <c r="AZ127" s="644" t="s">
        <v>664</v>
      </c>
      <c r="BA127" s="644" t="s">
        <v>664</v>
      </c>
      <c r="BB127" s="644" t="s">
        <v>664</v>
      </c>
      <c r="BC127" s="644" t="s">
        <v>664</v>
      </c>
      <c r="BD127" s="644" t="s">
        <v>664</v>
      </c>
      <c r="BE127" s="644" t="s">
        <v>664</v>
      </c>
      <c r="BF127" s="644" t="s">
        <v>664</v>
      </c>
      <c r="BG127" s="644" t="s">
        <v>664</v>
      </c>
      <c r="BH127" s="644" t="s">
        <v>664</v>
      </c>
      <c r="BI127" s="644" t="s">
        <v>664</v>
      </c>
      <c r="BJ127" s="644" t="s">
        <v>664</v>
      </c>
      <c r="BK127" s="644" t="s">
        <v>664</v>
      </c>
      <c r="BL127" s="644" t="s">
        <v>664</v>
      </c>
      <c r="BM127" s="644" t="s">
        <v>664</v>
      </c>
      <c r="BN127" s="644" t="s">
        <v>664</v>
      </c>
      <c r="BO127" s="644" t="s">
        <v>664</v>
      </c>
      <c r="BP127" s="644" t="s">
        <v>664</v>
      </c>
      <c r="BQ127" s="644" t="s">
        <v>664</v>
      </c>
      <c r="BR127" s="644" t="s">
        <v>664</v>
      </c>
      <c r="BS127" s="920">
        <f>SUM(INDEX($BS:$BS,ROW()+1):INDEX($BS:$BS,$CE127))</f>
        <v>6.6188137433865436E-3</v>
      </c>
      <c r="BT127" s="920">
        <f>SUM(INDEX($BT:$BT,ROW()+1):INDEX($BT:$BT,$CE127))</f>
        <v>6.6188137433865436E-3</v>
      </c>
      <c r="BU127" s="644" t="s">
        <v>664</v>
      </c>
      <c r="BV127" s="643">
        <f>SUMPRODUCT($BS127:INDEX($BS:$BS,$CE127),$BU127:INDEX($BU:$BU,$CE127))</f>
        <v>6.6188137433865436E-3</v>
      </c>
      <c r="BW127" s="390">
        <f>$D127*$BV127</f>
        <v>6.6188137433865436E-3</v>
      </c>
      <c r="BX127" s="816" cm="1">
        <f t="array" ref="BX127">IF($CG127=0,0,IF(INDEX(BOM!$P:$P,$CG127)=0,0,
SUMPRODUCT($BW127:INDEX($BW:$BW,IFERROR(ROW()+MATCH($CL127,INDEX($CL:$CL,ROW()+1):INDEX($CL:$CL,MAX($CE:$CE)),0)-1,MAX($CE:$CE))),
($CL127:INDEX($CL:$CL,IFERROR(ROW()+MATCH($CL127,INDEX($CL:$CL,ROW()+1):INDEX($CL:$CL,MAX($CE:$CE)),0)-1,MAX($CE:$CE)))&gt;=$CL127)*1)
))</f>
        <v>0</v>
      </c>
      <c r="BY127" s="391"/>
      <c r="BZ127" s="392" cm="1">
        <f t="array" ref="BZ127">IF($CG127=0,0,INDEX(BOM!$M:$M,$CG127))</f>
        <v>1</v>
      </c>
      <c r="CA127" s="280">
        <f>IF($BZ127&gt;0,VALUE(LEFT($BZ127,IF(ISERROR(FIND("-",$BZ127)),LEN($BZ127),FIND("-",$BZ127)-1))),INDEX($BZ$1:BZ127,MATCH("",$A$1:A127,-1)))</f>
        <v>1</v>
      </c>
      <c r="CB127" s="280">
        <f>IF(LEN($BZ127)-LEN(SUBSTITUTE($BZ127,"-",))&gt;1,
VALUE(MID($BZ127,FIND("-",$BZ127)+1,FIND("-",$BZ127,FIND("-",$BZ127)+1)-FIND("-",$BZ127)-1)),0)</f>
        <v>0</v>
      </c>
      <c r="CC127" s="280">
        <f>IF(NOT(ISERROR(FIND("-",BZ127))),
VALUE(RIGHT($BZ127,LEN($BZ127)-IF(LEN($BZ127)-LEN(SUBSTITUTE($BZ127,"-",""))=1,FIND("-",$BZ127),FIND("-",$BZ127,FIND("-",$BZ127)+1)))),0)</f>
        <v>0</v>
      </c>
      <c r="CD127" s="393"/>
      <c r="CE127" s="280" cm="1">
        <f t="array" ref="CE127">ROW()+MATCH(TRUE,_xlfn.ISFORMULA(INDEX(BW:BW,ROW()+1):INDEX(BW:BW,ROW()+MaxNumberOfRowsPerBlock)),0)-1</f>
        <v>129</v>
      </c>
      <c r="CF127" s="394" cm="1">
        <f t="array" ref="CF127">IF(CL127=0,-1,IF(CL127=1,7,MAX(IF($CL$1:$CL127=CL127-1,ROW($CL$1:$CL127),0))))</f>
        <v>49</v>
      </c>
      <c r="CG127" s="393">
        <f>IFERROR(MATCH($B127,BOM!$A:$A,0),0)</f>
        <v>15</v>
      </c>
      <c r="CH127" s="280">
        <f>MATCH($CA127,Premises!$A$10:$F$10,0)</f>
        <v>4</v>
      </c>
      <c r="CI127" s="280"/>
      <c r="CJ127" s="394"/>
      <c r="CK127" s="280"/>
      <c r="CL127" s="280" cm="1">
        <f t="array" ref="CL127">IF($CG127=0,0,INDEX(BOM!$C:$C,$CG127))</f>
        <v>4</v>
      </c>
      <c r="CM127" s="395" cm="1">
        <f t="array" ref="CM127">IF($CG127=0,0,IF(OR($CF127&lt;0,AND(INDEX($CB:$CB,$CF127)=$CB127,INDEX($CC:$CC,$CF127)=$CC127)),0,IF(INDEX(BOM!$P:$P,$CG127)=0,$BT127,(SUMIF($CA127:INDEX($CA:$CA,IFERROR(ROW()+MATCH($CL127,INDEX($CL:$CL,ROW()+1):INDEX($CL:$CL,MAX($CE:$CE)),0)-1,MAX($CE:$CE))),$CA127,$BT127:INDEX($BT:$BT,IFERROR(ROW()+MATCH($CL127,INDEX($CL:$CL,ROW()+1):INDEX($CL:$CL,MAX($CE:$CE)),0)-1,MAX($CE:$CE))))+SUMIF($CB127:INDEX($CB:$CB,IFERROR(ROW()+MATCH($CL127,INDEX($CL:$CL,ROW()+1):INDEX($CL:$CL,MAX($CE:$CE)),0)-1,MAX($CE:$CE))),$CA127,$BT127:INDEX($BT:$BT,IFERROR(ROW()+MATCH($CL127,INDEX($CL:$CL,ROW()+1):INDEX($CL:$CL,MAX($CE:$CE)),0)-1,MAX($CE:$CE)))))/2)))</f>
        <v>0</v>
      </c>
      <c r="CN127" s="396" cm="1">
        <f t="array" ref="CN127">IFERROR(IF($CB127=0,0,IF($CM127=0,INDEX($CN$1:$CN127,$CF127),INDEX(IF($CM127&lt;0.2,Premises!$A$43:$F$43,IF($CM127&lt;5,Premises!$A$46:$F$46,Premises!$A$49:$F$49)),MATCH($CB127,Premises!$A$10:$F$10,0))/($CM127*INDEX(Premises!$A$13:$F$13,MATCH($CB127,Premises!$A$10:$F$10,0)))+INDEX(IF($CM127&lt;0.2,Premises!$A$44:$F$44,IF($CM127&lt;5,Premises!$A$47:$F$47,Premises!$A$50:$F$50)),MATCH($CB127,Premises!$A$10:$F$10,0))+INDEX(IF($CM127&lt;0.2,Premises!$A$45:$F$45,IF($CM127&lt;5,Premises!$A$48:$F$48,Premises!$A$51:$F$51)),MATCH($CB127,Premises!$A$10:$F$10,0))/$CM127)),0.01)</f>
        <v>0</v>
      </c>
      <c r="CO127" s="395" cm="1">
        <f t="array" ref="CO127">IF($CG127=0,0,IF(INDEX($CC:$CC,$CF127)=$CC127,0,$CM127*(1+IFERROR(INDEX(Premises!$A$52:$F$52,1,MATCH($CB127,Premises!$A$10:$F$10,0)),0)+$CN127)))</f>
        <v>0</v>
      </c>
      <c r="CP127" s="396" cm="1">
        <f t="array" ref="CP127">IFERROR(IF($CC127=0,0,IF($CO127=0,INDEX($CP$1:$CP127,$CF127),INDEX(IF($CO127&lt;0.2,Premises!$A$43:$F$43,IF($CO127&lt;5,Premises!$A$46:$F$46,Premises!$A$49:$F$49)),MATCH($CC127,Premises!$A$10:$F$10,0))/($CO127*INDEX(Premises!$A$13:$F$13,MATCH($CC127,Premises!$A$10:$F$10,0)))+INDEX(IF($CO127&lt;0.2,Premises!$A$44:$F$44,IF($CO127&lt;5,Premises!$A$47:$F$47,Premises!$A$50:$F$50)),MATCH($CC127,Premises!$A$10:$F$10,0))+INDEX(IF($CO127&lt;0.2,Premises!$A$45:$F$45,IF($CO127&lt;5,Premises!$A$48:$F$48,Premises!$A$51:$F$51)),MATCH($CC127,Premises!$A$10:$F$10,0))/$CO127)),0.01)</f>
        <v>0</v>
      </c>
      <c r="CQ127" s="397" cm="1">
        <f t="array" ref="CQ127">IF(AND($CM127=0,$CO127=0),0,INDEX(BOM!$O:$O,$CG127))</f>
        <v>0</v>
      </c>
      <c r="CR127" s="398" cm="1">
        <f t="array" ref="CR127">IF(OR($CM127=0,$CN127=0),0,ACOS(COS(RADIANS(90-INDEX(Premises!$A$66:$F$66,1,$CH127)))*COS(RADIANS(90-INDEX(Premises!$A$66:$F$66,1,MATCH($CB127,Premises!$A$10:$F$10,0))))
+SIN(RADIANS(90-INDEX(Premises!$A$66:$F$66,1,$CH127)))*SIN(RADIANS(90-INDEX(Premises!$A$66:$F$66,1,MATCH($CB127,Premises!$A$10:$F$10,0)))) * COS(RADIANS(INDEX(Premises!$A$67:$F$67,1,$CH127)-INDEX(Premises!$A$67:$F$67,1,MATCH($CB127,Premises!$A$10:$F$10,0)))))*6371)</f>
        <v>0</v>
      </c>
      <c r="CS127" s="398" cm="1">
        <f t="array" ref="CS127">IF(OR($CO127=0,$CP127=0),0,
IF($CR127=0,ACOS(COS(RADIANS(90-INDEX(Premises!$A$66:$F$66,1,$CH127)))*COS(RADIANS(90-INDEX(Premises!$A$66:$F$66,1,MATCH($CC127,Premises!$A$10:$F$10,0))))
+SIN(RADIANS(90-INDEX(Premises!$A$66:$F$66,1,$CH127)))*SIN(RADIANS(90-INDEX(Premises!$A$66:$F$66,1,MATCH($CC127,Premises!$A$10:$F$10,0))))*COS(RADIANS(INDEX(Premises!$A$67:$F$67,1,$CH127)-INDEX(Premises!$A$67:$F$67,1,MATCH($CC127,Premises!$A$10:$F$10,0)))))*6371,
ACOS(COS(RADIANS(90-INDEX(Premises!$A$66:$F$66,1,MATCH($CB127,Premises!$A$10:$F$10,0))))*COS(RADIANS(90-INDEX(Premises!$A$66:$F$66,1,MATCH($CC127,Premises!$A$10:$F$10,0))))
+SIN(RADIANS(90-INDEX(Premises!$A$66:$F$66,1,MATCH($CB127,Premises!$A$10:$F$10,0))))*SIN(RADIANS(90-INDEX(Premises!$A$66:$F$66,1,MATCH($CC127,Premises!$A$10:$F$10,0))))*COS(RADIANS(INDEX(Premises!$A$67:$F$67,1,MATCH($CB127,Premises!$A$10:$F$10,0))-INDEX(Premises!$A$67:$F$67,1,MATCH($CC127,Premises!$A$10:$F$10,0)))))*6371))</f>
        <v>0</v>
      </c>
      <c r="CT127" s="969" t="s">
        <v>904</v>
      </c>
      <c r="CU127" s="2"/>
      <c r="CV127" s="399">
        <f>SUM(INDEX(CV:CV,ROW()+1):INDEX(CV:CV,$CE127))</f>
        <v>0</v>
      </c>
      <c r="CW127" s="400">
        <f>SUM(INDEX(CW:CW,ROW()+1):INDEX(CW:CW,$CE127))</f>
        <v>0</v>
      </c>
      <c r="CX127" s="400">
        <f>SUM(INDEX(CX:CX,ROW()+1):INDEX(CX:CX,$CE127))</f>
        <v>0</v>
      </c>
      <c r="CY127" s="400">
        <f>SUM(INDEX(CY:CY,ROW()+1):INDEX(CY:CY,$CE127))</f>
        <v>0</v>
      </c>
      <c r="CZ127" s="400">
        <f>SUM(INDEX(CZ:CZ,ROW()+1):INDEX(CZ:CZ,$CE127))</f>
        <v>0</v>
      </c>
      <c r="DA127" s="400">
        <f>SUM(INDEX(DA:DA,ROW()+1):INDEX(DA:DA,$CE127))</f>
        <v>0</v>
      </c>
      <c r="DB127" s="400">
        <f>SUM(INDEX(DB:DB,ROW()+1):INDEX(DB:DB,$CE127))</f>
        <v>0</v>
      </c>
      <c r="DC127" s="400">
        <f>SUM(INDEX(DC:DC,ROW()+1):INDEX(DC:DC,$CE127))</f>
        <v>0</v>
      </c>
      <c r="DD127" s="400">
        <f>SUM(INDEX(DD:DD,ROW()+1):INDEX(DD:DD,$CE127))</f>
        <v>2.7018000000000002E-4</v>
      </c>
      <c r="DE127" s="400">
        <f>SUM(INDEX(DE:DE,ROW()+1):INDEX(DE:DE,$CE127))</f>
        <v>2.7018000000000001E-6</v>
      </c>
      <c r="DF127" s="400">
        <f>SUM(INDEX(DF:DF,ROW()+1):INDEX(DF:DF,$CE127))</f>
        <v>5.5960985941213718E-3</v>
      </c>
      <c r="DG127" s="400">
        <f>SUM(INDEX(DG:DG,ROW()+1):INDEX(DG:DG,$CE127))</f>
        <v>5.868980394121372E-3</v>
      </c>
      <c r="DH127" s="400">
        <f>SUM(INDEX(DH:DH,ROW()+1):INDEX(DH:DH,$CE127))</f>
        <v>5.868980394121372E-3</v>
      </c>
      <c r="DI127" s="400">
        <f>SUM(INDEX(DI:DI,ROW()+1):INDEX(DI:DI,$CE127))</f>
        <v>0</v>
      </c>
      <c r="DJ127" s="400">
        <f>SUM(INDEX(DJ:DJ,ROW()+1):INDEX(DJ:DJ,$CE127))</f>
        <v>0</v>
      </c>
      <c r="DK127" s="400">
        <f>SUM(INDEX(DK:DK,ROW()+1):INDEX(DK:DK,$CE127))</f>
        <v>7.336225492651715E-4</v>
      </c>
      <c r="DL127" s="400">
        <f>SUM(INDEX(DL:DL,ROW()+1):INDEX(DL:DL,$CE127))</f>
        <v>0</v>
      </c>
      <c r="DM127" s="400">
        <f>SUM(INDEX(DM:DM,ROW()+1):INDEX(DM:DM,$CE127))</f>
        <v>0</v>
      </c>
      <c r="DN127" s="400">
        <f>SUM(INDEX(DN:DN,ROW()+1):INDEX(DN:DN,$CE127))</f>
        <v>1.6210800000000001E-5</v>
      </c>
      <c r="DO127" s="400">
        <f>SUM(INDEX(DO:DO,ROW()+1):INDEX(DO:DO,$CE127))</f>
        <v>0</v>
      </c>
      <c r="DP127" s="400">
        <f>SUM(INDEX(DP:DP,ROW()+1):INDEX(DP:DP,$CE127))</f>
        <v>6.6188137433865436E-3</v>
      </c>
      <c r="DQ127" s="400">
        <f>SUM(INDEX(DQ:DQ,ROW()+1):INDEX(DQ:DQ,$CE127))</f>
        <v>0</v>
      </c>
      <c r="DR127" s="400">
        <f>SUM(INDEX(DR:DR,ROW()+1):INDEX(DR:DR,$CE127))</f>
        <v>0</v>
      </c>
      <c r="DS127" s="400">
        <f>SUM(INDEX(DS:DS,ROW()+1):INDEX(DS:DS,$CE127))</f>
        <v>0</v>
      </c>
      <c r="DT127" s="400">
        <f>SUM(INDEX(DT:DT,ROW()+1):INDEX(DT:DT,$CE127))</f>
        <v>0</v>
      </c>
      <c r="DU127" s="400">
        <f>SUM(INDEX(DU:DU,ROW()+1):INDEX(DU:DU,$CE127))</f>
        <v>0</v>
      </c>
      <c r="DV127" s="400">
        <f>SUM(INDEX(DV:DV,ROW()+1):INDEX(DV:DV,$CE127))</f>
        <v>6.6188137433865436E-3</v>
      </c>
      <c r="DW127" s="400">
        <f>SUM(INDEX(DW:DW,ROW()+1):INDEX(DW:DW,$CE127))</f>
        <v>0</v>
      </c>
      <c r="DX127" s="400">
        <f>SUM(INDEX(DX:DX,ROW()+1):INDEX(DX:DX,$CE127))</f>
        <v>0</v>
      </c>
      <c r="DY127" s="400">
        <f>SUM(INDEX(DY:DY,ROW()+1):INDEX(DY:DY,$CE127))</f>
        <v>0</v>
      </c>
      <c r="DZ127" s="400">
        <f>SUM(INDEX(DZ:DZ,ROW()+1):INDEX(DZ:DZ,$CE127))</f>
        <v>0</v>
      </c>
      <c r="EA127" s="400">
        <f>SUM(INDEX(EA:EA,ROW()+1):INDEX(EA:EA,$CE127))</f>
        <v>0</v>
      </c>
      <c r="EB127" s="401">
        <f>SUM(INDEX(EB:EB,ROW()+1):INDEX(EB:EB,$CE127))</f>
        <v>6.6188137433865436E-3</v>
      </c>
      <c r="EC127" s="805"/>
      <c r="ED127" s="399"/>
      <c r="EE127" s="400"/>
      <c r="EF127" s="1112"/>
      <c r="EG127" s="1112"/>
      <c r="EH127" s="1112"/>
      <c r="EI127" s="1112"/>
      <c r="EJ127" s="1112"/>
      <c r="EK127" s="1112"/>
      <c r="EL127" s="1112"/>
      <c r="EM127" s="1112"/>
      <c r="EN127" s="1112"/>
      <c r="EO127" s="1112"/>
      <c r="EP127" s="1112"/>
      <c r="EQ127" s="1112"/>
      <c r="ER127" s="1112"/>
      <c r="ES127" s="1112"/>
      <c r="ET127" s="1112"/>
      <c r="EU127" s="1112"/>
      <c r="EV127" s="1112"/>
      <c r="EW127" s="1112"/>
      <c r="EX127" s="1113"/>
      <c r="EY127" s="2"/>
      <c r="EZ127" s="2"/>
      <c r="FA127" s="2"/>
      <c r="FB127" s="2"/>
      <c r="FC127" s="2"/>
      <c r="FD127" s="2"/>
      <c r="FE127" s="2"/>
      <c r="FF127" s="2"/>
      <c r="FG127" s="2"/>
      <c r="FH127" s="2"/>
      <c r="FI127" s="2"/>
      <c r="FJ127" s="399"/>
      <c r="FK127" s="400"/>
      <c r="FL127" s="401"/>
      <c r="FM127" s="969"/>
    </row>
    <row r="128" spans="1:169" s="13" customFormat="1" ht="12.75" customHeight="1">
      <c r="A128" s="221"/>
      <c r="B128" s="402" t="s">
        <v>903</v>
      </c>
      <c r="C128" s="403"/>
      <c r="D128" s="646"/>
      <c r="E128" s="404"/>
      <c r="F128" s="405"/>
      <c r="G128" s="405"/>
      <c r="H128" s="405"/>
      <c r="I128" s="637" cm="1">
        <f t="array" ref="I128">IF($CI128=0,0,IFERROR(INDEX(MHR[],$CI128,MATCH($CA128,MHR!$B$4:$AY$4,0)),0))</f>
        <v>0</v>
      </c>
      <c r="J128" s="634">
        <f>IF(COUNTBLANK($E128:$H128),0,IFERROR($F128/$H128/IF($G128="s",3600,IF($G128="min",60,IF($G128="h",1,0)))*I128,0))</f>
        <v>0</v>
      </c>
      <c r="K128" s="406"/>
      <c r="L128" s="407"/>
      <c r="M128" s="871"/>
      <c r="N128" s="407"/>
      <c r="O128" s="405"/>
      <c r="P128" s="645" cm="1">
        <f t="array" ref="P128">IF($K128=0,0,IFERROR(ROUNDUP(IF(ISNUMBER($K128),$K128,INDEX($D$1:$D128,$CD128)*INDEX(Premises!$A$13:$F$13,1,$CH128)/IF(OR($K128="T",$K128="D"),250,IF($K128="W",50,IF($K128="M",12,IF(OR($K128="HJ",$K128="HY"),2,IF(OR($K128="J",$K128="Y"),1,0)))))),0),0))</f>
        <v>0</v>
      </c>
      <c r="Q128" s="637" cm="1">
        <f t="array" ref="Q128">IF($K128=0,0,IFERROR(INDEX(Premises!$A$22:$F$22,1,$CH128)*100/INDEX(Premises!$A$16:$F$16,1,$CH128),0))</f>
        <v>0</v>
      </c>
      <c r="R128" s="634">
        <f>IF($P128=0,0,IFERROR(($L128/60*($I128+$Q128*$M128)+($N128/60*($Q128*$O128)))/$P128,0))</f>
        <v>0</v>
      </c>
      <c r="S128" s="408"/>
      <c r="T128" s="409"/>
      <c r="U128" s="637" cm="1">
        <f t="array" ref="U128">IF(COUNTBLANK($S128:$T128),0,
IF(AND(INDEX(MHR[Schichtmodell],$CI128)&lt;&gt;0,INDEX(MHR[Schichtmodell],$CI128)&lt;&gt;INDEX(Premises!$A$20:$F$20,1,$CH128)),ExchangeRate*
IF(OR($T128="M",$T128="U"),IF(INDEX(MHR[Schichtmodell],$CI128)=1,INDEX(LOC[M1S],INDEX(Premises!$A$18:$F$18,1,$CH128+1)),IF(INDEX(MHR[Schichtmodell],$CI128)=2,INDEX(LOC[M2S],INDEX(Premises!$A$18:$F$18,1,$CH128+1),IF(INDEX(MHR[Schichtmodell],$CI128)=3,INDEX(LOC[M3S],INDEX(Premises!$A$18:$F$18,1,$CH128+1)),0)))),
IF(INDEX(MHR[Schichtmodell],$CI128)=1,INDEX(LOC[F1S],INDEX(Premises!$A$18:$F$18,1,$CH128+1)),IF(INDEX(MHR[Schichtmodell],$CI128)=2,INDEX(LOC[F2S],INDEX(Premises!$A$18:$F$18,1,$CH128+1)),IF(INDEX(MHR[Schichtmodell],$CI128)=3,INDEX(LOC[F3S],INDEX(Premises!$A$18:$F$18,1,$CH128+1)),0)))),
IF(OR($T128="M",$T128="U"),INDEX(Premises!$A$21:$F$21,1,$CH128),
IF(OR($T128="F",$T128="S"),INDEX(Premises!$A$22:$F$22,1,$CH128),0)))*100/INDEX(Premises!$A$16:$F$16,1,$CH128))</f>
        <v>0</v>
      </c>
      <c r="V128" s="631">
        <f>IF($U128=0,0,IFERROR($F128/$H128/IF($G128="s",3600,IF($G128="min",60,IF($G128="h",1,0)))*$S128*$U128,0))</f>
        <v>0</v>
      </c>
      <c r="W128" s="410"/>
      <c r="X128" s="403"/>
      <c r="Y128" s="411"/>
      <c r="Z128" s="412"/>
      <c r="AA128" s="628">
        <f>IFERROR($X128*$Z128/$Y128/MAX(1,$H128),0)</f>
        <v>0</v>
      </c>
      <c r="AB128" s="410"/>
      <c r="AC128" s="403"/>
      <c r="AD128" s="411"/>
      <c r="AE128" s="413"/>
      <c r="AF128" s="628">
        <f>IFERROR($AC128*$AE128/$AD128,0)</f>
        <v>0</v>
      </c>
      <c r="AG128" s="629" cm="1">
        <f t="array" ref="AG128">IF(($J128+$V128+$AF128)=0,0,INDEX(Premises!$A$30:$F$30,1,$CH128)/100)</f>
        <v>0</v>
      </c>
      <c r="AH128" s="414"/>
      <c r="AI128" s="415"/>
      <c r="AJ128" s="416"/>
      <c r="AK128" s="630">
        <f>IF(COUNTBLANK($AH128:$AI128),0,$AH128*$AI128*$AG128)</f>
        <v>0</v>
      </c>
      <c r="AL128" s="631">
        <f>($AK128+$AJ128*$AG128*(1-$AH128)+($J128+$V128+$AF128)*$AG128*(1-$AH128))</f>
        <v>0</v>
      </c>
      <c r="AM128" s="632" cm="1">
        <f t="array" ref="AM128">IF($CI128=0,0,IFERROR(INDEX(MHR[],$CI128,MATCH($CA128,MHR!$B$4:$AY$4,0)+11),0))</f>
        <v>0</v>
      </c>
      <c r="AN128" s="633" cm="1">
        <f t="array" ref="AN128">IF(($J128+$V128)=0,0,IFERROR(IF(INDEX(Premises!$A$41:$F$41,1,$CH128)&lt;&gt;0,INDEX(Premises!$A$41:$F$41,1,$CH128)/100,(IFERROR(($J128/$I128)*$AM128,0)/($V128+$J128+$R128+$AL128))),0))</f>
        <v>0</v>
      </c>
      <c r="AO128" s="634">
        <f>IF(($J128+$V128)=0,0,IF(IFERROR(($J128+$R128+$V128+$AL128)*$AN128,0)&lt;&gt;IFERROR(($J128/$I128)*$AM128,0),($J128+$R128+$V128+$AL128)*$AN128,IFERROR(($J128/$I128)*$AM128,0)))</f>
        <v>0</v>
      </c>
      <c r="AP128" s="635">
        <f>$V128+$J128+$R128+$AA128+$AF128+$AL128+$AO128</f>
        <v>0</v>
      </c>
      <c r="AQ128" s="410" t="str">
        <f>VLOOKUP($B127,BOM,5,0)</f>
        <v>PE-LD Folienqualitäten</v>
      </c>
      <c r="AR128" s="409">
        <f>VLOOKUP($B127,BOM,7,0)</f>
        <v>1.7100000000000001E-4</v>
      </c>
      <c r="AS128" s="636" t="str" cm="1">
        <f t="array" ref="AS128">IF($CJ128=0,0,IFERROR(INDEX(MAT[Einheit],$CJ128,1),0))</f>
        <v>kg</v>
      </c>
      <c r="AT128" s="637" cm="1">
        <f t="array" ref="AT128">IF($CJ128=0,0,IFERROR(INDEX(MAT[Preis],$CJ128,1),0))</f>
        <v>1.58</v>
      </c>
      <c r="AU128" s="638">
        <f>$AR128*$AT128</f>
        <v>2.7018000000000002E-4</v>
      </c>
      <c r="AV128" s="639" cm="1">
        <f t="array" ref="AV128">IF($AU128&lt;=0,0,INDEX(Premises!$A$30:$F$30,1,$CH128)/100)</f>
        <v>0.01</v>
      </c>
      <c r="AW128" s="409"/>
      <c r="AX128" s="631">
        <f>IF($AV128=0,0,($AU128+$AW128)*$AV128)</f>
        <v>2.7018000000000001E-6</v>
      </c>
      <c r="AY128" s="640" cm="1">
        <f t="array" ref="AY128">IF($AT128&lt;=0,0,IFERROR(IF(INDEX(Premises!$A$42:$F$42,1,$CH128)&lt;&gt;0,INDEX(Premises!$A$42:$F$42,1,$CH128)/100,(INDEX(MAT[],$CJ128,MATCH($CA128,MAT!$B$4:$AE$4,0))/($AR128*$CK128*INDEX(Premises!$A$13:$F$13,1,$CH128))+INDEX(MAT[],$CJ128,MATCH($CA128,MAT!$B$4:$AE$4,0)+7))/$AT128),0))</f>
        <v>20.507408680686552</v>
      </c>
      <c r="AZ128" s="631">
        <f>IF($AY128=0,0,($AU128+$AX128)*$AY128)</f>
        <v>5.5960985941213718E-3</v>
      </c>
      <c r="BA128" s="635">
        <f>$AU128+$AX128+$AZ128</f>
        <v>5.868980394121372E-3</v>
      </c>
      <c r="BB128" s="635">
        <f>$AP128+$BA128</f>
        <v>5.868980394121372E-3</v>
      </c>
      <c r="BC128" s="639" cm="1">
        <f t="array" ref="BC128">IF($BB128&lt;=0,0,IF(BC$2=-1,0,INDEX(Premises!$A$32:$F$32,1,$CH128)/100))</f>
        <v>0</v>
      </c>
      <c r="BD128" s="631">
        <f>IF($AP128&lt;=0,0,($AP128-$AA128-$AL128)*$BC128)</f>
        <v>0</v>
      </c>
      <c r="BE128" s="639" cm="1">
        <f t="array" ref="BE128">IF($BB128&lt;=0,0,IF(BE$2=-1,0,INDEX(Premises!$A$33:$F$33,1,$CH128)/100))</f>
        <v>0</v>
      </c>
      <c r="BF128" s="631">
        <f>IF($BA128&lt;=0,0,$BA128*$BE128)</f>
        <v>0</v>
      </c>
      <c r="BG128" s="639" cm="1">
        <f t="array" ref="BG128">IF($BB128&lt;=0,0,IF(BG$2=-1,0,INDEX(Premises!$A$31:$F$31,1,$CH128)/100))</f>
        <v>0.125</v>
      </c>
      <c r="BH128" s="631">
        <f>(($AP128-$AA128-$AL128)+$BA128)*$BG128</f>
        <v>7.336225492651715E-4</v>
      </c>
      <c r="BI128" s="635">
        <f>$BB128+$BD128+$BF128+$BH128</f>
        <v>6.6026029433865433E-3</v>
      </c>
      <c r="BJ128" s="639" cm="1">
        <f t="array" ref="BJ128">IF($BB128&lt;=0,0,IF(BJ$2=-1,0,INDEX(Premises!$A$35:$F$35,1,$CH128)/100))</f>
        <v>0</v>
      </c>
      <c r="BK128" s="631">
        <f>IF($AP128&lt;=0,0,($AP128-$AL128-$AA128)*$BJ128)</f>
        <v>0</v>
      </c>
      <c r="BL128" s="639" cm="1">
        <f t="array" ref="BL128">IF($BB128&lt;=0,0,IF(BL$2=-1,0,INDEX(Premises!$A$36:$F$36,1,$CH128)/100))</f>
        <v>0</v>
      </c>
      <c r="BM128" s="631">
        <f>IF($AU128&lt;=0,0,($AR128*$AT128)*$BL128)</f>
        <v>0</v>
      </c>
      <c r="BN128" s="639" cm="1">
        <f t="array" ref="BN128">IF($BB128&lt;=0,0,IF(BN$2=-1,0,INDEX(Premises!$A$34:$F$34,1,$CH128)/100))</f>
        <v>0.06</v>
      </c>
      <c r="BO128" s="631">
        <f>(($AP128-$AL128-$AA128)+($AR128*$AT128))*$BN128</f>
        <v>1.6210800000000001E-5</v>
      </c>
      <c r="BP128" s="639" cm="1">
        <f t="array" ref="BP128">IF($BI128=0,0,INDEX(Premises!$A$37:$F$37,1,$CH128)/100)</f>
        <v>0</v>
      </c>
      <c r="BQ128" s="409"/>
      <c r="BR128" s="631">
        <f>($BI128+$BK128+$BM128+$BO128)*$BP128+$BQ128</f>
        <v>0</v>
      </c>
      <c r="BS128" s="641">
        <f>BI128+BK128+BM128+BO128+BR128</f>
        <v>6.6188137433865436E-3</v>
      </c>
      <c r="BT128" s="641">
        <f>IF($BS128=0,0,$CK128*$BS128)</f>
        <v>6.6188137433865436E-3</v>
      </c>
      <c r="BU128" s="642">
        <f>IF($BT128=0,0,MAX(1,$EB128/$DP128))</f>
        <v>1</v>
      </c>
      <c r="BV128" s="417"/>
      <c r="BW128" s="418"/>
      <c r="BX128" s="418"/>
      <c r="BY128" s="419"/>
      <c r="BZ128" s="968"/>
      <c r="CA128" s="280" cm="1">
        <f t="array" ref="CA128">IF($BZ128&gt;0,VALUE(LEFT($BZ128,IF(ISERROR(FIND("-",$BZ128)),LEN($BZ128),FIND("-",$BZ128)-1))),INDEX($CA$1:$CA128,MAX(1,$CD128)))</f>
        <v>1</v>
      </c>
      <c r="CB128" s="280" cm="1">
        <f t="array" ref="CB128">IF($BT128=0,0,IF(LEN($BZ128)-LEN(SUBSTITUTE($BZ128,"-",""))&gt;1,
VALUE(MID($BZ128,FIND("-",$BZ128)+1,FIND("-",$BZ128,FIND("-",$BZ128)+1)-FIND("-",$BZ128)-1)),IF($BZ128&gt;0,0,INDEX($CB$1:$CB128,MAX(1,$CD128)))))</f>
        <v>0</v>
      </c>
      <c r="CC128" s="280" cm="1">
        <f t="array" ref="CC128">IF($BT128=0,0,IF(NOT(ISERROR(FIND("-",BZ128))),
VALUE(RIGHT($BZ128,LEN($BZ128)-IF(LEN($BZ128)-LEN(SUBSTITUTE($BZ128,"-",""))=1,FIND("-",$BZ128),FIND("-",$BZ128,FIND("-",$BZ128)+1)))),
IF($BZ128&gt;0,0,INDEX($CC$1:$CC128,MAX(1,$CD128)))))</f>
        <v>0</v>
      </c>
      <c r="CD128" s="393">
        <f>MATCH(0,$CE$1:$CE128,-1)</f>
        <v>127</v>
      </c>
      <c r="CE128" s="280"/>
      <c r="CF128" s="394"/>
      <c r="CG128" s="393" cm="1">
        <f t="array" ref="CG128">INDEX($CG$1:$CG128,$CD128)</f>
        <v>15</v>
      </c>
      <c r="CH128" s="280">
        <f>MATCH($CA128,Premises!$A$10:$F$10,0)</f>
        <v>4</v>
      </c>
      <c r="CI128" s="280">
        <f>IF(ISBLANK($E128),0,IFERROR(MATCH($E128,MHR[Bezeichnung],0),0))</f>
        <v>0</v>
      </c>
      <c r="CJ128" s="394">
        <f>IF(ISBLANK($AQ128),0,IFERROR(MATCH($AQ128,MAT[Bezeichnung],0),0))</f>
        <v>10</v>
      </c>
      <c r="CK128" s="280" cm="1">
        <f t="array" ref="CK128">INDEX($D$1:$D128,$CD128)</f>
        <v>1</v>
      </c>
      <c r="CL128" s="280"/>
      <c r="CM128" s="395"/>
      <c r="CN128" s="396" cm="1">
        <f t="array" ref="CN128">IF($CB128=0,0,IF($CB128=INDEX($CB$1:$CB128,$CD128),INDEX($CN$1:$CN128,$CD128),$CP128))</f>
        <v>0</v>
      </c>
      <c r="CO128" s="395"/>
      <c r="CP128" s="396" cm="1">
        <f t="array" ref="CP128">IF($CC128=0,0,INDEX($CP$1:$CP128,$CD128))</f>
        <v>0</v>
      </c>
      <c r="CQ128" s="397"/>
      <c r="CR128" s="398"/>
      <c r="CS128" s="398"/>
      <c r="CT128" s="970"/>
      <c r="CU128" s="2"/>
      <c r="CV128" s="647">
        <f>$J128*$CK128</f>
        <v>0</v>
      </c>
      <c r="CW128" s="648">
        <f>$R128*$CK128</f>
        <v>0</v>
      </c>
      <c r="CX128" s="648">
        <f>$V128*$CK128</f>
        <v>0</v>
      </c>
      <c r="CY128" s="648">
        <f>$AA128*$CK128</f>
        <v>0</v>
      </c>
      <c r="CZ128" s="648">
        <f>$AF128*$CK128</f>
        <v>0</v>
      </c>
      <c r="DA128" s="648">
        <f>$AL128*$CK128</f>
        <v>0</v>
      </c>
      <c r="DB128" s="648">
        <f>$AO128*$CK128</f>
        <v>0</v>
      </c>
      <c r="DC128" s="649">
        <f>$AP128*$CK128</f>
        <v>0</v>
      </c>
      <c r="DD128" s="648">
        <f>$AU128*$CK128</f>
        <v>2.7018000000000002E-4</v>
      </c>
      <c r="DE128" s="648">
        <f>$AX128*$CK128</f>
        <v>2.7018000000000001E-6</v>
      </c>
      <c r="DF128" s="648">
        <f>$AZ128*$CK128</f>
        <v>5.5960985941213718E-3</v>
      </c>
      <c r="DG128" s="649">
        <f>$BA128*$CK128</f>
        <v>5.868980394121372E-3</v>
      </c>
      <c r="DH128" s="649">
        <f>$BB128*$CK128</f>
        <v>5.868980394121372E-3</v>
      </c>
      <c r="DI128" s="648">
        <f>$BD128*$CK128</f>
        <v>0</v>
      </c>
      <c r="DJ128" s="648">
        <f>$BF128*$CK128</f>
        <v>0</v>
      </c>
      <c r="DK128" s="648">
        <f>$BH128*$CK128</f>
        <v>7.336225492651715E-4</v>
      </c>
      <c r="DL128" s="648">
        <f>$BK128*$CK128</f>
        <v>0</v>
      </c>
      <c r="DM128" s="648">
        <f>$BM128*$CK128</f>
        <v>0</v>
      </c>
      <c r="DN128" s="648">
        <f>$BO128*$CK128</f>
        <v>1.6210800000000001E-5</v>
      </c>
      <c r="DO128" s="648">
        <f>$BR128*$CK128</f>
        <v>0</v>
      </c>
      <c r="DP128" s="651">
        <f>$CK128*($BB128+$BD128+$BF128+$BH128+$BK128+$BM128+$BO128+$BR128)</f>
        <v>6.6188137433865436E-3</v>
      </c>
      <c r="DQ128" s="951">
        <f>IF($CB128=0,0,$DP128*_xlfn.XLOOKUP($CB128,Premises!$A$10:$F$10,Premises!$A$30:$F$30)/100)</f>
        <v>0</v>
      </c>
      <c r="DR128" s="650">
        <f>IFERROR(SUM($DP128:$DQ128)*IF(INDEX(Premises!$A$42:$F$42,1,MATCH($CB128,Premises!$A$10:$F$10,0))&gt;0,INDEX(Premises!$A$42:$F$42,1,MATCH($CB128,Premises!$A$10:$F$10,0))%,$CN128),0)</f>
        <v>0</v>
      </c>
      <c r="DS128" s="650" cm="1">
        <f t="array" ref="DS128">IF($CB128=0,0,SUM($DP128:$DR128)*_xlfn.XLOOKUP($CB128,Premises!$A$10:$F$10,IF(INDEX(Settings[],MATCH(3001,Settings[ID],0),2)="B",Premises!$A$33:$F$33,Premises!$A$31:$F$31))/100)</f>
        <v>0</v>
      </c>
      <c r="DT128" s="650" cm="1">
        <f t="array" ref="DT128">IF($CB128=0,0,$DP128*_xlfn.XLOOKUP($CB128,Premises!$A$10:$F$10,IF(INDEX(Settings[],MATCH(3002,Settings[ID],0),2)="B",Premises!$A$36:$F$36,Premises!$A$34:$F$34))/100)</f>
        <v>0</v>
      </c>
      <c r="DU128" s="650">
        <f>IF($CB128=0,0,SUM($DP128:$DT128)*_xlfn.XLOOKUP($CB128,Premises!$A$10:$F$10,Premises!$A$37:$F$37)/100)</f>
        <v>0</v>
      </c>
      <c r="DV128" s="954">
        <f>SUM($DP128:$DU128)</f>
        <v>6.6188137433865436E-3</v>
      </c>
      <c r="DW128" s="951">
        <f>IF($CC128=0,0,$DV128*_xlfn.XLOOKUP($CC128,Premises!$A$10:$F$10,Premises!$A$30:$F$30)/100)</f>
        <v>0</v>
      </c>
      <c r="DX128" s="650">
        <f>IFERROR(SUM($DV128:$DW128)*IF(INDEX(Premises!$A$42:$F$42,1,MATCH($CC128,Premises!$A$10:$F$10,0))&gt;0,INDEX(Premises!$A$42:$F$42,1,MATCH($CC128,Premises!$A$10:$F$10,0))%,$CP128),0)</f>
        <v>0</v>
      </c>
      <c r="DY128" s="650" cm="1">
        <f t="array" ref="DY128">IF($CC128=0,0,SUM($DV128:$DX128)*_xlfn.XLOOKUP($CC128,Premises!$A$10:$F$10,IF(INDEX(Settings[],MATCH(3001,Settings[ID],0),2)="B",Premises!$A$33:$F$33,Premises!$A$31:$F$31))/100)</f>
        <v>0</v>
      </c>
      <c r="DZ128" s="650" cm="1">
        <f t="array" ref="DZ128">IF($CC128=0,0,$DV128*_xlfn.XLOOKUP($CC128,Premises!$A$10:$F$10,IF(INDEX(Settings[],MATCH(3002,Settings[ID],0),2)="B",Premises!$A$36:$F$36,Premises!$A$34:$F$34))/100)</f>
        <v>0</v>
      </c>
      <c r="EA128" s="650">
        <f>IF($CC128=0,0,SUM($DV128:$DZ128)*_xlfn.XLOOKUP($CC128,Premises!$A$10:$F$10,Premises!$A$37:$F$37)/100)</f>
        <v>0</v>
      </c>
      <c r="EB128" s="651">
        <f>SUM($DV128:$EA128)</f>
        <v>6.6188137433865436E-3</v>
      </c>
      <c r="EC128" s="805"/>
      <c r="ED128" s="1104"/>
      <c r="EE128" s="650"/>
      <c r="EF128" s="1110"/>
      <c r="EG128" s="1108"/>
      <c r="EH128" s="1108"/>
      <c r="EI128" s="1108"/>
      <c r="EJ128" s="1108"/>
      <c r="EK128" s="1108"/>
      <c r="EL128" s="1108"/>
      <c r="EM128" s="1110"/>
      <c r="EN128" s="1108"/>
      <c r="EO128" s="1108"/>
      <c r="EP128" s="1108"/>
      <c r="EQ128" s="1108"/>
      <c r="ER128" s="1110"/>
      <c r="ES128" s="1108"/>
      <c r="ET128" s="1108"/>
      <c r="EU128" s="1108"/>
      <c r="EV128" s="1108"/>
      <c r="EW128" s="1108"/>
      <c r="EX128" s="1111"/>
      <c r="EY128" s="2"/>
      <c r="EZ128" s="2"/>
      <c r="FA128" s="2"/>
      <c r="FB128" s="2"/>
      <c r="FC128" s="2"/>
      <c r="FD128" s="2"/>
      <c r="FE128" s="2"/>
      <c r="FF128" s="2"/>
      <c r="FG128" s="2"/>
      <c r="FH128" s="2"/>
      <c r="FI128" s="2"/>
      <c r="FJ128" s="420"/>
      <c r="FK128" s="421"/>
      <c r="FL128" s="422"/>
      <c r="FM128" s="970"/>
    </row>
    <row r="129" spans="1:169" s="13" customFormat="1" ht="12.75" customHeight="1">
      <c r="A129" s="221"/>
      <c r="B129" s="402"/>
      <c r="C129" s="403"/>
      <c r="D129" s="646"/>
      <c r="E129" s="404"/>
      <c r="F129" s="405"/>
      <c r="G129" s="405"/>
      <c r="H129" s="405"/>
      <c r="I129" s="637" cm="1">
        <f t="array" ref="I129">IF($CI129=0,0,IFERROR(INDEX(MHR[],$CI129,MATCH($CA129,MHR!$B$4:$AY$4,0)),0))</f>
        <v>0</v>
      </c>
      <c r="J129" s="634">
        <f>IF(COUNTBLANK($E129:$H129),0,IFERROR($F129/$H129/IF($G129="s",3600,IF($G129="min",60,IF($G129="h",1,0)))*I129,0))</f>
        <v>0</v>
      </c>
      <c r="K129" s="406"/>
      <c r="L129" s="407"/>
      <c r="M129" s="871"/>
      <c r="N129" s="407"/>
      <c r="O129" s="405"/>
      <c r="P129" s="645" cm="1">
        <f t="array" ref="P129">IF($K129=0,0,IFERROR(ROUNDUP(IF(ISNUMBER($K129),$K129,INDEX($D$1:$D129,$CD129)*INDEX(Premises!$A$13:$F$13,1,$CH129)/IF(OR($K129="T",$K129="D"),250,IF($K129="W",50,IF($K129="M",12,IF(OR($K129="HJ",$K129="HY"),2,IF(OR($K129="J",$K129="Y"),1,0)))))),0),0))</f>
        <v>0</v>
      </c>
      <c r="Q129" s="637" cm="1">
        <f t="array" ref="Q129">IF($K129=0,0,IFERROR(INDEX(Premises!$A$22:$F$22,1,$CH129)*100/INDEX(Premises!$A$16:$F$16,1,$CH129),0))</f>
        <v>0</v>
      </c>
      <c r="R129" s="634">
        <f>IF($P129=0,0,IFERROR(($L129/60*($I129+$Q129*$M129)+($N129/60*($Q129*$O129)))/$P129,0))</f>
        <v>0</v>
      </c>
      <c r="S129" s="408"/>
      <c r="T129" s="409"/>
      <c r="U129" s="637" cm="1">
        <f t="array" ref="U129">IF(COUNTBLANK($S129:$T129),0,
IF(AND(INDEX(MHR[Schichtmodell],$CI129)&lt;&gt;0,INDEX(MHR[Schichtmodell],$CI129)&lt;&gt;INDEX(Premises!$A$20:$F$20,1,$CH129)),ExchangeRate*
IF(OR($T129="M",$T129="U"),IF(INDEX(MHR[Schichtmodell],$CI129)=1,INDEX(LOC[M1S],INDEX(Premises!$A$18:$F$18,1,$CH129+1)),IF(INDEX(MHR[Schichtmodell],$CI129)=2,INDEX(LOC[M2S],INDEX(Premises!$A$18:$F$18,1,$CH129+1),IF(INDEX(MHR[Schichtmodell],$CI129)=3,INDEX(LOC[M3S],INDEX(Premises!$A$18:$F$18,1,$CH129+1)),0)))),
IF(INDEX(MHR[Schichtmodell],$CI129)=1,INDEX(LOC[F1S],INDEX(Premises!$A$18:$F$18,1,$CH129+1)),IF(INDEX(MHR[Schichtmodell],$CI129)=2,INDEX(LOC[F2S],INDEX(Premises!$A$18:$F$18,1,$CH129+1)),IF(INDEX(MHR[Schichtmodell],$CI129)=3,INDEX(LOC[F3S],INDEX(Premises!$A$18:$F$18,1,$CH129+1)),0)))),
IF(OR($T129="M",$T129="U"),INDEX(Premises!$A$21:$F$21,1,$CH129),
IF(OR($T129="F",$T129="S"),INDEX(Premises!$A$22:$F$22,1,$CH129),0)))*100/INDEX(Premises!$A$16:$F$16,1,$CH129))</f>
        <v>0</v>
      </c>
      <c r="V129" s="631">
        <f>IF($U129=0,0,IFERROR($F129/$H129/IF($G129="s",3600,IF($G129="min",60,IF($G129="h",1,0)))*$S129*$U129,0))</f>
        <v>0</v>
      </c>
      <c r="W129" s="410"/>
      <c r="X129" s="403"/>
      <c r="Y129" s="411"/>
      <c r="Z129" s="412"/>
      <c r="AA129" s="628">
        <f>IFERROR($X129*$Z129/$Y129/MAX(1,$H129),0)</f>
        <v>0</v>
      </c>
      <c r="AB129" s="410"/>
      <c r="AC129" s="403"/>
      <c r="AD129" s="411"/>
      <c r="AE129" s="413"/>
      <c r="AF129" s="628">
        <f>IFERROR($AC129*$AE129/$AD129,0)</f>
        <v>0</v>
      </c>
      <c r="AG129" s="629" cm="1">
        <f t="array" ref="AG129">IF(($J129+$V129+$AF129)=0,0,INDEX(Premises!$A$30:$F$30,1,$CH129)/100)</f>
        <v>0</v>
      </c>
      <c r="AH129" s="414"/>
      <c r="AI129" s="415"/>
      <c r="AJ129" s="416"/>
      <c r="AK129" s="630">
        <f>IF(COUNTBLANK($AH129:$AI129),0,$AH129*$AI129*$AG129)</f>
        <v>0</v>
      </c>
      <c r="AL129" s="631">
        <f>($AK129+$AJ129*$AG129*(1-$AH129)+($J129+$V129+$AF129)*$AG129*(1-$AH129))</f>
        <v>0</v>
      </c>
      <c r="AM129" s="632" cm="1">
        <f t="array" ref="AM129">IF($CI129=0,0,IFERROR(INDEX(MHR[],$CI129,MATCH($CA129,MHR!$B$4:$AY$4,0)+11),0))</f>
        <v>0</v>
      </c>
      <c r="AN129" s="633" cm="1">
        <f t="array" ref="AN129">IF(($J129+$V129)=0,0,IFERROR(IF(INDEX(Premises!$A$41:$F$41,1,$CH129)&lt;&gt;0,INDEX(Premises!$A$41:$F$41,1,$CH129)/100,(IFERROR(($J129/$I129)*$AM129,0)/($V129+$J129+$R129+$AL129))),0))</f>
        <v>0</v>
      </c>
      <c r="AO129" s="634">
        <f>IF(($J129+$V129)=0,0,IF(IFERROR(($J129+$R129+$V129+$AL129)*$AN129,0)&lt;&gt;IFERROR(($J129/$I129)*$AM129,0),($J129+$R129+$V129+$AL129)*$AN129,IFERROR(($J129/$I129)*$AM129,0)))</f>
        <v>0</v>
      </c>
      <c r="AP129" s="635">
        <f>$V129+$J129+$R129+$AA129+$AF129+$AL129+$AO129</f>
        <v>0</v>
      </c>
      <c r="AQ129" s="410"/>
      <c r="AR129" s="409"/>
      <c r="AS129" s="636" cm="1">
        <f t="array" ref="AS129">IF($CJ129=0,0,IFERROR(INDEX(MAT[Einheit],$CJ129,1),0))</f>
        <v>0</v>
      </c>
      <c r="AT129" s="637" cm="1">
        <f t="array" ref="AT129">IF($CJ129=0,0,IFERROR(INDEX(MAT[Preis],$CJ129,1),0))</f>
        <v>0</v>
      </c>
      <c r="AU129" s="638">
        <f>$AR129*$AT129</f>
        <v>0</v>
      </c>
      <c r="AV129" s="639" cm="1">
        <f t="array" ref="AV129">IF($AU129&lt;=0,0,INDEX(Premises!$A$30:$F$30,1,$CH129)/100)</f>
        <v>0</v>
      </c>
      <c r="AW129" s="409"/>
      <c r="AX129" s="631">
        <f>IF($AV129=0,0,($AU129+$AW129)*$AV129)</f>
        <v>0</v>
      </c>
      <c r="AY129" s="640" cm="1">
        <f t="array" ref="AY129">IF($AT129&lt;=0,0,IFERROR(IF(INDEX(Premises!$A$42:$F$42,1,$CH129)&lt;&gt;0,INDEX(Premises!$A$42:$F$42,1,$CH129)/100,(INDEX(MAT[],$CJ129,MATCH($CA129,MAT!$B$4:$AE$4,0))/($AR129*$CK129*INDEX(Premises!$A$13:$F$13,1,$CH129))+INDEX(MAT[],$CJ129,MATCH($CA129,MAT!$B$4:$AE$4,0)+7))/$AT129),0))</f>
        <v>0</v>
      </c>
      <c r="AZ129" s="631">
        <f>IF($AY129=0,0,($AU129+$AX129)*$AY129)</f>
        <v>0</v>
      </c>
      <c r="BA129" s="635">
        <f>$AU129+$AX129+$AZ129</f>
        <v>0</v>
      </c>
      <c r="BB129" s="635">
        <f>$AP129+$BA129</f>
        <v>0</v>
      </c>
      <c r="BC129" s="639" cm="1">
        <f t="array" ref="BC129">IF($BB129&lt;=0,0,IF(BC$2=-1,0,INDEX(Premises!$A$32:$F$32,1,$CH129)/100))</f>
        <v>0</v>
      </c>
      <c r="BD129" s="631">
        <f>IF($AP129&lt;=0,0,($AP129-$AA129-$AL129)*$BC129)</f>
        <v>0</v>
      </c>
      <c r="BE129" s="639" cm="1">
        <f t="array" ref="BE129">IF($BB129&lt;=0,0,IF(BE$2=-1,0,INDEX(Premises!$A$33:$F$33,1,$CH129)/100))</f>
        <v>0</v>
      </c>
      <c r="BF129" s="631">
        <f>IF($BA129&lt;=0,0,$BA129*$BE129)</f>
        <v>0</v>
      </c>
      <c r="BG129" s="639" cm="1">
        <f t="array" ref="BG129">IF($BB129&lt;=0,0,IF(BG$2=-1,0,INDEX(Premises!$A$31:$F$31,1,$CH129)/100))</f>
        <v>0</v>
      </c>
      <c r="BH129" s="631">
        <f>(($AP129-$AA129-$AL129)+$BA129)*$BG129</f>
        <v>0</v>
      </c>
      <c r="BI129" s="635">
        <f>$BB129+$BD129+$BF129+$BH129</f>
        <v>0</v>
      </c>
      <c r="BJ129" s="639" cm="1">
        <f t="array" ref="BJ129">IF($BB129&lt;=0,0,IF(BJ$2=-1,0,INDEX(Premises!$A$35:$F$35,1,$CH129)/100))</f>
        <v>0</v>
      </c>
      <c r="BK129" s="631">
        <f>IF($AP129&lt;=0,0,($AP129-$AL129-$AA129)*$BJ129)</f>
        <v>0</v>
      </c>
      <c r="BL129" s="639" cm="1">
        <f t="array" ref="BL129">IF($BB129&lt;=0,0,IF(BL$2=-1,0,INDEX(Premises!$A$36:$F$36,1,$CH129)/100))</f>
        <v>0</v>
      </c>
      <c r="BM129" s="631">
        <f>IF($AU129&lt;=0,0,($AR129*$AT129)*$BL129)</f>
        <v>0</v>
      </c>
      <c r="BN129" s="639" cm="1">
        <f t="array" ref="BN129">IF($BB129&lt;=0,0,IF(BN$2=-1,0,INDEX(Premises!$A$34:$F$34,1,$CH129)/100))</f>
        <v>0</v>
      </c>
      <c r="BO129" s="631">
        <f>(($AP129-$AL129-$AA129)+($AR129*$AT129))*$BN129</f>
        <v>0</v>
      </c>
      <c r="BP129" s="639" cm="1">
        <f t="array" ref="BP129">IF($BI129=0,0,INDEX(Premises!$A$37:$F$37,1,$CH129)/100)</f>
        <v>0</v>
      </c>
      <c r="BQ129" s="409"/>
      <c r="BR129" s="631">
        <f>($BI129+$BK129+$BM129+$BO129)*$BP129+$BQ129</f>
        <v>0</v>
      </c>
      <c r="BS129" s="641">
        <f>BI129+BK129+BM129+BO129+BR129</f>
        <v>0</v>
      </c>
      <c r="BT129" s="641">
        <f>IF($BS129=0,0,$CK129*$BS129)</f>
        <v>0</v>
      </c>
      <c r="BU129" s="642">
        <f>IF($BT129=0,0,MAX(1,$EB129/$DP129))</f>
        <v>0</v>
      </c>
      <c r="BV129" s="417"/>
      <c r="BW129" s="418"/>
      <c r="BX129" s="418"/>
      <c r="BY129" s="419"/>
      <c r="BZ129" s="968"/>
      <c r="CA129" s="280" cm="1">
        <f t="array" ref="CA129">IF($BZ129&gt;0,VALUE(LEFT($BZ129,IF(ISERROR(FIND("-",$BZ129)),LEN($BZ129),FIND("-",$BZ129)-1))),INDEX($CA$1:$CA129,MAX(1,$CD129)))</f>
        <v>1</v>
      </c>
      <c r="CB129" s="280" cm="1">
        <f t="array" ref="CB129">IF($BT129=0,0,IF(LEN($BZ129)-LEN(SUBSTITUTE($BZ129,"-",""))&gt;1,
VALUE(MID($BZ129,FIND("-",$BZ129)+1,FIND("-",$BZ129,FIND("-",$BZ129)+1)-FIND("-",$BZ129)-1)),IF($BZ129&gt;0,0,INDEX($CB$1:$CB129,MAX(1,$CD129)))))</f>
        <v>0</v>
      </c>
      <c r="CC129" s="280" cm="1">
        <f t="array" ref="CC129">IF($BT129=0,0,IF(NOT(ISERROR(FIND("-",BZ129))),
VALUE(RIGHT($BZ129,LEN($BZ129)-IF(LEN($BZ129)-LEN(SUBSTITUTE($BZ129,"-",""))=1,FIND("-",$BZ129),FIND("-",$BZ129,FIND("-",$BZ129)+1)))),
IF($BZ129&gt;0,0,INDEX($CC$1:$CC129,MAX(1,$CD129)))))</f>
        <v>0</v>
      </c>
      <c r="CD129" s="393">
        <f>MATCH(0,$CE$1:$CE129,-1)</f>
        <v>127</v>
      </c>
      <c r="CE129" s="280"/>
      <c r="CF129" s="394"/>
      <c r="CG129" s="393" cm="1">
        <f t="array" ref="CG129">INDEX($CG$1:$CG129,$CD129)</f>
        <v>15</v>
      </c>
      <c r="CH129" s="280">
        <f>MATCH($CA129,Premises!$A$10:$F$10,0)</f>
        <v>4</v>
      </c>
      <c r="CI129" s="280">
        <f>IF(ISBLANK($E129),0,IFERROR(MATCH($E129,MHR[Bezeichnung],0),0))</f>
        <v>0</v>
      </c>
      <c r="CJ129" s="394">
        <f>IF(ISBLANK($AQ129),0,IFERROR(MATCH($AQ129,MAT[Bezeichnung],0),0))</f>
        <v>0</v>
      </c>
      <c r="CK129" s="280" cm="1">
        <f t="array" ref="CK129">INDEX($D$1:$D129,$CD129)</f>
        <v>1</v>
      </c>
      <c r="CL129" s="280"/>
      <c r="CM129" s="395"/>
      <c r="CN129" s="396" cm="1">
        <f t="array" ref="CN129">IF($CB129=0,0,IF($CB129=INDEX($CB$1:$CB129,$CD129),INDEX($CN$1:$CN129,$CD129),$CP129))</f>
        <v>0</v>
      </c>
      <c r="CO129" s="395"/>
      <c r="CP129" s="396" cm="1">
        <f t="array" ref="CP129">IF($CC129=0,0,INDEX($CP$1:$CP129,$CD129))</f>
        <v>0</v>
      </c>
      <c r="CQ129" s="397"/>
      <c r="CR129" s="398"/>
      <c r="CS129" s="398"/>
      <c r="CT129" s="970"/>
      <c r="CU129" s="2"/>
      <c r="CV129" s="647">
        <f>$J129*$CK129</f>
        <v>0</v>
      </c>
      <c r="CW129" s="648">
        <f>$R129*$CK129</f>
        <v>0</v>
      </c>
      <c r="CX129" s="648">
        <f>$V129*$CK129</f>
        <v>0</v>
      </c>
      <c r="CY129" s="648">
        <f>$AA129*$CK129</f>
        <v>0</v>
      </c>
      <c r="CZ129" s="648">
        <f>$AF129*$CK129</f>
        <v>0</v>
      </c>
      <c r="DA129" s="648">
        <f>$AL129*$CK129</f>
        <v>0</v>
      </c>
      <c r="DB129" s="648">
        <f>$AO129*$CK129</f>
        <v>0</v>
      </c>
      <c r="DC129" s="649">
        <f>$AP129*$CK129</f>
        <v>0</v>
      </c>
      <c r="DD129" s="648">
        <f>$AU129*$CK129</f>
        <v>0</v>
      </c>
      <c r="DE129" s="648">
        <f>$AX129*$CK129</f>
        <v>0</v>
      </c>
      <c r="DF129" s="648">
        <f>$AZ129*$CK129</f>
        <v>0</v>
      </c>
      <c r="DG129" s="649">
        <f>$BA129*$CK129</f>
        <v>0</v>
      </c>
      <c r="DH129" s="649">
        <f>$BB129*$CK129</f>
        <v>0</v>
      </c>
      <c r="DI129" s="648">
        <f>$BD129*$CK129</f>
        <v>0</v>
      </c>
      <c r="DJ129" s="648">
        <f>$BF129*$CK129</f>
        <v>0</v>
      </c>
      <c r="DK129" s="648">
        <f>$BH129*$CK129</f>
        <v>0</v>
      </c>
      <c r="DL129" s="648">
        <f>$BK129*$CK129</f>
        <v>0</v>
      </c>
      <c r="DM129" s="648">
        <f>$BM129*$CK129</f>
        <v>0</v>
      </c>
      <c r="DN129" s="648">
        <f>$BO129*$CK129</f>
        <v>0</v>
      </c>
      <c r="DO129" s="648">
        <f>$BR129*$CK129</f>
        <v>0</v>
      </c>
      <c r="DP129" s="651">
        <f>$CK129*($BB129+$BD129+$BF129+$BH129+$BK129+$BM129+$BO129+$BR129)</f>
        <v>0</v>
      </c>
      <c r="DQ129" s="951">
        <f>IF($CB129=0,0,$DP129*_xlfn.XLOOKUP($CB129,Premises!$A$10:$F$10,Premises!$A$30:$F$30)/100)</f>
        <v>0</v>
      </c>
      <c r="DR129" s="650">
        <f>IFERROR(SUM($DP129:$DQ129)*IF(INDEX(Premises!$A$42:$F$42,1,MATCH($CB129,Premises!$A$10:$F$10,0))&gt;0,INDEX(Premises!$A$42:$F$42,1,MATCH($CB129,Premises!$A$10:$F$10,0))%,$CN129),0)</f>
        <v>0</v>
      </c>
      <c r="DS129" s="650" cm="1">
        <f t="array" ref="DS129">IF($CB129=0,0,SUM($DP129:$DR129)*_xlfn.XLOOKUP($CB129,Premises!$A$10:$F$10,IF(INDEX(Settings[],MATCH(3001,Settings[ID],0),2)="B",Premises!$A$33:$F$33,Premises!$A$31:$F$31))/100)</f>
        <v>0</v>
      </c>
      <c r="DT129" s="650" cm="1">
        <f t="array" ref="DT129">IF($CB129=0,0,$DP129*_xlfn.XLOOKUP($CB129,Premises!$A$10:$F$10,IF(INDEX(Settings[],MATCH(3002,Settings[ID],0),2)="B",Premises!$A$36:$F$36,Premises!$A$34:$F$34))/100)</f>
        <v>0</v>
      </c>
      <c r="DU129" s="650">
        <f>IF($CB129=0,0,SUM($DP129:$DT129)*_xlfn.XLOOKUP($CB129,Premises!$A$10:$F$10,Premises!$A$37:$F$37)/100)</f>
        <v>0</v>
      </c>
      <c r="DV129" s="954">
        <f>SUM($DP129:$DU129)</f>
        <v>0</v>
      </c>
      <c r="DW129" s="951">
        <f>IF($CC129=0,0,$DV129*_xlfn.XLOOKUP($CC129,Premises!$A$10:$F$10,Premises!$A$30:$F$30)/100)</f>
        <v>0</v>
      </c>
      <c r="DX129" s="650">
        <f>IFERROR(SUM($DV129:$DW129)*IF(INDEX(Premises!$A$42:$F$42,1,MATCH($CC129,Premises!$A$10:$F$10,0))&gt;0,INDEX(Premises!$A$42:$F$42,1,MATCH($CC129,Premises!$A$10:$F$10,0))%,$CP129),0)</f>
        <v>0</v>
      </c>
      <c r="DY129" s="650" cm="1">
        <f t="array" ref="DY129">IF($CC129=0,0,SUM($DV129:$DX129)*_xlfn.XLOOKUP($CC129,Premises!$A$10:$F$10,IF(INDEX(Settings[],MATCH(3001,Settings[ID],0),2)="B",Premises!$A$33:$F$33,Premises!$A$31:$F$31))/100)</f>
        <v>0</v>
      </c>
      <c r="DZ129" s="650" cm="1">
        <f t="array" ref="DZ129">IF($CC129=0,0,$DV129*_xlfn.XLOOKUP($CC129,Premises!$A$10:$F$10,IF(INDEX(Settings[],MATCH(3002,Settings[ID],0),2)="B",Premises!$A$36:$F$36,Premises!$A$34:$F$34))/100)</f>
        <v>0</v>
      </c>
      <c r="EA129" s="650">
        <f>IF($CC129=0,0,SUM($DV129:$DZ129)*_xlfn.XLOOKUP($CC129,Premises!$A$10:$F$10,Premises!$A$37:$F$37)/100)</f>
        <v>0</v>
      </c>
      <c r="EB129" s="651">
        <f>SUM($DV129:$EA129)</f>
        <v>0</v>
      </c>
      <c r="EC129" s="805"/>
      <c r="ED129" s="1104"/>
      <c r="EE129" s="650"/>
      <c r="EF129" s="1110"/>
      <c r="EG129" s="1108"/>
      <c r="EH129" s="1108"/>
      <c r="EI129" s="1108"/>
      <c r="EJ129" s="1108"/>
      <c r="EK129" s="1108"/>
      <c r="EL129" s="1108"/>
      <c r="EM129" s="1110"/>
      <c r="EN129" s="1108"/>
      <c r="EO129" s="1108"/>
      <c r="EP129" s="1108"/>
      <c r="EQ129" s="1108"/>
      <c r="ER129" s="1110"/>
      <c r="ES129" s="1108"/>
      <c r="ET129" s="1108"/>
      <c r="EU129" s="1108"/>
      <c r="EV129" s="1108"/>
      <c r="EW129" s="1108"/>
      <c r="EX129" s="1111"/>
      <c r="EY129" s="2"/>
      <c r="EZ129" s="2"/>
      <c r="FA129" s="2"/>
      <c r="FB129" s="2"/>
      <c r="FC129" s="2"/>
      <c r="FD129" s="2"/>
      <c r="FE129" s="2"/>
      <c r="FF129" s="2"/>
      <c r="FG129" s="2"/>
      <c r="FH129" s="2"/>
      <c r="FI129" s="2"/>
      <c r="FJ129" s="420"/>
      <c r="FK129" s="421"/>
      <c r="FL129" s="422"/>
      <c r="FM129" s="970"/>
    </row>
    <row r="130" spans="1:169" s="13" customFormat="1" ht="12.75" customHeight="1">
      <c r="A130" s="221"/>
      <c r="B130" s="387" t="str">
        <f>BOM!$A$16</f>
        <v>01-01-03-09 Rubber</v>
      </c>
      <c r="C130" s="388"/>
      <c r="D130" s="389" cm="1">
        <f t="array" ref="D130">IF($CG130=0,0,INDEX(BOM!$N:$N,$CG130))</f>
        <v>2</v>
      </c>
      <c r="E130" s="644" t="s">
        <v>664</v>
      </c>
      <c r="F130" s="644" t="s">
        <v>664</v>
      </c>
      <c r="G130" s="644" t="s">
        <v>664</v>
      </c>
      <c r="H130" s="644" t="s">
        <v>664</v>
      </c>
      <c r="I130" s="644" t="s">
        <v>664</v>
      </c>
      <c r="J130" s="644" t="s">
        <v>664</v>
      </c>
      <c r="K130" s="644" t="s">
        <v>664</v>
      </c>
      <c r="L130" s="644" t="s">
        <v>664</v>
      </c>
      <c r="M130" s="644" t="s">
        <v>664</v>
      </c>
      <c r="N130" s="644" t="s">
        <v>664</v>
      </c>
      <c r="O130" s="644" t="s">
        <v>664</v>
      </c>
      <c r="P130" s="644" t="s">
        <v>664</v>
      </c>
      <c r="Q130" s="644" t="s">
        <v>664</v>
      </c>
      <c r="R130" s="644" t="s">
        <v>664</v>
      </c>
      <c r="S130" s="644" t="s">
        <v>664</v>
      </c>
      <c r="T130" s="644" t="s">
        <v>664</v>
      </c>
      <c r="U130" s="644" t="s">
        <v>664</v>
      </c>
      <c r="V130" s="644" t="s">
        <v>664</v>
      </c>
      <c r="W130" s="644" t="s">
        <v>664</v>
      </c>
      <c r="X130" s="644" t="s">
        <v>664</v>
      </c>
      <c r="Y130" s="644" t="s">
        <v>664</v>
      </c>
      <c r="Z130" s="644" t="s">
        <v>664</v>
      </c>
      <c r="AA130" s="644" t="s">
        <v>664</v>
      </c>
      <c r="AB130" s="644" t="s">
        <v>664</v>
      </c>
      <c r="AC130" s="644" t="s">
        <v>664</v>
      </c>
      <c r="AD130" s="644" t="s">
        <v>664</v>
      </c>
      <c r="AE130" s="644" t="s">
        <v>664</v>
      </c>
      <c r="AF130" s="644" t="s">
        <v>664</v>
      </c>
      <c r="AG130" s="644" t="s">
        <v>664</v>
      </c>
      <c r="AH130" s="644" t="s">
        <v>664</v>
      </c>
      <c r="AI130" s="644" t="s">
        <v>664</v>
      </c>
      <c r="AJ130" s="644" t="s">
        <v>664</v>
      </c>
      <c r="AK130" s="644" t="s">
        <v>664</v>
      </c>
      <c r="AL130" s="644" t="s">
        <v>664</v>
      </c>
      <c r="AM130" s="644" t="s">
        <v>664</v>
      </c>
      <c r="AN130" s="644" t="s">
        <v>664</v>
      </c>
      <c r="AO130" s="644" t="s">
        <v>664</v>
      </c>
      <c r="AP130" s="644" t="s">
        <v>664</v>
      </c>
      <c r="AQ130" s="644" t="s">
        <v>664</v>
      </c>
      <c r="AR130" s="644" t="s">
        <v>664</v>
      </c>
      <c r="AS130" s="644" t="s">
        <v>664</v>
      </c>
      <c r="AT130" s="644" t="s">
        <v>664</v>
      </c>
      <c r="AU130" s="644" t="s">
        <v>664</v>
      </c>
      <c r="AV130" s="644" t="s">
        <v>664</v>
      </c>
      <c r="AW130" s="644" t="s">
        <v>664</v>
      </c>
      <c r="AX130" s="644" t="s">
        <v>664</v>
      </c>
      <c r="AY130" s="644" t="s">
        <v>664</v>
      </c>
      <c r="AZ130" s="644" t="s">
        <v>664</v>
      </c>
      <c r="BA130" s="644" t="s">
        <v>664</v>
      </c>
      <c r="BB130" s="644" t="s">
        <v>664</v>
      </c>
      <c r="BC130" s="644" t="s">
        <v>664</v>
      </c>
      <c r="BD130" s="644" t="s">
        <v>664</v>
      </c>
      <c r="BE130" s="644" t="s">
        <v>664</v>
      </c>
      <c r="BF130" s="644" t="s">
        <v>664</v>
      </c>
      <c r="BG130" s="644" t="s">
        <v>664</v>
      </c>
      <c r="BH130" s="644" t="s">
        <v>664</v>
      </c>
      <c r="BI130" s="644" t="s">
        <v>664</v>
      </c>
      <c r="BJ130" s="644" t="s">
        <v>664</v>
      </c>
      <c r="BK130" s="644" t="s">
        <v>664</v>
      </c>
      <c r="BL130" s="644" t="s">
        <v>664</v>
      </c>
      <c r="BM130" s="644" t="s">
        <v>664</v>
      </c>
      <c r="BN130" s="644" t="s">
        <v>664</v>
      </c>
      <c r="BO130" s="644" t="s">
        <v>664</v>
      </c>
      <c r="BP130" s="644" t="s">
        <v>664</v>
      </c>
      <c r="BQ130" s="644" t="s">
        <v>664</v>
      </c>
      <c r="BR130" s="644" t="s">
        <v>664</v>
      </c>
      <c r="BS130" s="920">
        <f>SUM(INDEX($BS:$BS,ROW()+1):INDEX($BS:$BS,$CE130))</f>
        <v>3.7870464300551751E-3</v>
      </c>
      <c r="BT130" s="920">
        <f>SUM(INDEX($BT:$BT,ROW()+1):INDEX($BT:$BT,$CE130))</f>
        <v>7.5740928601103503E-3</v>
      </c>
      <c r="BU130" s="644" t="s">
        <v>664</v>
      </c>
      <c r="BV130" s="643">
        <f>SUMPRODUCT($BS130:INDEX($BS:$BS,$CE130),$BU130:INDEX($BU:$BU,$CE130))</f>
        <v>3.7870464300551751E-3</v>
      </c>
      <c r="BW130" s="390">
        <f>$D130*$BV130</f>
        <v>7.5740928601103503E-3</v>
      </c>
      <c r="BX130" s="816" cm="1">
        <f t="array" ref="BX130">IF($CG130=0,0,IF(INDEX(BOM!$P:$P,$CG130)=0,0,
SUMPRODUCT($BW130:INDEX($BW:$BW,IFERROR(ROW()+MATCH($CL130,INDEX($CL:$CL,ROW()+1):INDEX($CL:$CL,MAX($CE:$CE)),0)-1,MAX($CE:$CE))),
($CL130:INDEX($CL:$CL,IFERROR(ROW()+MATCH($CL130,INDEX($CL:$CL,ROW()+1):INDEX($CL:$CL,MAX($CE:$CE)),0)-1,MAX($CE:$CE)))&gt;=$CL130)*1)
))</f>
        <v>0</v>
      </c>
      <c r="BY130" s="391"/>
      <c r="BZ130" s="392" cm="1">
        <f t="array" ref="BZ130">IF($CG130=0,0,INDEX(BOM!$M:$M,$CG130))</f>
        <v>1</v>
      </c>
      <c r="CA130" s="280">
        <f>IF($BZ130&gt;0,VALUE(LEFT($BZ130,IF(ISERROR(FIND("-",$BZ130)),LEN($BZ130),FIND("-",$BZ130)-1))),INDEX($BZ$1:BZ130,MATCH("",$A$1:A130,-1)))</f>
        <v>1</v>
      </c>
      <c r="CB130" s="280">
        <f>IF(LEN($BZ130)-LEN(SUBSTITUTE($BZ130,"-",))&gt;1,
VALUE(MID($BZ130,FIND("-",$BZ130)+1,FIND("-",$BZ130,FIND("-",$BZ130)+1)-FIND("-",$BZ130)-1)),0)</f>
        <v>0</v>
      </c>
      <c r="CC130" s="280">
        <f>IF(NOT(ISERROR(FIND("-",BZ130))),
VALUE(RIGHT($BZ130,LEN($BZ130)-IF(LEN($BZ130)-LEN(SUBSTITUTE($BZ130,"-",""))=1,FIND("-",$BZ130),FIND("-",$BZ130,FIND("-",$BZ130)+1)))),0)</f>
        <v>0</v>
      </c>
      <c r="CD130" s="393"/>
      <c r="CE130" s="280" cm="1">
        <f t="array" ref="CE130">ROW()+MATCH(TRUE,_xlfn.ISFORMULA(INDEX(BW:BW,ROW()+1):INDEX(BW:BW,ROW()+MaxNumberOfRowsPerBlock)),0)-1</f>
        <v>132</v>
      </c>
      <c r="CF130" s="394" cm="1">
        <f t="array" ref="CF130">IF(CL130=0,-1,IF(CL130=1,7,MAX(IF($CL$1:$CL130=CL130-1,ROW($CL$1:$CL130),0))))</f>
        <v>49</v>
      </c>
      <c r="CG130" s="393">
        <f>IFERROR(MATCH($B130,BOM!$A:$A,0),0)</f>
        <v>16</v>
      </c>
      <c r="CH130" s="280">
        <f>MATCH($CA130,Premises!$A$10:$F$10,0)</f>
        <v>4</v>
      </c>
      <c r="CI130" s="280"/>
      <c r="CJ130" s="394"/>
      <c r="CK130" s="280"/>
      <c r="CL130" s="280" cm="1">
        <f t="array" ref="CL130">IF($CG130=0,0,INDEX(BOM!$C:$C,$CG130))</f>
        <v>4</v>
      </c>
      <c r="CM130" s="395" cm="1">
        <f t="array" ref="CM130">IF($CG130=0,0,IF(OR($CF130&lt;0,AND(INDEX($CB:$CB,$CF130)=$CB130,INDEX($CC:$CC,$CF130)=$CC130)),0,IF(INDEX(BOM!$P:$P,$CG130)=0,$BT130,(SUMIF($CA130:INDEX($CA:$CA,IFERROR(ROW()+MATCH($CL130,INDEX($CL:$CL,ROW()+1):INDEX($CL:$CL,MAX($CE:$CE)),0)-1,MAX($CE:$CE))),$CA130,$BT130:INDEX($BT:$BT,IFERROR(ROW()+MATCH($CL130,INDEX($CL:$CL,ROW()+1):INDEX($CL:$CL,MAX($CE:$CE)),0)-1,MAX($CE:$CE))))+SUMIF($CB130:INDEX($CB:$CB,IFERROR(ROW()+MATCH($CL130,INDEX($CL:$CL,ROW()+1):INDEX($CL:$CL,MAX($CE:$CE)),0)-1,MAX($CE:$CE))),$CA130,$BT130:INDEX($BT:$BT,IFERROR(ROW()+MATCH($CL130,INDEX($CL:$CL,ROW()+1):INDEX($CL:$CL,MAX($CE:$CE)),0)-1,MAX($CE:$CE)))))/2)))</f>
        <v>0</v>
      </c>
      <c r="CN130" s="396" cm="1">
        <f t="array" ref="CN130">IFERROR(IF($CB130=0,0,IF($CM130=0,INDEX($CN$1:$CN130,$CF130),INDEX(IF($CM130&lt;0.2,Premises!$A$43:$F$43,IF($CM130&lt;5,Premises!$A$46:$F$46,Premises!$A$49:$F$49)),MATCH($CB130,Premises!$A$10:$F$10,0))/($CM130*INDEX(Premises!$A$13:$F$13,MATCH($CB130,Premises!$A$10:$F$10,0)))+INDEX(IF($CM130&lt;0.2,Premises!$A$44:$F$44,IF($CM130&lt;5,Premises!$A$47:$F$47,Premises!$A$50:$F$50)),MATCH($CB130,Premises!$A$10:$F$10,0))+INDEX(IF($CM130&lt;0.2,Premises!$A$45:$F$45,IF($CM130&lt;5,Premises!$A$48:$F$48,Premises!$A$51:$F$51)),MATCH($CB130,Premises!$A$10:$F$10,0))/$CM130)),0.01)</f>
        <v>0</v>
      </c>
      <c r="CO130" s="395" cm="1">
        <f t="array" ref="CO130">IF($CG130=0,0,IF(INDEX($CC:$CC,$CF130)=$CC130,0,$CM130*(1+IFERROR(INDEX(Premises!$A$52:$F$52,1,MATCH($CB130,Premises!$A$10:$F$10,0)),0)+$CN130)))</f>
        <v>0</v>
      </c>
      <c r="CP130" s="396" cm="1">
        <f t="array" ref="CP130">IFERROR(IF($CC130=0,0,IF($CO130=0,INDEX($CP$1:$CP130,$CF130),INDEX(IF($CO130&lt;0.2,Premises!$A$43:$F$43,IF($CO130&lt;5,Premises!$A$46:$F$46,Premises!$A$49:$F$49)),MATCH($CC130,Premises!$A$10:$F$10,0))/($CO130*INDEX(Premises!$A$13:$F$13,MATCH($CC130,Premises!$A$10:$F$10,0)))+INDEX(IF($CO130&lt;0.2,Premises!$A$44:$F$44,IF($CO130&lt;5,Premises!$A$47:$F$47,Premises!$A$50:$F$50)),MATCH($CC130,Premises!$A$10:$F$10,0))+INDEX(IF($CO130&lt;0.2,Premises!$A$45:$F$45,IF($CO130&lt;5,Premises!$A$48:$F$48,Premises!$A$51:$F$51)),MATCH($CC130,Premises!$A$10:$F$10,0))/$CO130)),0.01)</f>
        <v>0</v>
      </c>
      <c r="CQ130" s="397" cm="1">
        <f t="array" ref="CQ130">IF(AND($CM130=0,$CO130=0),0,INDEX(BOM!$O:$O,$CG130))</f>
        <v>0</v>
      </c>
      <c r="CR130" s="398" cm="1">
        <f t="array" ref="CR130">IF(OR($CM130=0,$CN130=0),0,ACOS(COS(RADIANS(90-INDEX(Premises!$A$66:$F$66,1,$CH130)))*COS(RADIANS(90-INDEX(Premises!$A$66:$F$66,1,MATCH($CB130,Premises!$A$10:$F$10,0))))
+SIN(RADIANS(90-INDEX(Premises!$A$66:$F$66,1,$CH130)))*SIN(RADIANS(90-INDEX(Premises!$A$66:$F$66,1,MATCH($CB130,Premises!$A$10:$F$10,0)))) * COS(RADIANS(INDEX(Premises!$A$67:$F$67,1,$CH130)-INDEX(Premises!$A$67:$F$67,1,MATCH($CB130,Premises!$A$10:$F$10,0)))))*6371)</f>
        <v>0</v>
      </c>
      <c r="CS130" s="398" cm="1">
        <f t="array" ref="CS130">IF(OR($CO130=0,$CP130=0),0,
IF($CR130=0,ACOS(COS(RADIANS(90-INDEX(Premises!$A$66:$F$66,1,$CH130)))*COS(RADIANS(90-INDEX(Premises!$A$66:$F$66,1,MATCH($CC130,Premises!$A$10:$F$10,0))))
+SIN(RADIANS(90-INDEX(Premises!$A$66:$F$66,1,$CH130)))*SIN(RADIANS(90-INDEX(Premises!$A$66:$F$66,1,MATCH($CC130,Premises!$A$10:$F$10,0))))*COS(RADIANS(INDEX(Premises!$A$67:$F$67,1,$CH130)-INDEX(Premises!$A$67:$F$67,1,MATCH($CC130,Premises!$A$10:$F$10,0)))))*6371,
ACOS(COS(RADIANS(90-INDEX(Premises!$A$66:$F$66,1,MATCH($CB130,Premises!$A$10:$F$10,0))))*COS(RADIANS(90-INDEX(Premises!$A$66:$F$66,1,MATCH($CC130,Premises!$A$10:$F$10,0))))
+SIN(RADIANS(90-INDEX(Premises!$A$66:$F$66,1,MATCH($CB130,Premises!$A$10:$F$10,0))))*SIN(RADIANS(90-INDEX(Premises!$A$66:$F$66,1,MATCH($CC130,Premises!$A$10:$F$10,0))))*COS(RADIANS(INDEX(Premises!$A$67:$F$67,1,MATCH($CB130,Premises!$A$10:$F$10,0))-INDEX(Premises!$A$67:$F$67,1,MATCH($CC130,Premises!$A$10:$F$10,0)))))*6371))</f>
        <v>0</v>
      </c>
      <c r="CT130" s="969" t="s">
        <v>904</v>
      </c>
      <c r="CU130" s="2"/>
      <c r="CV130" s="399">
        <f>SUM(INDEX(CV:CV,ROW()+1):INDEX(CV:CV,$CE130))</f>
        <v>0</v>
      </c>
      <c r="CW130" s="400">
        <f>SUM(INDEX(CW:CW,ROW()+1):INDEX(CW:CW,$CE130))</f>
        <v>0</v>
      </c>
      <c r="CX130" s="400">
        <f>SUM(INDEX(CX:CX,ROW()+1):INDEX(CX:CX,$CE130))</f>
        <v>0</v>
      </c>
      <c r="CY130" s="400">
        <f>SUM(INDEX(CY:CY,ROW()+1):INDEX(CY:CY,$CE130))</f>
        <v>0</v>
      </c>
      <c r="CZ130" s="400">
        <f>SUM(INDEX(CZ:CZ,ROW()+1):INDEX(CZ:CZ,$CE130))</f>
        <v>0</v>
      </c>
      <c r="DA130" s="400">
        <f>SUM(INDEX(DA:DA,ROW()+1):INDEX(DA:DA,$CE130))</f>
        <v>0</v>
      </c>
      <c r="DB130" s="400">
        <f>SUM(INDEX(DB:DB,ROW()+1):INDEX(DB:DB,$CE130))</f>
        <v>0</v>
      </c>
      <c r="DC130" s="400">
        <f>SUM(INDEX(DC:DC,ROW()+1):INDEX(DC:DC,$CE130))</f>
        <v>0</v>
      </c>
      <c r="DD130" s="400">
        <f>SUM(INDEX(DD:DD,ROW()+1):INDEX(DD:DD,$CE130))</f>
        <v>1.0637999999999999E-3</v>
      </c>
      <c r="DE130" s="400">
        <f>SUM(INDEX(DE:DE,ROW()+1):INDEX(DE:DE,$CE130))</f>
        <v>1.0638E-5</v>
      </c>
      <c r="DF130" s="400">
        <f>SUM(INDEX(DF:DF,ROW()+1):INDEX(DF:DF,$CE130))</f>
        <v>5.6013529867647563E-3</v>
      </c>
      <c r="DG130" s="400">
        <f>SUM(INDEX(DG:DG,ROW()+1):INDEX(DG:DG,$CE130))</f>
        <v>6.6757909867647559E-3</v>
      </c>
      <c r="DH130" s="400">
        <f>SUM(INDEX(DH:DH,ROW()+1):INDEX(DH:DH,$CE130))</f>
        <v>6.6757909867647559E-3</v>
      </c>
      <c r="DI130" s="400">
        <f>SUM(INDEX(DI:DI,ROW()+1):INDEX(DI:DI,$CE130))</f>
        <v>0</v>
      </c>
      <c r="DJ130" s="400">
        <f>SUM(INDEX(DJ:DJ,ROW()+1):INDEX(DJ:DJ,$CE130))</f>
        <v>0</v>
      </c>
      <c r="DK130" s="400">
        <f>SUM(INDEX(DK:DK,ROW()+1):INDEX(DK:DK,$CE130))</f>
        <v>8.3447387334559448E-4</v>
      </c>
      <c r="DL130" s="400">
        <f>SUM(INDEX(DL:DL,ROW()+1):INDEX(DL:DL,$CE130))</f>
        <v>0</v>
      </c>
      <c r="DM130" s="400">
        <f>SUM(INDEX(DM:DM,ROW()+1):INDEX(DM:DM,$CE130))</f>
        <v>0</v>
      </c>
      <c r="DN130" s="400">
        <f>SUM(INDEX(DN:DN,ROW()+1):INDEX(DN:DN,$CE130))</f>
        <v>6.3827999999999999E-5</v>
      </c>
      <c r="DO130" s="400">
        <f>SUM(INDEX(DO:DO,ROW()+1):INDEX(DO:DO,$CE130))</f>
        <v>0</v>
      </c>
      <c r="DP130" s="400">
        <f>SUM(INDEX(DP:DP,ROW()+1):INDEX(DP:DP,$CE130))</f>
        <v>7.5740928601103503E-3</v>
      </c>
      <c r="DQ130" s="400">
        <f>SUM(INDEX(DQ:DQ,ROW()+1):INDEX(DQ:DQ,$CE130))</f>
        <v>0</v>
      </c>
      <c r="DR130" s="400">
        <f>SUM(INDEX(DR:DR,ROW()+1):INDEX(DR:DR,$CE130))</f>
        <v>0</v>
      </c>
      <c r="DS130" s="400">
        <f>SUM(INDEX(DS:DS,ROW()+1):INDEX(DS:DS,$CE130))</f>
        <v>0</v>
      </c>
      <c r="DT130" s="400">
        <f>SUM(INDEX(DT:DT,ROW()+1):INDEX(DT:DT,$CE130))</f>
        <v>0</v>
      </c>
      <c r="DU130" s="400">
        <f>SUM(INDEX(DU:DU,ROW()+1):INDEX(DU:DU,$CE130))</f>
        <v>0</v>
      </c>
      <c r="DV130" s="400">
        <f>SUM(INDEX(DV:DV,ROW()+1):INDEX(DV:DV,$CE130))</f>
        <v>7.5740928601103503E-3</v>
      </c>
      <c r="DW130" s="400">
        <f>SUM(INDEX(DW:DW,ROW()+1):INDEX(DW:DW,$CE130))</f>
        <v>0</v>
      </c>
      <c r="DX130" s="400">
        <f>SUM(INDEX(DX:DX,ROW()+1):INDEX(DX:DX,$CE130))</f>
        <v>0</v>
      </c>
      <c r="DY130" s="400">
        <f>SUM(INDEX(DY:DY,ROW()+1):INDEX(DY:DY,$CE130))</f>
        <v>0</v>
      </c>
      <c r="DZ130" s="400">
        <f>SUM(INDEX(DZ:DZ,ROW()+1):INDEX(DZ:DZ,$CE130))</f>
        <v>0</v>
      </c>
      <c r="EA130" s="400">
        <f>SUM(INDEX(EA:EA,ROW()+1):INDEX(EA:EA,$CE130))</f>
        <v>0</v>
      </c>
      <c r="EB130" s="401">
        <f>SUM(INDEX(EB:EB,ROW()+1):INDEX(EB:EB,$CE130))</f>
        <v>7.5740928601103503E-3</v>
      </c>
      <c r="EC130" s="805"/>
      <c r="ED130" s="399"/>
      <c r="EE130" s="400"/>
      <c r="EF130" s="1112"/>
      <c r="EG130" s="1112"/>
      <c r="EH130" s="1112"/>
      <c r="EI130" s="1112"/>
      <c r="EJ130" s="1112"/>
      <c r="EK130" s="1112"/>
      <c r="EL130" s="1112"/>
      <c r="EM130" s="1112"/>
      <c r="EN130" s="1112"/>
      <c r="EO130" s="1112"/>
      <c r="EP130" s="1112"/>
      <c r="EQ130" s="1112"/>
      <c r="ER130" s="1112"/>
      <c r="ES130" s="1112"/>
      <c r="ET130" s="1112"/>
      <c r="EU130" s="1112"/>
      <c r="EV130" s="1112"/>
      <c r="EW130" s="1112"/>
      <c r="EX130" s="1113"/>
      <c r="EY130" s="2"/>
      <c r="EZ130" s="2"/>
      <c r="FA130" s="2"/>
      <c r="FB130" s="2"/>
      <c r="FC130" s="2"/>
      <c r="FD130" s="2"/>
      <c r="FE130" s="2"/>
      <c r="FF130" s="2"/>
      <c r="FG130" s="2"/>
      <c r="FH130" s="2"/>
      <c r="FI130" s="2"/>
      <c r="FJ130" s="399"/>
      <c r="FK130" s="400"/>
      <c r="FL130" s="401"/>
      <c r="FM130" s="969"/>
    </row>
    <row r="131" spans="1:169" s="13" customFormat="1" ht="12.75" customHeight="1">
      <c r="A131" s="221"/>
      <c r="B131" s="402" t="s">
        <v>903</v>
      </c>
      <c r="C131" s="403"/>
      <c r="D131" s="646"/>
      <c r="E131" s="404"/>
      <c r="F131" s="405"/>
      <c r="G131" s="405"/>
      <c r="H131" s="405"/>
      <c r="I131" s="637" cm="1">
        <f t="array" ref="I131">IF($CI131=0,0,IFERROR(INDEX(MHR[],$CI131,MATCH($CA131,MHR!$B$4:$AY$4,0)),0))</f>
        <v>0</v>
      </c>
      <c r="J131" s="634">
        <f>IF(COUNTBLANK($E131:$H131),0,IFERROR($F131/$H131/IF($G131="s",3600,IF($G131="min",60,IF($G131="h",1,0)))*I131,0))</f>
        <v>0</v>
      </c>
      <c r="K131" s="406"/>
      <c r="L131" s="407"/>
      <c r="M131" s="871"/>
      <c r="N131" s="407"/>
      <c r="O131" s="405"/>
      <c r="P131" s="645" cm="1">
        <f t="array" ref="P131">IF($K131=0,0,IFERROR(ROUNDUP(IF(ISNUMBER($K131),$K131,INDEX($D$1:$D131,$CD131)*INDEX(Premises!$A$13:$F$13,1,$CH131)/IF(OR($K131="T",$K131="D"),250,IF($K131="W",50,IF($K131="M",12,IF(OR($K131="HJ",$K131="HY"),2,IF(OR($K131="J",$K131="Y"),1,0)))))),0),0))</f>
        <v>0</v>
      </c>
      <c r="Q131" s="637" cm="1">
        <f t="array" ref="Q131">IF($K131=0,0,IFERROR(INDEX(Premises!$A$22:$F$22,1,$CH131)*100/INDEX(Premises!$A$16:$F$16,1,$CH131),0))</f>
        <v>0</v>
      </c>
      <c r="R131" s="634">
        <f>IF($P131=0,0,IFERROR(($L131/60*($I131+$Q131*$M131)+($N131/60*($Q131*$O131)))/$P131,0))</f>
        <v>0</v>
      </c>
      <c r="S131" s="408"/>
      <c r="T131" s="409"/>
      <c r="U131" s="637" cm="1">
        <f t="array" ref="U131">IF(COUNTBLANK($S131:$T131),0,
IF(AND(INDEX(MHR[Schichtmodell],$CI131)&lt;&gt;0,INDEX(MHR[Schichtmodell],$CI131)&lt;&gt;INDEX(Premises!$A$20:$F$20,1,$CH131)),ExchangeRate*
IF(OR($T131="M",$T131="U"),IF(INDEX(MHR[Schichtmodell],$CI131)=1,INDEX(LOC[M1S],INDEX(Premises!$A$18:$F$18,1,$CH131+1)),IF(INDEX(MHR[Schichtmodell],$CI131)=2,INDEX(LOC[M2S],INDEX(Premises!$A$18:$F$18,1,$CH131+1),IF(INDEX(MHR[Schichtmodell],$CI131)=3,INDEX(LOC[M3S],INDEX(Premises!$A$18:$F$18,1,$CH131+1)),0)))),
IF(INDEX(MHR[Schichtmodell],$CI131)=1,INDEX(LOC[F1S],INDEX(Premises!$A$18:$F$18,1,$CH131+1)),IF(INDEX(MHR[Schichtmodell],$CI131)=2,INDEX(LOC[F2S],INDEX(Premises!$A$18:$F$18,1,$CH131+1)),IF(INDEX(MHR[Schichtmodell],$CI131)=3,INDEX(LOC[F3S],INDEX(Premises!$A$18:$F$18,1,$CH131+1)),0)))),
IF(OR($T131="M",$T131="U"),INDEX(Premises!$A$21:$F$21,1,$CH131),
IF(OR($T131="F",$T131="S"),INDEX(Premises!$A$22:$F$22,1,$CH131),0)))*100/INDEX(Premises!$A$16:$F$16,1,$CH131))</f>
        <v>0</v>
      </c>
      <c r="V131" s="631">
        <f>IF($U131=0,0,IFERROR($F131/$H131/IF($G131="s",3600,IF($G131="min",60,IF($G131="h",1,0)))*$S131*$U131,0))</f>
        <v>0</v>
      </c>
      <c r="W131" s="410"/>
      <c r="X131" s="403"/>
      <c r="Y131" s="411"/>
      <c r="Z131" s="412"/>
      <c r="AA131" s="628">
        <f>IFERROR($X131*$Z131/$Y131/MAX(1,$H131),0)</f>
        <v>0</v>
      </c>
      <c r="AB131" s="410"/>
      <c r="AC131" s="403"/>
      <c r="AD131" s="411"/>
      <c r="AE131" s="413"/>
      <c r="AF131" s="628">
        <f>IFERROR($AC131*$AE131/$AD131,0)</f>
        <v>0</v>
      </c>
      <c r="AG131" s="629" cm="1">
        <f t="array" ref="AG131">IF(($J131+$V131+$AF131)=0,0,INDEX(Premises!$A$30:$F$30,1,$CH131)/100)</f>
        <v>0</v>
      </c>
      <c r="AH131" s="414"/>
      <c r="AI131" s="415"/>
      <c r="AJ131" s="416"/>
      <c r="AK131" s="630">
        <f>IF(COUNTBLANK($AH131:$AI131),0,$AH131*$AI131*$AG131)</f>
        <v>0</v>
      </c>
      <c r="AL131" s="631">
        <f>($AK131+$AJ131*$AG131*(1-$AH131)+($J131+$V131+$AF131)*$AG131*(1-$AH131))</f>
        <v>0</v>
      </c>
      <c r="AM131" s="632" cm="1">
        <f t="array" ref="AM131">IF($CI131=0,0,IFERROR(INDEX(MHR[],$CI131,MATCH($CA131,MHR!$B$4:$AY$4,0)+11),0))</f>
        <v>0</v>
      </c>
      <c r="AN131" s="633" cm="1">
        <f t="array" ref="AN131">IF(($J131+$V131)=0,0,IFERROR(IF(INDEX(Premises!$A$41:$F$41,1,$CH131)&lt;&gt;0,INDEX(Premises!$A$41:$F$41,1,$CH131)/100,(IFERROR(($J131/$I131)*$AM131,0)/($V131+$J131+$R131+$AL131))),0))</f>
        <v>0</v>
      </c>
      <c r="AO131" s="634">
        <f>IF(($J131+$V131)=0,0,IF(IFERROR(($J131+$R131+$V131+$AL131)*$AN131,0)&lt;&gt;IFERROR(($J131/$I131)*$AM131,0),($J131+$R131+$V131+$AL131)*$AN131,IFERROR(($J131/$I131)*$AM131,0)))</f>
        <v>0</v>
      </c>
      <c r="AP131" s="635">
        <f>$V131+$J131+$R131+$AA131+$AF131+$AL131+$AO131</f>
        <v>0</v>
      </c>
      <c r="AQ131" s="410" t="s">
        <v>4310</v>
      </c>
      <c r="AR131" s="409">
        <f>VLOOKUP($B130,BOM,7,0)</f>
        <v>1.35E-4</v>
      </c>
      <c r="AS131" s="636" t="str" cm="1">
        <f t="array" ref="AS131">IF($CJ131=0,0,IFERROR(INDEX(MAT[Einheit],$CJ131,1),0))</f>
        <v>kg</v>
      </c>
      <c r="AT131" s="637" cm="1">
        <f t="array" ref="AT131">IF($CJ131=0,0,IFERROR(INDEX(MAT[Preis],$CJ131,1),0))</f>
        <v>3.94</v>
      </c>
      <c r="AU131" s="638">
        <f>$AR131*$AT131</f>
        <v>5.3189999999999997E-4</v>
      </c>
      <c r="AV131" s="639" cm="1">
        <f t="array" ref="AV131">IF($AU131&lt;=0,0,INDEX(Premises!$A$30:$F$30,1,$CH131)/100)</f>
        <v>0.01</v>
      </c>
      <c r="AW131" s="409"/>
      <c r="AX131" s="631">
        <f>IF($AV131=0,0,($AU131+$AW131)*$AV131)</f>
        <v>5.3190000000000002E-6</v>
      </c>
      <c r="AY131" s="640" cm="1">
        <f t="array" ref="AY131">IF($AT131&lt;=0,0,IFERROR(IF(INDEX(Premises!$A$42:$F$42,1,$CH131)&lt;&gt;0,INDEX(Premises!$A$42:$F$42,1,$CH131)/100,(INDEX(MAT[],$CJ131,MATCH($CA131,MAT!$B$4:$AE$4,0))/($AR131*$CK131*INDEX(Premises!$A$13:$F$13,1,$CH131))+INDEX(MAT[],$CJ131,MATCH($CA131,MAT!$B$4:$AE$4,0)+7))/$AT131),0))</f>
        <v>5.2132863755421495</v>
      </c>
      <c r="AZ131" s="631">
        <f>IF($AY131=0,0,($AU131+$AX131)*$AY131)</f>
        <v>2.8006764933823781E-3</v>
      </c>
      <c r="BA131" s="635">
        <f>$AU131+$AX131+$AZ131</f>
        <v>3.3378954933823779E-3</v>
      </c>
      <c r="BB131" s="635">
        <f>$AP131+$BA131</f>
        <v>3.3378954933823779E-3</v>
      </c>
      <c r="BC131" s="639" cm="1">
        <f t="array" ref="BC131">IF($BB131&lt;=0,0,IF(BC$2=-1,0,INDEX(Premises!$A$32:$F$32,1,$CH131)/100))</f>
        <v>0</v>
      </c>
      <c r="BD131" s="631">
        <f>IF($AP131&lt;=0,0,($AP131-$AA131-$AL131)*$BC131)</f>
        <v>0</v>
      </c>
      <c r="BE131" s="639" cm="1">
        <f t="array" ref="BE131">IF($BB131&lt;=0,0,IF(BE$2=-1,0,INDEX(Premises!$A$33:$F$33,1,$CH131)/100))</f>
        <v>0</v>
      </c>
      <c r="BF131" s="631">
        <f>IF($BA131&lt;=0,0,$BA131*$BE131)</f>
        <v>0</v>
      </c>
      <c r="BG131" s="639" cm="1">
        <f t="array" ref="BG131">IF($BB131&lt;=0,0,IF(BG$2=-1,0,INDEX(Premises!$A$31:$F$31,1,$CH131)/100))</f>
        <v>0.125</v>
      </c>
      <c r="BH131" s="631">
        <f>(($AP131-$AA131-$AL131)+$BA131)*$BG131</f>
        <v>4.1723693667279724E-4</v>
      </c>
      <c r="BI131" s="635">
        <f>$BB131+$BD131+$BF131+$BH131</f>
        <v>3.7551324300551751E-3</v>
      </c>
      <c r="BJ131" s="639" cm="1">
        <f t="array" ref="BJ131">IF($BB131&lt;=0,0,IF(BJ$2=-1,0,INDEX(Premises!$A$35:$F$35,1,$CH131)/100))</f>
        <v>0</v>
      </c>
      <c r="BK131" s="631">
        <f>IF($AP131&lt;=0,0,($AP131-$AL131-$AA131)*$BJ131)</f>
        <v>0</v>
      </c>
      <c r="BL131" s="639" cm="1">
        <f t="array" ref="BL131">IF($BB131&lt;=0,0,IF(BL$2=-1,0,INDEX(Premises!$A$36:$F$36,1,$CH131)/100))</f>
        <v>0</v>
      </c>
      <c r="BM131" s="631">
        <f>IF($AU131&lt;=0,0,($AR131*$AT131)*$BL131)</f>
        <v>0</v>
      </c>
      <c r="BN131" s="639" cm="1">
        <f t="array" ref="BN131">IF($BB131&lt;=0,0,IF(BN$2=-1,0,INDEX(Premises!$A$34:$F$34,1,$CH131)/100))</f>
        <v>0.06</v>
      </c>
      <c r="BO131" s="631">
        <f>(($AP131-$AL131-$AA131)+($AR131*$AT131))*$BN131</f>
        <v>3.1914E-5</v>
      </c>
      <c r="BP131" s="639" cm="1">
        <f t="array" ref="BP131">IF($BI131=0,0,INDEX(Premises!$A$37:$F$37,1,$CH131)/100)</f>
        <v>0</v>
      </c>
      <c r="BQ131" s="409"/>
      <c r="BR131" s="631">
        <f>($BI131+$BK131+$BM131+$BO131)*$BP131+$BQ131</f>
        <v>0</v>
      </c>
      <c r="BS131" s="641">
        <f>BI131+BK131+BM131+BO131+BR131</f>
        <v>3.7870464300551751E-3</v>
      </c>
      <c r="BT131" s="641">
        <f>IF($BS131=0,0,$CK131*$BS131)</f>
        <v>7.5740928601103503E-3</v>
      </c>
      <c r="BU131" s="642">
        <f>IF($BT131=0,0,MAX(1,$EB131/$DP131))</f>
        <v>1</v>
      </c>
      <c r="BV131" s="417"/>
      <c r="BW131" s="418"/>
      <c r="BX131" s="418"/>
      <c r="BY131" s="419"/>
      <c r="BZ131" s="968"/>
      <c r="CA131" s="280" cm="1">
        <f t="array" ref="CA131">IF($BZ131&gt;0,VALUE(LEFT($BZ131,IF(ISERROR(FIND("-",$BZ131)),LEN($BZ131),FIND("-",$BZ131)-1))),INDEX($CA$1:$CA131,MAX(1,$CD131)))</f>
        <v>1</v>
      </c>
      <c r="CB131" s="280" cm="1">
        <f t="array" ref="CB131">IF($BT131=0,0,IF(LEN($BZ131)-LEN(SUBSTITUTE($BZ131,"-",""))&gt;1,
VALUE(MID($BZ131,FIND("-",$BZ131)+1,FIND("-",$BZ131,FIND("-",$BZ131)+1)-FIND("-",$BZ131)-1)),IF($BZ131&gt;0,0,INDEX($CB$1:$CB131,MAX(1,$CD131)))))</f>
        <v>0</v>
      </c>
      <c r="CC131" s="280" cm="1">
        <f t="array" ref="CC131">IF($BT131=0,0,IF(NOT(ISERROR(FIND("-",BZ131))),
VALUE(RIGHT($BZ131,LEN($BZ131)-IF(LEN($BZ131)-LEN(SUBSTITUTE($BZ131,"-",""))=1,FIND("-",$BZ131),FIND("-",$BZ131,FIND("-",$BZ131)+1)))),
IF($BZ131&gt;0,0,INDEX($CC$1:$CC131,MAX(1,$CD131)))))</f>
        <v>0</v>
      </c>
      <c r="CD131" s="393">
        <f>MATCH(0,$CE$1:$CE131,-1)</f>
        <v>130</v>
      </c>
      <c r="CE131" s="280"/>
      <c r="CF131" s="394"/>
      <c r="CG131" s="393" cm="1">
        <f t="array" ref="CG131">INDEX($CG$1:$CG131,$CD131)</f>
        <v>16</v>
      </c>
      <c r="CH131" s="280">
        <f>MATCH($CA131,Premises!$A$10:$F$10,0)</f>
        <v>4</v>
      </c>
      <c r="CI131" s="280">
        <f>IF(ISBLANK($E131),0,IFERROR(MATCH($E131,MHR[Bezeichnung],0),0))</f>
        <v>0</v>
      </c>
      <c r="CJ131" s="394">
        <f>IF(ISBLANK($AQ131),0,IFERROR(MATCH($AQ131,MAT[Bezeichnung],0),0))</f>
        <v>14</v>
      </c>
      <c r="CK131" s="280" cm="1">
        <f t="array" ref="CK131">INDEX($D$1:$D131,$CD131)</f>
        <v>2</v>
      </c>
      <c r="CL131" s="280"/>
      <c r="CM131" s="395"/>
      <c r="CN131" s="396" cm="1">
        <f t="array" ref="CN131">IF($CB131=0,0,IF($CB131=INDEX($CB$1:$CB131,$CD131),INDEX($CN$1:$CN131,$CD131),$CP131))</f>
        <v>0</v>
      </c>
      <c r="CO131" s="395"/>
      <c r="CP131" s="396" cm="1">
        <f t="array" ref="CP131">IF($CC131=0,0,INDEX($CP$1:$CP131,$CD131))</f>
        <v>0</v>
      </c>
      <c r="CQ131" s="397"/>
      <c r="CR131" s="398"/>
      <c r="CS131" s="398"/>
      <c r="CT131" s="970"/>
      <c r="CU131" s="2"/>
      <c r="CV131" s="647">
        <f>$J131*$CK131</f>
        <v>0</v>
      </c>
      <c r="CW131" s="648">
        <f>$R131*$CK131</f>
        <v>0</v>
      </c>
      <c r="CX131" s="648">
        <f>$V131*$CK131</f>
        <v>0</v>
      </c>
      <c r="CY131" s="648">
        <f>$AA131*$CK131</f>
        <v>0</v>
      </c>
      <c r="CZ131" s="648">
        <f>$AF131*$CK131</f>
        <v>0</v>
      </c>
      <c r="DA131" s="648">
        <f>$AL131*$CK131</f>
        <v>0</v>
      </c>
      <c r="DB131" s="648">
        <f>$AO131*$CK131</f>
        <v>0</v>
      </c>
      <c r="DC131" s="649">
        <f>$AP131*$CK131</f>
        <v>0</v>
      </c>
      <c r="DD131" s="648">
        <f>$AU131*$CK131</f>
        <v>1.0637999999999999E-3</v>
      </c>
      <c r="DE131" s="648">
        <f>$AX131*$CK131</f>
        <v>1.0638E-5</v>
      </c>
      <c r="DF131" s="648">
        <f>$AZ131*$CK131</f>
        <v>5.6013529867647563E-3</v>
      </c>
      <c r="DG131" s="649">
        <f>$BA131*$CK131</f>
        <v>6.6757909867647559E-3</v>
      </c>
      <c r="DH131" s="649">
        <f>$BB131*$CK131</f>
        <v>6.6757909867647559E-3</v>
      </c>
      <c r="DI131" s="648">
        <f>$BD131*$CK131</f>
        <v>0</v>
      </c>
      <c r="DJ131" s="648">
        <f>$BF131*$CK131</f>
        <v>0</v>
      </c>
      <c r="DK131" s="648">
        <f>$BH131*$CK131</f>
        <v>8.3447387334559448E-4</v>
      </c>
      <c r="DL131" s="648">
        <f>$BK131*$CK131</f>
        <v>0</v>
      </c>
      <c r="DM131" s="648">
        <f>$BM131*$CK131</f>
        <v>0</v>
      </c>
      <c r="DN131" s="648">
        <f>$BO131*$CK131</f>
        <v>6.3827999999999999E-5</v>
      </c>
      <c r="DO131" s="648">
        <f>$BR131*$CK131</f>
        <v>0</v>
      </c>
      <c r="DP131" s="651">
        <f>$CK131*($BB131+$BD131+$BF131+$BH131+$BK131+$BM131+$BO131+$BR131)</f>
        <v>7.5740928601103503E-3</v>
      </c>
      <c r="DQ131" s="951">
        <f>IF($CB131=0,0,$DP131*_xlfn.XLOOKUP($CB131,Premises!$A$10:$F$10,Premises!$A$30:$F$30)/100)</f>
        <v>0</v>
      </c>
      <c r="DR131" s="650">
        <f>IFERROR(SUM($DP131:$DQ131)*IF(INDEX(Premises!$A$42:$F$42,1,MATCH($CB131,Premises!$A$10:$F$10,0))&gt;0,INDEX(Premises!$A$42:$F$42,1,MATCH($CB131,Premises!$A$10:$F$10,0))%,$CN131),0)</f>
        <v>0</v>
      </c>
      <c r="DS131" s="650" cm="1">
        <f t="array" ref="DS131">IF($CB131=0,0,SUM($DP131:$DR131)*_xlfn.XLOOKUP($CB131,Premises!$A$10:$F$10,IF(INDEX(Settings[],MATCH(3001,Settings[ID],0),2)="B",Premises!$A$33:$F$33,Premises!$A$31:$F$31))/100)</f>
        <v>0</v>
      </c>
      <c r="DT131" s="650" cm="1">
        <f t="array" ref="DT131">IF($CB131=0,0,$DP131*_xlfn.XLOOKUP($CB131,Premises!$A$10:$F$10,IF(INDEX(Settings[],MATCH(3002,Settings[ID],0),2)="B",Premises!$A$36:$F$36,Premises!$A$34:$F$34))/100)</f>
        <v>0</v>
      </c>
      <c r="DU131" s="650">
        <f>IF($CB131=0,0,SUM($DP131:$DT131)*_xlfn.XLOOKUP($CB131,Premises!$A$10:$F$10,Premises!$A$37:$F$37)/100)</f>
        <v>0</v>
      </c>
      <c r="DV131" s="954">
        <f>SUM($DP131:$DU131)</f>
        <v>7.5740928601103503E-3</v>
      </c>
      <c r="DW131" s="951">
        <f>IF($CC131=0,0,$DV131*_xlfn.XLOOKUP($CC131,Premises!$A$10:$F$10,Premises!$A$30:$F$30)/100)</f>
        <v>0</v>
      </c>
      <c r="DX131" s="650">
        <f>IFERROR(SUM($DV131:$DW131)*IF(INDEX(Premises!$A$42:$F$42,1,MATCH($CC131,Premises!$A$10:$F$10,0))&gt;0,INDEX(Premises!$A$42:$F$42,1,MATCH($CC131,Premises!$A$10:$F$10,0))%,$CP131),0)</f>
        <v>0</v>
      </c>
      <c r="DY131" s="650" cm="1">
        <f t="array" ref="DY131">IF($CC131=0,0,SUM($DV131:$DX131)*_xlfn.XLOOKUP($CC131,Premises!$A$10:$F$10,IF(INDEX(Settings[],MATCH(3001,Settings[ID],0),2)="B",Premises!$A$33:$F$33,Premises!$A$31:$F$31))/100)</f>
        <v>0</v>
      </c>
      <c r="DZ131" s="650" cm="1">
        <f t="array" ref="DZ131">IF($CC131=0,0,$DV131*_xlfn.XLOOKUP($CC131,Premises!$A$10:$F$10,IF(INDEX(Settings[],MATCH(3002,Settings[ID],0),2)="B",Premises!$A$36:$F$36,Premises!$A$34:$F$34))/100)</f>
        <v>0</v>
      </c>
      <c r="EA131" s="650">
        <f>IF($CC131=0,0,SUM($DV131:$DZ131)*_xlfn.XLOOKUP($CC131,Premises!$A$10:$F$10,Premises!$A$37:$F$37)/100)</f>
        <v>0</v>
      </c>
      <c r="EB131" s="651">
        <f>SUM($DV131:$EA131)</f>
        <v>7.5740928601103503E-3</v>
      </c>
      <c r="EC131" s="805"/>
      <c r="ED131" s="1104"/>
      <c r="EE131" s="650"/>
      <c r="EF131" s="1110"/>
      <c r="EG131" s="1108"/>
      <c r="EH131" s="1108"/>
      <c r="EI131" s="1108"/>
      <c r="EJ131" s="1108"/>
      <c r="EK131" s="1108"/>
      <c r="EL131" s="1108"/>
      <c r="EM131" s="1110"/>
      <c r="EN131" s="1108"/>
      <c r="EO131" s="1108"/>
      <c r="EP131" s="1108"/>
      <c r="EQ131" s="1108"/>
      <c r="ER131" s="1110"/>
      <c r="ES131" s="1108"/>
      <c r="ET131" s="1108"/>
      <c r="EU131" s="1108"/>
      <c r="EV131" s="1108"/>
      <c r="EW131" s="1108"/>
      <c r="EX131" s="1111"/>
      <c r="EY131" s="2"/>
      <c r="EZ131" s="2"/>
      <c r="FA131" s="2"/>
      <c r="FB131" s="2"/>
      <c r="FC131" s="2"/>
      <c r="FD131" s="2"/>
      <c r="FE131" s="2"/>
      <c r="FF131" s="2"/>
      <c r="FG131" s="2"/>
      <c r="FH131" s="2"/>
      <c r="FI131" s="2"/>
      <c r="FJ131" s="420"/>
      <c r="FK131" s="421"/>
      <c r="FL131" s="422"/>
      <c r="FM131" s="970"/>
    </row>
    <row r="132" spans="1:169" s="13" customFormat="1" ht="12.75" customHeight="1">
      <c r="A132" s="221"/>
      <c r="B132" s="402"/>
      <c r="C132" s="403"/>
      <c r="D132" s="646"/>
      <c r="E132" s="404"/>
      <c r="F132" s="405"/>
      <c r="G132" s="405"/>
      <c r="H132" s="405"/>
      <c r="I132" s="637" cm="1">
        <f t="array" ref="I132">IF($CI132=0,0,IFERROR(INDEX(MHR[],$CI132,MATCH($CA132,MHR!$B$4:$AY$4,0)),0))</f>
        <v>0</v>
      </c>
      <c r="J132" s="634">
        <f>IF(COUNTBLANK($E132:$H132),0,IFERROR($F132/$H132/IF($G132="s",3600,IF($G132="min",60,IF($G132="h",1,0)))*I132,0))</f>
        <v>0</v>
      </c>
      <c r="K132" s="406"/>
      <c r="L132" s="407"/>
      <c r="M132" s="871"/>
      <c r="N132" s="407"/>
      <c r="O132" s="405"/>
      <c r="P132" s="645" cm="1">
        <f t="array" ref="P132">IF($K132=0,0,IFERROR(ROUNDUP(IF(ISNUMBER($K132),$K132,INDEX($D$1:$D132,$CD132)*INDEX(Premises!$A$13:$F$13,1,$CH132)/IF(OR($K132="T",$K132="D"),250,IF($K132="W",50,IF($K132="M",12,IF(OR($K132="HJ",$K132="HY"),2,IF(OR($K132="J",$K132="Y"),1,0)))))),0),0))</f>
        <v>0</v>
      </c>
      <c r="Q132" s="637" cm="1">
        <f t="array" ref="Q132">IF($K132=0,0,IFERROR(INDEX(Premises!$A$22:$F$22,1,$CH132)*100/INDEX(Premises!$A$16:$F$16,1,$CH132),0))</f>
        <v>0</v>
      </c>
      <c r="R132" s="634">
        <f>IF($P132=0,0,IFERROR(($L132/60*($I132+$Q132*$M132)+($N132/60*($Q132*$O132)))/$P132,0))</f>
        <v>0</v>
      </c>
      <c r="S132" s="408"/>
      <c r="T132" s="409"/>
      <c r="U132" s="637" cm="1">
        <f t="array" ref="U132">IF(COUNTBLANK($S132:$T132),0,
IF(AND(INDEX(MHR[Schichtmodell],$CI132)&lt;&gt;0,INDEX(MHR[Schichtmodell],$CI132)&lt;&gt;INDEX(Premises!$A$20:$F$20,1,$CH132)),ExchangeRate*
IF(OR($T132="M",$T132="U"),IF(INDEX(MHR[Schichtmodell],$CI132)=1,INDEX(LOC[M1S],INDEX(Premises!$A$18:$F$18,1,$CH132+1)),IF(INDEX(MHR[Schichtmodell],$CI132)=2,INDEX(LOC[M2S],INDEX(Premises!$A$18:$F$18,1,$CH132+1),IF(INDEX(MHR[Schichtmodell],$CI132)=3,INDEX(LOC[M3S],INDEX(Premises!$A$18:$F$18,1,$CH132+1)),0)))),
IF(INDEX(MHR[Schichtmodell],$CI132)=1,INDEX(LOC[F1S],INDEX(Premises!$A$18:$F$18,1,$CH132+1)),IF(INDEX(MHR[Schichtmodell],$CI132)=2,INDEX(LOC[F2S],INDEX(Premises!$A$18:$F$18,1,$CH132+1)),IF(INDEX(MHR[Schichtmodell],$CI132)=3,INDEX(LOC[F3S],INDEX(Premises!$A$18:$F$18,1,$CH132+1)),0)))),
IF(OR($T132="M",$T132="U"),INDEX(Premises!$A$21:$F$21,1,$CH132),
IF(OR($T132="F",$T132="S"),INDEX(Premises!$A$22:$F$22,1,$CH132),0)))*100/INDEX(Premises!$A$16:$F$16,1,$CH132))</f>
        <v>0</v>
      </c>
      <c r="V132" s="631">
        <f>IF($U132=0,0,IFERROR($F132/$H132/IF($G132="s",3600,IF($G132="min",60,IF($G132="h",1,0)))*$S132*$U132,0))</f>
        <v>0</v>
      </c>
      <c r="W132" s="410"/>
      <c r="X132" s="403"/>
      <c r="Y132" s="411"/>
      <c r="Z132" s="412"/>
      <c r="AA132" s="628">
        <f>IFERROR($X132*$Z132/$Y132/MAX(1,$H132),0)</f>
        <v>0</v>
      </c>
      <c r="AB132" s="410"/>
      <c r="AC132" s="403"/>
      <c r="AD132" s="411"/>
      <c r="AE132" s="413"/>
      <c r="AF132" s="628">
        <f>IFERROR($AC132*$AE132/$AD132,0)</f>
        <v>0</v>
      </c>
      <c r="AG132" s="629" cm="1">
        <f t="array" ref="AG132">IF(($J132+$V132+$AF132)=0,0,INDEX(Premises!$A$30:$F$30,1,$CH132)/100)</f>
        <v>0</v>
      </c>
      <c r="AH132" s="414"/>
      <c r="AI132" s="415"/>
      <c r="AJ132" s="416"/>
      <c r="AK132" s="630">
        <f>IF(COUNTBLANK($AH132:$AI132),0,$AH132*$AI132*$AG132)</f>
        <v>0</v>
      </c>
      <c r="AL132" s="631">
        <f>($AK132+$AJ132*$AG132*(1-$AH132)+($J132+$V132+$AF132)*$AG132*(1-$AH132))</f>
        <v>0</v>
      </c>
      <c r="AM132" s="632" cm="1">
        <f t="array" ref="AM132">IF($CI132=0,0,IFERROR(INDEX(MHR[],$CI132,MATCH($CA132,MHR!$B$4:$AY$4,0)+11),0))</f>
        <v>0</v>
      </c>
      <c r="AN132" s="633" cm="1">
        <f t="array" ref="AN132">IF(($J132+$V132)=0,0,IFERROR(IF(INDEX(Premises!$A$41:$F$41,1,$CH132)&lt;&gt;0,INDEX(Premises!$A$41:$F$41,1,$CH132)/100,(IFERROR(($J132/$I132)*$AM132,0)/($V132+$J132+$R132+$AL132))),0))</f>
        <v>0</v>
      </c>
      <c r="AO132" s="634">
        <f>IF(($J132+$V132)=0,0,IF(IFERROR(($J132+$R132+$V132+$AL132)*$AN132,0)&lt;&gt;IFERROR(($J132/$I132)*$AM132,0),($J132+$R132+$V132+$AL132)*$AN132,IFERROR(($J132/$I132)*$AM132,0)))</f>
        <v>0</v>
      </c>
      <c r="AP132" s="635">
        <f>$V132+$J132+$R132+$AA132+$AF132+$AL132+$AO132</f>
        <v>0</v>
      </c>
      <c r="AQ132" s="410"/>
      <c r="AR132" s="409"/>
      <c r="AS132" s="636" cm="1">
        <f t="array" ref="AS132">IF($CJ132=0,0,IFERROR(INDEX(MAT[Einheit],$CJ132,1),0))</f>
        <v>0</v>
      </c>
      <c r="AT132" s="637" cm="1">
        <f t="array" ref="AT132">IF($CJ132=0,0,IFERROR(INDEX(MAT[Preis],$CJ132,1),0))</f>
        <v>0</v>
      </c>
      <c r="AU132" s="638">
        <f>$AR132*$AT132</f>
        <v>0</v>
      </c>
      <c r="AV132" s="639" cm="1">
        <f t="array" ref="AV132">IF($AU132&lt;=0,0,INDEX(Premises!$A$30:$F$30,1,$CH132)/100)</f>
        <v>0</v>
      </c>
      <c r="AW132" s="409"/>
      <c r="AX132" s="631">
        <f>IF($AV132=0,0,($AU132+$AW132)*$AV132)</f>
        <v>0</v>
      </c>
      <c r="AY132" s="640" cm="1">
        <f t="array" ref="AY132">IF($AT132&lt;=0,0,IFERROR(IF(INDEX(Premises!$A$42:$F$42,1,$CH132)&lt;&gt;0,INDEX(Premises!$A$42:$F$42,1,$CH132)/100,(INDEX(MAT[],$CJ132,MATCH($CA132,MAT!$B$4:$AE$4,0))/($AR132*$CK132*INDEX(Premises!$A$13:$F$13,1,$CH132))+INDEX(MAT[],$CJ132,MATCH($CA132,MAT!$B$4:$AE$4,0)+7))/$AT132),0))</f>
        <v>0</v>
      </c>
      <c r="AZ132" s="631">
        <f>IF($AY132=0,0,($AU132+$AX132)*$AY132)</f>
        <v>0</v>
      </c>
      <c r="BA132" s="635">
        <f>$AU132+$AX132+$AZ132</f>
        <v>0</v>
      </c>
      <c r="BB132" s="635">
        <f>$AP132+$BA132</f>
        <v>0</v>
      </c>
      <c r="BC132" s="639" cm="1">
        <f t="array" ref="BC132">IF($BB132&lt;=0,0,IF(BC$2=-1,0,INDEX(Premises!$A$32:$F$32,1,$CH132)/100))</f>
        <v>0</v>
      </c>
      <c r="BD132" s="631">
        <f>IF($AP132&lt;=0,0,($AP132-$AA132-$AL132)*$BC132)</f>
        <v>0</v>
      </c>
      <c r="BE132" s="639" cm="1">
        <f t="array" ref="BE132">IF($BB132&lt;=0,0,IF(BE$2=-1,0,INDEX(Premises!$A$33:$F$33,1,$CH132)/100))</f>
        <v>0</v>
      </c>
      <c r="BF132" s="631">
        <f>IF($BA132&lt;=0,0,$BA132*$BE132)</f>
        <v>0</v>
      </c>
      <c r="BG132" s="639" cm="1">
        <f t="array" ref="BG132">IF($BB132&lt;=0,0,IF(BG$2=-1,0,INDEX(Premises!$A$31:$F$31,1,$CH132)/100))</f>
        <v>0</v>
      </c>
      <c r="BH132" s="631">
        <f>(($AP132-$AA132-$AL132)+$BA132)*$BG132</f>
        <v>0</v>
      </c>
      <c r="BI132" s="635">
        <f>$BB132+$BD132+$BF132+$BH132</f>
        <v>0</v>
      </c>
      <c r="BJ132" s="639" cm="1">
        <f t="array" ref="BJ132">IF($BB132&lt;=0,0,IF(BJ$2=-1,0,INDEX(Premises!$A$35:$F$35,1,$CH132)/100))</f>
        <v>0</v>
      </c>
      <c r="BK132" s="631">
        <f>IF($AP132&lt;=0,0,($AP132-$AL132-$AA132)*$BJ132)</f>
        <v>0</v>
      </c>
      <c r="BL132" s="639" cm="1">
        <f t="array" ref="BL132">IF($BB132&lt;=0,0,IF(BL$2=-1,0,INDEX(Premises!$A$36:$F$36,1,$CH132)/100))</f>
        <v>0</v>
      </c>
      <c r="BM132" s="631">
        <f>IF($AU132&lt;=0,0,($AR132*$AT132)*$BL132)</f>
        <v>0</v>
      </c>
      <c r="BN132" s="639" cm="1">
        <f t="array" ref="BN132">IF($BB132&lt;=0,0,IF(BN$2=-1,0,INDEX(Premises!$A$34:$F$34,1,$CH132)/100))</f>
        <v>0</v>
      </c>
      <c r="BO132" s="631">
        <f>(($AP132-$AL132-$AA132)+($AR132*$AT132))*$BN132</f>
        <v>0</v>
      </c>
      <c r="BP132" s="639" cm="1">
        <f t="array" ref="BP132">IF($BI132=0,0,INDEX(Premises!$A$37:$F$37,1,$CH132)/100)</f>
        <v>0</v>
      </c>
      <c r="BQ132" s="409"/>
      <c r="BR132" s="631">
        <f>($BI132+$BK132+$BM132+$BO132)*$BP132+$BQ132</f>
        <v>0</v>
      </c>
      <c r="BS132" s="641">
        <f>BI132+BK132+BM132+BO132+BR132</f>
        <v>0</v>
      </c>
      <c r="BT132" s="641">
        <f>IF($BS132=0,0,$CK132*$BS132)</f>
        <v>0</v>
      </c>
      <c r="BU132" s="642">
        <f>IF($BT132=0,0,MAX(1,$EB132/$DP132))</f>
        <v>0</v>
      </c>
      <c r="BV132" s="417"/>
      <c r="BW132" s="418"/>
      <c r="BX132" s="418"/>
      <c r="BY132" s="419"/>
      <c r="BZ132" s="968"/>
      <c r="CA132" s="280" cm="1">
        <f t="array" ref="CA132">IF($BZ132&gt;0,VALUE(LEFT($BZ132,IF(ISERROR(FIND("-",$BZ132)),LEN($BZ132),FIND("-",$BZ132)-1))),INDEX($CA$1:$CA132,MAX(1,$CD132)))</f>
        <v>1</v>
      </c>
      <c r="CB132" s="280" cm="1">
        <f t="array" ref="CB132">IF($BT132=0,0,IF(LEN($BZ132)-LEN(SUBSTITUTE($BZ132,"-",""))&gt;1,
VALUE(MID($BZ132,FIND("-",$BZ132)+1,FIND("-",$BZ132,FIND("-",$BZ132)+1)-FIND("-",$BZ132)-1)),IF($BZ132&gt;0,0,INDEX($CB$1:$CB132,MAX(1,$CD132)))))</f>
        <v>0</v>
      </c>
      <c r="CC132" s="280" cm="1">
        <f t="array" ref="CC132">IF($BT132=0,0,IF(NOT(ISERROR(FIND("-",BZ132))),
VALUE(RIGHT($BZ132,LEN($BZ132)-IF(LEN($BZ132)-LEN(SUBSTITUTE($BZ132,"-",""))=1,FIND("-",$BZ132),FIND("-",$BZ132,FIND("-",$BZ132)+1)))),
IF($BZ132&gt;0,0,INDEX($CC$1:$CC132,MAX(1,$CD132)))))</f>
        <v>0</v>
      </c>
      <c r="CD132" s="393">
        <f>MATCH(0,$CE$1:$CE132,-1)</f>
        <v>130</v>
      </c>
      <c r="CE132" s="280"/>
      <c r="CF132" s="394"/>
      <c r="CG132" s="393" cm="1">
        <f t="array" ref="CG132">INDEX($CG$1:$CG132,$CD132)</f>
        <v>16</v>
      </c>
      <c r="CH132" s="280">
        <f>MATCH($CA132,Premises!$A$10:$F$10,0)</f>
        <v>4</v>
      </c>
      <c r="CI132" s="280">
        <f>IF(ISBLANK($E132),0,IFERROR(MATCH($E132,MHR[Bezeichnung],0),0))</f>
        <v>0</v>
      </c>
      <c r="CJ132" s="394">
        <f>IF(ISBLANK($AQ132),0,IFERROR(MATCH($AQ132,MAT[Bezeichnung],0),0))</f>
        <v>0</v>
      </c>
      <c r="CK132" s="280" cm="1">
        <f t="array" ref="CK132">INDEX($D$1:$D132,$CD132)</f>
        <v>2</v>
      </c>
      <c r="CL132" s="280"/>
      <c r="CM132" s="395"/>
      <c r="CN132" s="396" cm="1">
        <f t="array" ref="CN132">IF($CB132=0,0,IF($CB132=INDEX($CB$1:$CB132,$CD132),INDEX($CN$1:$CN132,$CD132),$CP132))</f>
        <v>0</v>
      </c>
      <c r="CO132" s="395"/>
      <c r="CP132" s="396" cm="1">
        <f t="array" ref="CP132">IF($CC132=0,0,INDEX($CP$1:$CP132,$CD132))</f>
        <v>0</v>
      </c>
      <c r="CQ132" s="397"/>
      <c r="CR132" s="398"/>
      <c r="CS132" s="398"/>
      <c r="CT132" s="970"/>
      <c r="CU132" s="2"/>
      <c r="CV132" s="647">
        <f>$J132*$CK132</f>
        <v>0</v>
      </c>
      <c r="CW132" s="648">
        <f>$R132*$CK132</f>
        <v>0</v>
      </c>
      <c r="CX132" s="648">
        <f>$V132*$CK132</f>
        <v>0</v>
      </c>
      <c r="CY132" s="648">
        <f>$AA132*$CK132</f>
        <v>0</v>
      </c>
      <c r="CZ132" s="648">
        <f>$AF132*$CK132</f>
        <v>0</v>
      </c>
      <c r="DA132" s="648">
        <f>$AL132*$CK132</f>
        <v>0</v>
      </c>
      <c r="DB132" s="648">
        <f>$AO132*$CK132</f>
        <v>0</v>
      </c>
      <c r="DC132" s="649">
        <f>$AP132*$CK132</f>
        <v>0</v>
      </c>
      <c r="DD132" s="648">
        <f>$AU132*$CK132</f>
        <v>0</v>
      </c>
      <c r="DE132" s="648">
        <f>$AX132*$CK132</f>
        <v>0</v>
      </c>
      <c r="DF132" s="648">
        <f>$AZ132*$CK132</f>
        <v>0</v>
      </c>
      <c r="DG132" s="649">
        <f>$BA132*$CK132</f>
        <v>0</v>
      </c>
      <c r="DH132" s="649">
        <f>$BB132*$CK132</f>
        <v>0</v>
      </c>
      <c r="DI132" s="648">
        <f>$BD132*$CK132</f>
        <v>0</v>
      </c>
      <c r="DJ132" s="648">
        <f>$BF132*$CK132</f>
        <v>0</v>
      </c>
      <c r="DK132" s="648">
        <f>$BH132*$CK132</f>
        <v>0</v>
      </c>
      <c r="DL132" s="648">
        <f>$BK132*$CK132</f>
        <v>0</v>
      </c>
      <c r="DM132" s="648">
        <f>$BM132*$CK132</f>
        <v>0</v>
      </c>
      <c r="DN132" s="648">
        <f>$BO132*$CK132</f>
        <v>0</v>
      </c>
      <c r="DO132" s="648">
        <f>$BR132*$CK132</f>
        <v>0</v>
      </c>
      <c r="DP132" s="651">
        <f>$CK132*($BB132+$BD132+$BF132+$BH132+$BK132+$BM132+$BO132+$BR132)</f>
        <v>0</v>
      </c>
      <c r="DQ132" s="951">
        <f>IF($CB132=0,0,$DP132*_xlfn.XLOOKUP($CB132,Premises!$A$10:$F$10,Premises!$A$30:$F$30)/100)</f>
        <v>0</v>
      </c>
      <c r="DR132" s="650">
        <f>IFERROR(SUM($DP132:$DQ132)*IF(INDEX(Premises!$A$42:$F$42,1,MATCH($CB132,Premises!$A$10:$F$10,0))&gt;0,INDEX(Premises!$A$42:$F$42,1,MATCH($CB132,Premises!$A$10:$F$10,0))%,$CN132),0)</f>
        <v>0</v>
      </c>
      <c r="DS132" s="650" cm="1">
        <f t="array" ref="DS132">IF($CB132=0,0,SUM($DP132:$DR132)*_xlfn.XLOOKUP($CB132,Premises!$A$10:$F$10,IF(INDEX(Settings[],MATCH(3001,Settings[ID],0),2)="B",Premises!$A$33:$F$33,Premises!$A$31:$F$31))/100)</f>
        <v>0</v>
      </c>
      <c r="DT132" s="650" cm="1">
        <f t="array" ref="DT132">IF($CB132=0,0,$DP132*_xlfn.XLOOKUP($CB132,Premises!$A$10:$F$10,IF(INDEX(Settings[],MATCH(3002,Settings[ID],0),2)="B",Premises!$A$36:$F$36,Premises!$A$34:$F$34))/100)</f>
        <v>0</v>
      </c>
      <c r="DU132" s="650">
        <f>IF($CB132=0,0,SUM($DP132:$DT132)*_xlfn.XLOOKUP($CB132,Premises!$A$10:$F$10,Premises!$A$37:$F$37)/100)</f>
        <v>0</v>
      </c>
      <c r="DV132" s="954">
        <f>SUM($DP132:$DU132)</f>
        <v>0</v>
      </c>
      <c r="DW132" s="951">
        <f>IF($CC132=0,0,$DV132*_xlfn.XLOOKUP($CC132,Premises!$A$10:$F$10,Premises!$A$30:$F$30)/100)</f>
        <v>0</v>
      </c>
      <c r="DX132" s="650">
        <f>IFERROR(SUM($DV132:$DW132)*IF(INDEX(Premises!$A$42:$F$42,1,MATCH($CC132,Premises!$A$10:$F$10,0))&gt;0,INDEX(Premises!$A$42:$F$42,1,MATCH($CC132,Premises!$A$10:$F$10,0))%,$CP132),0)</f>
        <v>0</v>
      </c>
      <c r="DY132" s="650" cm="1">
        <f t="array" ref="DY132">IF($CC132=0,0,SUM($DV132:$DX132)*_xlfn.XLOOKUP($CC132,Premises!$A$10:$F$10,IF(INDEX(Settings[],MATCH(3001,Settings[ID],0),2)="B",Premises!$A$33:$F$33,Premises!$A$31:$F$31))/100)</f>
        <v>0</v>
      </c>
      <c r="DZ132" s="650" cm="1">
        <f t="array" ref="DZ132">IF($CC132=0,0,$DV132*_xlfn.XLOOKUP($CC132,Premises!$A$10:$F$10,IF(INDEX(Settings[],MATCH(3002,Settings[ID],0),2)="B",Premises!$A$36:$F$36,Premises!$A$34:$F$34))/100)</f>
        <v>0</v>
      </c>
      <c r="EA132" s="650">
        <f>IF($CC132=0,0,SUM($DV132:$DZ132)*_xlfn.XLOOKUP($CC132,Premises!$A$10:$F$10,Premises!$A$37:$F$37)/100)</f>
        <v>0</v>
      </c>
      <c r="EB132" s="651">
        <f>SUM($DV132:$EA132)</f>
        <v>0</v>
      </c>
      <c r="EC132" s="805"/>
      <c r="ED132" s="1104"/>
      <c r="EE132" s="650"/>
      <c r="EF132" s="1110"/>
      <c r="EG132" s="1108"/>
      <c r="EH132" s="1108"/>
      <c r="EI132" s="1108"/>
      <c r="EJ132" s="1108"/>
      <c r="EK132" s="1108"/>
      <c r="EL132" s="1108"/>
      <c r="EM132" s="1110"/>
      <c r="EN132" s="1108"/>
      <c r="EO132" s="1108"/>
      <c r="EP132" s="1108"/>
      <c r="EQ132" s="1108"/>
      <c r="ER132" s="1110"/>
      <c r="ES132" s="1108"/>
      <c r="ET132" s="1108"/>
      <c r="EU132" s="1108"/>
      <c r="EV132" s="1108"/>
      <c r="EW132" s="1108"/>
      <c r="EX132" s="1111"/>
      <c r="EY132" s="2"/>
      <c r="EZ132" s="2"/>
      <c r="FA132" s="2"/>
      <c r="FB132" s="2"/>
      <c r="FC132" s="2"/>
      <c r="FD132" s="2"/>
      <c r="FE132" s="2"/>
      <c r="FF132" s="2"/>
      <c r="FG132" s="2"/>
      <c r="FH132" s="2"/>
      <c r="FI132" s="2"/>
      <c r="FJ132" s="420"/>
      <c r="FK132" s="421"/>
      <c r="FL132" s="422"/>
      <c r="FM132" s="970"/>
    </row>
    <row r="133" spans="1:169" s="13" customFormat="1" ht="12.75" customHeight="1">
      <c r="A133" s="221"/>
      <c r="B133" s="387" t="str">
        <f>BOM!$A$17</f>
        <v>01-01-03-10 Screw</v>
      </c>
      <c r="C133" s="388"/>
      <c r="D133" s="389" cm="1">
        <f t="array" ref="D133">IF($CG133=0,0,INDEX(BOM!$N:$N,$CG133))</f>
        <v>1</v>
      </c>
      <c r="E133" s="644" t="s">
        <v>664</v>
      </c>
      <c r="F133" s="644" t="s">
        <v>664</v>
      </c>
      <c r="G133" s="644" t="s">
        <v>664</v>
      </c>
      <c r="H133" s="644" t="s">
        <v>664</v>
      </c>
      <c r="I133" s="644" t="s">
        <v>664</v>
      </c>
      <c r="J133" s="644" t="s">
        <v>664</v>
      </c>
      <c r="K133" s="644" t="s">
        <v>664</v>
      </c>
      <c r="L133" s="644" t="s">
        <v>664</v>
      </c>
      <c r="M133" s="644" t="s">
        <v>664</v>
      </c>
      <c r="N133" s="644" t="s">
        <v>664</v>
      </c>
      <c r="O133" s="644" t="s">
        <v>664</v>
      </c>
      <c r="P133" s="644" t="s">
        <v>664</v>
      </c>
      <c r="Q133" s="644" t="s">
        <v>664</v>
      </c>
      <c r="R133" s="644" t="s">
        <v>664</v>
      </c>
      <c r="S133" s="644" t="s">
        <v>664</v>
      </c>
      <c r="T133" s="644" t="s">
        <v>664</v>
      </c>
      <c r="U133" s="644" t="s">
        <v>664</v>
      </c>
      <c r="V133" s="644" t="s">
        <v>664</v>
      </c>
      <c r="W133" s="644" t="s">
        <v>664</v>
      </c>
      <c r="X133" s="644" t="s">
        <v>664</v>
      </c>
      <c r="Y133" s="644" t="s">
        <v>664</v>
      </c>
      <c r="Z133" s="644" t="s">
        <v>664</v>
      </c>
      <c r="AA133" s="644" t="s">
        <v>664</v>
      </c>
      <c r="AB133" s="644" t="s">
        <v>664</v>
      </c>
      <c r="AC133" s="644" t="s">
        <v>664</v>
      </c>
      <c r="AD133" s="644" t="s">
        <v>664</v>
      </c>
      <c r="AE133" s="644" t="s">
        <v>664</v>
      </c>
      <c r="AF133" s="644" t="s">
        <v>664</v>
      </c>
      <c r="AG133" s="644" t="s">
        <v>664</v>
      </c>
      <c r="AH133" s="644" t="s">
        <v>664</v>
      </c>
      <c r="AI133" s="644" t="s">
        <v>664</v>
      </c>
      <c r="AJ133" s="644" t="s">
        <v>664</v>
      </c>
      <c r="AK133" s="644" t="s">
        <v>664</v>
      </c>
      <c r="AL133" s="644" t="s">
        <v>664</v>
      </c>
      <c r="AM133" s="644" t="s">
        <v>664</v>
      </c>
      <c r="AN133" s="644" t="s">
        <v>664</v>
      </c>
      <c r="AO133" s="644" t="s">
        <v>664</v>
      </c>
      <c r="AP133" s="644" t="s">
        <v>664</v>
      </c>
      <c r="AQ133" s="644" t="s">
        <v>664</v>
      </c>
      <c r="AR133" s="644" t="s">
        <v>664</v>
      </c>
      <c r="AS133" s="644" t="s">
        <v>664</v>
      </c>
      <c r="AT133" s="644" t="s">
        <v>664</v>
      </c>
      <c r="AU133" s="644" t="s">
        <v>664</v>
      </c>
      <c r="AV133" s="644" t="s">
        <v>664</v>
      </c>
      <c r="AW133" s="644" t="s">
        <v>664</v>
      </c>
      <c r="AX133" s="644" t="s">
        <v>664</v>
      </c>
      <c r="AY133" s="644" t="s">
        <v>664</v>
      </c>
      <c r="AZ133" s="644" t="s">
        <v>664</v>
      </c>
      <c r="BA133" s="644" t="s">
        <v>664</v>
      </c>
      <c r="BB133" s="644" t="s">
        <v>664</v>
      </c>
      <c r="BC133" s="644" t="s">
        <v>664</v>
      </c>
      <c r="BD133" s="644" t="s">
        <v>664</v>
      </c>
      <c r="BE133" s="644" t="s">
        <v>664</v>
      </c>
      <c r="BF133" s="644" t="s">
        <v>664</v>
      </c>
      <c r="BG133" s="644" t="s">
        <v>664</v>
      </c>
      <c r="BH133" s="644" t="s">
        <v>664</v>
      </c>
      <c r="BI133" s="644" t="s">
        <v>664</v>
      </c>
      <c r="BJ133" s="644" t="s">
        <v>664</v>
      </c>
      <c r="BK133" s="644" t="s">
        <v>664</v>
      </c>
      <c r="BL133" s="644" t="s">
        <v>664</v>
      </c>
      <c r="BM133" s="644" t="s">
        <v>664</v>
      </c>
      <c r="BN133" s="644" t="s">
        <v>664</v>
      </c>
      <c r="BO133" s="644" t="s">
        <v>664</v>
      </c>
      <c r="BP133" s="644" t="s">
        <v>664</v>
      </c>
      <c r="BQ133" s="644" t="s">
        <v>664</v>
      </c>
      <c r="BR133" s="644" t="s">
        <v>664</v>
      </c>
      <c r="BS133" s="920">
        <f>SUM(INDEX($BS:$BS,ROW()+1):INDEX($BS:$BS,$CE133))</f>
        <v>6.7755599999999999E-3</v>
      </c>
      <c r="BT133" s="920">
        <f>SUM(INDEX($BT:$BT,ROW()+1):INDEX($BT:$BT,$CE133))</f>
        <v>6.7755599999999999E-3</v>
      </c>
      <c r="BU133" s="644" t="s">
        <v>664</v>
      </c>
      <c r="BV133" s="643">
        <f>SUMPRODUCT($BS133:INDEX($BS:$BS,$CE133),$BU133:INDEX($BU:$BU,$CE133))</f>
        <v>6.7755599999999999E-3</v>
      </c>
      <c r="BW133" s="390">
        <f>$D133*$BV133</f>
        <v>6.7755599999999999E-3</v>
      </c>
      <c r="BX133" s="816" cm="1">
        <f t="array" ref="BX133">IF($CG133=0,0,IF(INDEX(BOM!$P:$P,$CG133)=0,0,
SUMPRODUCT($BW133:INDEX($BW:$BW,IFERROR(ROW()+MATCH($CL133,INDEX($CL:$CL,ROW()+1):INDEX($CL:$CL,MAX($CE:$CE)),0)-1,MAX($CE:$CE))),
($CL133:INDEX($CL:$CL,IFERROR(ROW()+MATCH($CL133,INDEX($CL:$CL,ROW()+1):INDEX($CL:$CL,MAX($CE:$CE)),0)-1,MAX($CE:$CE)))&gt;=$CL133)*1)
))</f>
        <v>0</v>
      </c>
      <c r="BY133" s="391"/>
      <c r="BZ133" s="392" cm="1">
        <f t="array" ref="BZ133">IF($CG133=0,0,INDEX(BOM!$M:$M,$CG133))</f>
        <v>1</v>
      </c>
      <c r="CA133" s="280">
        <f>IF($BZ133&gt;0,VALUE(LEFT($BZ133,IF(ISERROR(FIND("-",$BZ133)),LEN($BZ133),FIND("-",$BZ133)-1))),INDEX($BZ$1:BZ133,MATCH("",$A$1:A133,-1)))</f>
        <v>1</v>
      </c>
      <c r="CB133" s="280">
        <f>IF(LEN($BZ133)-LEN(SUBSTITUTE($BZ133,"-",))&gt;1,
VALUE(MID($BZ133,FIND("-",$BZ133)+1,FIND("-",$BZ133,FIND("-",$BZ133)+1)-FIND("-",$BZ133)-1)),0)</f>
        <v>0</v>
      </c>
      <c r="CC133" s="280">
        <f>IF(NOT(ISERROR(FIND("-",BZ133))),
VALUE(RIGHT($BZ133,LEN($BZ133)-IF(LEN($BZ133)-LEN(SUBSTITUTE($BZ133,"-",""))=1,FIND("-",$BZ133),FIND("-",$BZ133,FIND("-",$BZ133)+1)))),0)</f>
        <v>0</v>
      </c>
      <c r="CD133" s="393"/>
      <c r="CE133" s="280" cm="1">
        <f t="array" ref="CE133">ROW()+MATCH(TRUE,_xlfn.ISFORMULA(INDEX(BW:BW,ROW()+1):INDEX(BW:BW,ROW()+MaxNumberOfRowsPerBlock)),0)-1</f>
        <v>135</v>
      </c>
      <c r="CF133" s="394" cm="1">
        <f t="array" ref="CF133">IF(CL133=0,-1,IF(CL133=1,7,MAX(IF($CL$1:$CL133=CL133-1,ROW($CL$1:$CL133),0))))</f>
        <v>49</v>
      </c>
      <c r="CG133" s="393">
        <f>IFERROR(MATCH($B133,BOM!$A:$A,0),0)</f>
        <v>17</v>
      </c>
      <c r="CH133" s="280">
        <f>MATCH($CA133,Premises!$A$10:$F$10,0)</f>
        <v>4</v>
      </c>
      <c r="CI133" s="280"/>
      <c r="CJ133" s="394"/>
      <c r="CK133" s="280"/>
      <c r="CL133" s="280" cm="1">
        <f t="array" ref="CL133">IF($CG133=0,0,INDEX(BOM!$C:$C,$CG133))</f>
        <v>4</v>
      </c>
      <c r="CM133" s="395" cm="1">
        <f t="array" ref="CM133">IF($CG133=0,0,IF(OR($CF133&lt;0,AND(INDEX($CB:$CB,$CF133)=$CB133,INDEX($CC:$CC,$CF133)=$CC133)),0,IF(INDEX(BOM!$P:$P,$CG133)=0,$BT133,(SUMIF($CA133:INDEX($CA:$CA,IFERROR(ROW()+MATCH($CL133,INDEX($CL:$CL,ROW()+1):INDEX($CL:$CL,MAX($CE:$CE)),0)-1,MAX($CE:$CE))),$CA133,$BT133:INDEX($BT:$BT,IFERROR(ROW()+MATCH($CL133,INDEX($CL:$CL,ROW()+1):INDEX($CL:$CL,MAX($CE:$CE)),0)-1,MAX($CE:$CE))))+SUMIF($CB133:INDEX($CB:$CB,IFERROR(ROW()+MATCH($CL133,INDEX($CL:$CL,ROW()+1):INDEX($CL:$CL,MAX($CE:$CE)),0)-1,MAX($CE:$CE))),$CA133,$BT133:INDEX($BT:$BT,IFERROR(ROW()+MATCH($CL133,INDEX($CL:$CL,ROW()+1):INDEX($CL:$CL,MAX($CE:$CE)),0)-1,MAX($CE:$CE)))))/2)))</f>
        <v>0</v>
      </c>
      <c r="CN133" s="396" cm="1">
        <f t="array" ref="CN133">IFERROR(IF($CB133=0,0,IF($CM133=0,INDEX($CN$1:$CN133,$CF133),INDEX(IF($CM133&lt;0.2,Premises!$A$43:$F$43,IF($CM133&lt;5,Premises!$A$46:$F$46,Premises!$A$49:$F$49)),MATCH($CB133,Premises!$A$10:$F$10,0))/($CM133*INDEX(Premises!$A$13:$F$13,MATCH($CB133,Premises!$A$10:$F$10,0)))+INDEX(IF($CM133&lt;0.2,Premises!$A$44:$F$44,IF($CM133&lt;5,Premises!$A$47:$F$47,Premises!$A$50:$F$50)),MATCH($CB133,Premises!$A$10:$F$10,0))+INDEX(IF($CM133&lt;0.2,Premises!$A$45:$F$45,IF($CM133&lt;5,Premises!$A$48:$F$48,Premises!$A$51:$F$51)),MATCH($CB133,Premises!$A$10:$F$10,0))/$CM133)),0.01)</f>
        <v>0</v>
      </c>
      <c r="CO133" s="395" cm="1">
        <f t="array" ref="CO133">IF($CG133=0,0,IF(INDEX($CC:$CC,$CF133)=$CC133,0,$CM133*(1+IFERROR(INDEX(Premises!$A$52:$F$52,1,MATCH($CB133,Premises!$A$10:$F$10,0)),0)+$CN133)))</f>
        <v>0</v>
      </c>
      <c r="CP133" s="396" cm="1">
        <f t="array" ref="CP133">IFERROR(IF($CC133=0,0,IF($CO133=0,INDEX($CP$1:$CP133,$CF133),INDEX(IF($CO133&lt;0.2,Premises!$A$43:$F$43,IF($CO133&lt;5,Premises!$A$46:$F$46,Premises!$A$49:$F$49)),MATCH($CC133,Premises!$A$10:$F$10,0))/($CO133*INDEX(Premises!$A$13:$F$13,MATCH($CC133,Premises!$A$10:$F$10,0)))+INDEX(IF($CO133&lt;0.2,Premises!$A$44:$F$44,IF($CO133&lt;5,Premises!$A$47:$F$47,Premises!$A$50:$F$50)),MATCH($CC133,Premises!$A$10:$F$10,0))+INDEX(IF($CO133&lt;0.2,Premises!$A$45:$F$45,IF($CO133&lt;5,Premises!$A$48:$F$48,Premises!$A$51:$F$51)),MATCH($CC133,Premises!$A$10:$F$10,0))/$CO133)),0.01)</f>
        <v>0</v>
      </c>
      <c r="CQ133" s="397" cm="1">
        <f t="array" ref="CQ133">IF(AND($CM133=0,$CO133=0),0,INDEX(BOM!$O:$O,$CG133))</f>
        <v>0</v>
      </c>
      <c r="CR133" s="398" cm="1">
        <f t="array" ref="CR133">IF(OR($CM133=0,$CN133=0),0,ACOS(COS(RADIANS(90-INDEX(Premises!$A$66:$F$66,1,$CH133)))*COS(RADIANS(90-INDEX(Premises!$A$66:$F$66,1,MATCH($CB133,Premises!$A$10:$F$10,0))))
+SIN(RADIANS(90-INDEX(Premises!$A$66:$F$66,1,$CH133)))*SIN(RADIANS(90-INDEX(Premises!$A$66:$F$66,1,MATCH($CB133,Premises!$A$10:$F$10,0)))) * COS(RADIANS(INDEX(Premises!$A$67:$F$67,1,$CH133)-INDEX(Premises!$A$67:$F$67,1,MATCH($CB133,Premises!$A$10:$F$10,0)))))*6371)</f>
        <v>0</v>
      </c>
      <c r="CS133" s="398" cm="1">
        <f t="array" ref="CS133">IF(OR($CO133=0,$CP133=0),0,
IF($CR133=0,ACOS(COS(RADIANS(90-INDEX(Premises!$A$66:$F$66,1,$CH133)))*COS(RADIANS(90-INDEX(Premises!$A$66:$F$66,1,MATCH($CC133,Premises!$A$10:$F$10,0))))
+SIN(RADIANS(90-INDEX(Premises!$A$66:$F$66,1,$CH133)))*SIN(RADIANS(90-INDEX(Premises!$A$66:$F$66,1,MATCH($CC133,Premises!$A$10:$F$10,0))))*COS(RADIANS(INDEX(Premises!$A$67:$F$67,1,$CH133)-INDEX(Premises!$A$67:$F$67,1,MATCH($CC133,Premises!$A$10:$F$10,0)))))*6371,
ACOS(COS(RADIANS(90-INDEX(Premises!$A$66:$F$66,1,MATCH($CB133,Premises!$A$10:$F$10,0))))*COS(RADIANS(90-INDEX(Premises!$A$66:$F$66,1,MATCH($CC133,Premises!$A$10:$F$10,0))))
+SIN(RADIANS(90-INDEX(Premises!$A$66:$F$66,1,MATCH($CB133,Premises!$A$10:$F$10,0))))*SIN(RADIANS(90-INDEX(Premises!$A$66:$F$66,1,MATCH($CC133,Premises!$A$10:$F$10,0))))*COS(RADIANS(INDEX(Premises!$A$67:$F$67,1,MATCH($CB133,Premises!$A$10:$F$10,0))-INDEX(Premises!$A$67:$F$67,1,MATCH($CC133,Premises!$A$10:$F$10,0)))))*6371))</f>
        <v>0</v>
      </c>
      <c r="CT133" s="969" t="s">
        <v>904</v>
      </c>
      <c r="CU133" s="2"/>
      <c r="CV133" s="399">
        <f>SUM(INDEX(CV:CV,ROW()+1):INDEX(CV:CV,$CE133))</f>
        <v>0</v>
      </c>
      <c r="CW133" s="400">
        <f>SUM(INDEX(CW:CW,ROW()+1):INDEX(CW:CW,$CE133))</f>
        <v>0</v>
      </c>
      <c r="CX133" s="400">
        <f>SUM(INDEX(CX:CX,ROW()+1):INDEX(CX:CX,$CE133))</f>
        <v>0</v>
      </c>
      <c r="CY133" s="400">
        <f>SUM(INDEX(CY:CY,ROW()+1):INDEX(CY:CY,$CE133))</f>
        <v>0</v>
      </c>
      <c r="CZ133" s="400">
        <f>SUM(INDEX(CZ:CZ,ROW()+1):INDEX(CZ:CZ,$CE133))</f>
        <v>0</v>
      </c>
      <c r="DA133" s="400">
        <f>SUM(INDEX(DA:DA,ROW()+1):INDEX(DA:DA,$CE133))</f>
        <v>0</v>
      </c>
      <c r="DB133" s="400">
        <f>SUM(INDEX(DB:DB,ROW()+1):INDEX(DB:DB,$CE133))</f>
        <v>0</v>
      </c>
      <c r="DC133" s="400">
        <f>SUM(INDEX(DC:DC,ROW()+1):INDEX(DC:DC,$CE133))</f>
        <v>0</v>
      </c>
      <c r="DD133" s="400">
        <f>SUM(INDEX(DD:DD,ROW()+1):INDEX(DD:DD,$CE133))</f>
        <v>5.6639999999999998E-3</v>
      </c>
      <c r="DE133" s="400">
        <f>SUM(INDEX(DE:DE,ROW()+1):INDEX(DE:DE,$CE133))</f>
        <v>5.664E-5</v>
      </c>
      <c r="DF133" s="400">
        <f>SUM(INDEX(DF:DF,ROW()+1):INDEX(DF:DF,$CE133))</f>
        <v>0</v>
      </c>
      <c r="DG133" s="400">
        <f>SUM(INDEX(DG:DG,ROW()+1):INDEX(DG:DG,$CE133))</f>
        <v>5.7206399999999999E-3</v>
      </c>
      <c r="DH133" s="400">
        <f>SUM(INDEX(DH:DH,ROW()+1):INDEX(DH:DH,$CE133))</f>
        <v>5.7206399999999999E-3</v>
      </c>
      <c r="DI133" s="400">
        <f>SUM(INDEX(DI:DI,ROW()+1):INDEX(DI:DI,$CE133))</f>
        <v>0</v>
      </c>
      <c r="DJ133" s="400">
        <f>SUM(INDEX(DJ:DJ,ROW()+1):INDEX(DJ:DJ,$CE133))</f>
        <v>0</v>
      </c>
      <c r="DK133" s="400">
        <f>SUM(INDEX(DK:DK,ROW()+1):INDEX(DK:DK,$CE133))</f>
        <v>7.1507999999999999E-4</v>
      </c>
      <c r="DL133" s="400">
        <f>SUM(INDEX(DL:DL,ROW()+1):INDEX(DL:DL,$CE133))</f>
        <v>0</v>
      </c>
      <c r="DM133" s="400">
        <f>SUM(INDEX(DM:DM,ROW()+1):INDEX(DM:DM,$CE133))</f>
        <v>0</v>
      </c>
      <c r="DN133" s="400">
        <f>SUM(INDEX(DN:DN,ROW()+1):INDEX(DN:DN,$CE133))</f>
        <v>3.3984E-4</v>
      </c>
      <c r="DO133" s="400">
        <f>SUM(INDEX(DO:DO,ROW()+1):INDEX(DO:DO,$CE133))</f>
        <v>0</v>
      </c>
      <c r="DP133" s="400">
        <f>SUM(INDEX(DP:DP,ROW()+1):INDEX(DP:DP,$CE133))</f>
        <v>6.7755599999999999E-3</v>
      </c>
      <c r="DQ133" s="400">
        <f>SUM(INDEX(DQ:DQ,ROW()+1):INDEX(DQ:DQ,$CE133))</f>
        <v>0</v>
      </c>
      <c r="DR133" s="400">
        <f>SUM(INDEX(DR:DR,ROW()+1):INDEX(DR:DR,$CE133))</f>
        <v>0</v>
      </c>
      <c r="DS133" s="400">
        <f>SUM(INDEX(DS:DS,ROW()+1):INDEX(DS:DS,$CE133))</f>
        <v>0</v>
      </c>
      <c r="DT133" s="400">
        <f>SUM(INDEX(DT:DT,ROW()+1):INDEX(DT:DT,$CE133))</f>
        <v>0</v>
      </c>
      <c r="DU133" s="400">
        <f>SUM(INDEX(DU:DU,ROW()+1):INDEX(DU:DU,$CE133))</f>
        <v>0</v>
      </c>
      <c r="DV133" s="400">
        <f>SUM(INDEX(DV:DV,ROW()+1):INDEX(DV:DV,$CE133))</f>
        <v>6.7755599999999999E-3</v>
      </c>
      <c r="DW133" s="400">
        <f>SUM(INDEX(DW:DW,ROW()+1):INDEX(DW:DW,$CE133))</f>
        <v>0</v>
      </c>
      <c r="DX133" s="400">
        <f>SUM(INDEX(DX:DX,ROW()+1):INDEX(DX:DX,$CE133))</f>
        <v>0</v>
      </c>
      <c r="DY133" s="400">
        <f>SUM(INDEX(DY:DY,ROW()+1):INDEX(DY:DY,$CE133))</f>
        <v>0</v>
      </c>
      <c r="DZ133" s="400">
        <f>SUM(INDEX(DZ:DZ,ROW()+1):INDEX(DZ:DZ,$CE133))</f>
        <v>0</v>
      </c>
      <c r="EA133" s="400">
        <f>SUM(INDEX(EA:EA,ROW()+1):INDEX(EA:EA,$CE133))</f>
        <v>0</v>
      </c>
      <c r="EB133" s="401">
        <f>SUM(INDEX(EB:EB,ROW()+1):INDEX(EB:EB,$CE133))</f>
        <v>6.7755599999999999E-3</v>
      </c>
      <c r="EC133" s="805"/>
      <c r="ED133" s="399"/>
      <c r="EE133" s="400"/>
      <c r="EF133" s="1112"/>
      <c r="EG133" s="1112"/>
      <c r="EH133" s="1112"/>
      <c r="EI133" s="1112"/>
      <c r="EJ133" s="1112"/>
      <c r="EK133" s="1112"/>
      <c r="EL133" s="1112"/>
      <c r="EM133" s="1112"/>
      <c r="EN133" s="1112"/>
      <c r="EO133" s="1112"/>
      <c r="EP133" s="1112"/>
      <c r="EQ133" s="1112"/>
      <c r="ER133" s="1112"/>
      <c r="ES133" s="1112"/>
      <c r="ET133" s="1112"/>
      <c r="EU133" s="1112"/>
      <c r="EV133" s="1112"/>
      <c r="EW133" s="1112"/>
      <c r="EX133" s="1113"/>
      <c r="EY133" s="2"/>
      <c r="EZ133" s="2"/>
      <c r="FA133" s="2"/>
      <c r="FB133" s="2"/>
      <c r="FC133" s="2"/>
      <c r="FD133" s="2"/>
      <c r="FE133" s="2"/>
      <c r="FF133" s="2"/>
      <c r="FG133" s="2"/>
      <c r="FH133" s="2"/>
      <c r="FI133" s="2"/>
      <c r="FJ133" s="399"/>
      <c r="FK133" s="400"/>
      <c r="FL133" s="401"/>
      <c r="FM133" s="969"/>
    </row>
    <row r="134" spans="1:169" s="13" customFormat="1" ht="12.75" customHeight="1">
      <c r="A134" s="221"/>
      <c r="B134" s="402" t="s">
        <v>903</v>
      </c>
      <c r="C134" s="403"/>
      <c r="D134" s="646"/>
      <c r="E134" s="404"/>
      <c r="F134" s="405"/>
      <c r="G134" s="405"/>
      <c r="H134" s="405"/>
      <c r="I134" s="637" cm="1">
        <f t="array" ref="I134">IF($CI134=0,0,IFERROR(INDEX(MHR[],$CI134,MATCH($CA134,MHR!$B$4:$AY$4,0)),0))</f>
        <v>0</v>
      </c>
      <c r="J134" s="634">
        <f>IF(COUNTBLANK($E134:$H134),0,IFERROR($F134/$H134/IF($G134="s",3600,IF($G134="min",60,IF($G134="h",1,0)))*I134,0))</f>
        <v>0</v>
      </c>
      <c r="K134" s="406"/>
      <c r="L134" s="407"/>
      <c r="M134" s="871"/>
      <c r="N134" s="407"/>
      <c r="O134" s="405"/>
      <c r="P134" s="645" cm="1">
        <f t="array" ref="P134">IF($K134=0,0,IFERROR(ROUNDUP(IF(ISNUMBER($K134),$K134,INDEX($D$1:$D134,$CD134)*INDEX(Premises!$A$13:$F$13,1,$CH134)/IF(OR($K134="T",$K134="D"),250,IF($K134="W",50,IF($K134="M",12,IF(OR($K134="HJ",$K134="HY"),2,IF(OR($K134="J",$K134="Y"),1,0)))))),0),0))</f>
        <v>0</v>
      </c>
      <c r="Q134" s="637" cm="1">
        <f t="array" ref="Q134">IF($K134=0,0,IFERROR(INDEX(Premises!$A$22:$F$22,1,$CH134)*100/INDEX(Premises!$A$16:$F$16,1,$CH134),0))</f>
        <v>0</v>
      </c>
      <c r="R134" s="634">
        <f>IF($P134=0,0,IFERROR(($L134/60*($I134+$Q134*$M134)+($N134/60*($Q134*$O134)))/$P134,0))</f>
        <v>0</v>
      </c>
      <c r="S134" s="408"/>
      <c r="T134" s="409"/>
      <c r="U134" s="637" cm="1">
        <f t="array" ref="U134">IF(COUNTBLANK($S134:$T134),0,
IF(AND(INDEX(MHR[Schichtmodell],$CI134)&lt;&gt;0,INDEX(MHR[Schichtmodell],$CI134)&lt;&gt;INDEX(Premises!$A$20:$F$20,1,$CH134)),ExchangeRate*
IF(OR($T134="M",$T134="U"),IF(INDEX(MHR[Schichtmodell],$CI134)=1,INDEX(LOC[M1S],INDEX(Premises!$A$18:$F$18,1,$CH134+1)),IF(INDEX(MHR[Schichtmodell],$CI134)=2,INDEX(LOC[M2S],INDEX(Premises!$A$18:$F$18,1,$CH134+1),IF(INDEX(MHR[Schichtmodell],$CI134)=3,INDEX(LOC[M3S],INDEX(Premises!$A$18:$F$18,1,$CH134+1)),0)))),
IF(INDEX(MHR[Schichtmodell],$CI134)=1,INDEX(LOC[F1S],INDEX(Premises!$A$18:$F$18,1,$CH134+1)),IF(INDEX(MHR[Schichtmodell],$CI134)=2,INDEX(LOC[F2S],INDEX(Premises!$A$18:$F$18,1,$CH134+1)),IF(INDEX(MHR[Schichtmodell],$CI134)=3,INDEX(LOC[F3S],INDEX(Premises!$A$18:$F$18,1,$CH134+1)),0)))),
IF(OR($T134="M",$T134="U"),INDEX(Premises!$A$21:$F$21,1,$CH134),
IF(OR($T134="F",$T134="S"),INDEX(Premises!$A$22:$F$22,1,$CH134),0)))*100/INDEX(Premises!$A$16:$F$16,1,$CH134))</f>
        <v>0</v>
      </c>
      <c r="V134" s="631">
        <f>IF($U134=0,0,IFERROR($F134/$H134/IF($G134="s",3600,IF($G134="min",60,IF($G134="h",1,0)))*$S134*$U134,0))</f>
        <v>0</v>
      </c>
      <c r="W134" s="410"/>
      <c r="X134" s="403"/>
      <c r="Y134" s="411"/>
      <c r="Z134" s="412"/>
      <c r="AA134" s="628">
        <f>IFERROR($X134*$Z134/$Y134/MAX(1,$H134),0)</f>
        <v>0</v>
      </c>
      <c r="AB134" s="410"/>
      <c r="AC134" s="403"/>
      <c r="AD134" s="411"/>
      <c r="AE134" s="413"/>
      <c r="AF134" s="628">
        <f>IFERROR($AC134*$AE134/$AD134,0)</f>
        <v>0</v>
      </c>
      <c r="AG134" s="629" cm="1">
        <f t="array" ref="AG134">IF(($J134+$V134+$AF134)=0,0,INDEX(Premises!$A$30:$F$30,1,$CH134)/100)</f>
        <v>0</v>
      </c>
      <c r="AH134" s="414"/>
      <c r="AI134" s="415"/>
      <c r="AJ134" s="416"/>
      <c r="AK134" s="630">
        <f>IF(COUNTBLANK($AH134:$AI134),0,$AH134*$AI134*$AG134)</f>
        <v>0</v>
      </c>
      <c r="AL134" s="631">
        <f>($AK134+$AJ134*$AG134*(1-$AH134)+($J134+$V134+$AF134)*$AG134*(1-$AH134))</f>
        <v>0</v>
      </c>
      <c r="AM134" s="632" cm="1">
        <f t="array" ref="AM134">IF($CI134=0,0,IFERROR(INDEX(MHR[],$CI134,MATCH($CA134,MHR!$B$4:$AY$4,0)+11),0))</f>
        <v>0</v>
      </c>
      <c r="AN134" s="633" cm="1">
        <f t="array" ref="AN134">IF(($J134+$V134)=0,0,IFERROR(IF(INDEX(Premises!$A$41:$F$41,1,$CH134)&lt;&gt;0,INDEX(Premises!$A$41:$F$41,1,$CH134)/100,(IFERROR(($J134/$I134)*$AM134,0)/($V134+$J134+$R134+$AL134))),0))</f>
        <v>0</v>
      </c>
      <c r="AO134" s="634">
        <f>IF(($J134+$V134)=0,0,IF(IFERROR(($J134+$R134+$V134+$AL134)*$AN134,0)&lt;&gt;IFERROR(($J134/$I134)*$AM134,0),($J134+$R134+$V134+$AL134)*$AN134,IFERROR(($J134/$I134)*$AM134,0)))</f>
        <v>0</v>
      </c>
      <c r="AP134" s="635">
        <f>$V134+$J134+$R134+$AA134+$AF134+$AL134+$AO134</f>
        <v>0</v>
      </c>
      <c r="AQ134" s="410" t="str">
        <f>VLOOKUP($B133,BOM,5,0)</f>
        <v>Schraube M3x6</v>
      </c>
      <c r="AR134" s="409">
        <v>1</v>
      </c>
      <c r="AS134" s="636" t="str" cm="1">
        <f t="array" ref="AS134">IF($CJ134=0,0,IFERROR(INDEX(MAT[Einheit],$CJ134,1),0))</f>
        <v>Stk.</v>
      </c>
      <c r="AT134" s="637" cm="1">
        <f t="array" ref="AT134">IF($CJ134=0,0,IFERROR(INDEX(MAT[Preis],$CJ134,1),0))</f>
        <v>5.6639999999999998E-3</v>
      </c>
      <c r="AU134" s="638">
        <f>$AR134*$AT134</f>
        <v>5.6639999999999998E-3</v>
      </c>
      <c r="AV134" s="639" cm="1">
        <f t="array" ref="AV134">IF($AU134&lt;=0,0,INDEX(Premises!$A$30:$F$30,1,$CH134)/100)</f>
        <v>0.01</v>
      </c>
      <c r="AW134" s="409"/>
      <c r="AX134" s="631">
        <f>IF($AV134=0,0,($AU134+$AW134)*$AV134)</f>
        <v>5.664E-5</v>
      </c>
      <c r="AY134" s="640" cm="1">
        <f t="array" ref="AY134">IF($AT134&lt;=0,0,IFERROR(IF(INDEX(Premises!$A$42:$F$42,1,$CH134)&lt;&gt;0,INDEX(Premises!$A$42:$F$42,1,$CH134)/100,(INDEX(MAT[],$CJ134,MATCH($CA134,MAT!$B$4:$AE$4,0))/($AR134*$CK134*INDEX(Premises!$A$13:$F$13,1,$CH134))+INDEX(MAT[],$CJ134,MATCH($CA134,MAT!$B$4:$AE$4,0)+7))/$AT134),0))</f>
        <v>0</v>
      </c>
      <c r="AZ134" s="631">
        <f>IF($AY134=0,0,($AU134+$AX134)*$AY134)</f>
        <v>0</v>
      </c>
      <c r="BA134" s="635">
        <f>$AU134+$AX134+$AZ134</f>
        <v>5.7206399999999999E-3</v>
      </c>
      <c r="BB134" s="635">
        <f>$AP134+$BA134</f>
        <v>5.7206399999999999E-3</v>
      </c>
      <c r="BC134" s="639" cm="1">
        <f t="array" ref="BC134">IF($BB134&lt;=0,0,IF(BC$2=-1,0,INDEX(Premises!$A$32:$F$32,1,$CH134)/100))</f>
        <v>0</v>
      </c>
      <c r="BD134" s="631">
        <f>IF($AP134&lt;=0,0,($AP134-$AA134-$AL134)*$BC134)</f>
        <v>0</v>
      </c>
      <c r="BE134" s="639" cm="1">
        <f t="array" ref="BE134">IF($BB134&lt;=0,0,IF(BE$2=-1,0,INDEX(Premises!$A$33:$F$33,1,$CH134)/100))</f>
        <v>0</v>
      </c>
      <c r="BF134" s="631">
        <f>IF($BA134&lt;=0,0,$BA134*$BE134)</f>
        <v>0</v>
      </c>
      <c r="BG134" s="639" cm="1">
        <f t="array" ref="BG134">IF($BB134&lt;=0,0,IF(BG$2=-1,0,INDEX(Premises!$A$31:$F$31,1,$CH134)/100))</f>
        <v>0.125</v>
      </c>
      <c r="BH134" s="631">
        <f>(($AP134-$AA134-$AL134)+$BA134)*$BG134</f>
        <v>7.1507999999999999E-4</v>
      </c>
      <c r="BI134" s="635">
        <f>$BB134+$BD134+$BF134+$BH134</f>
        <v>6.4357199999999998E-3</v>
      </c>
      <c r="BJ134" s="639" cm="1">
        <f t="array" ref="BJ134">IF($BB134&lt;=0,0,IF(BJ$2=-1,0,INDEX(Premises!$A$35:$F$35,1,$CH134)/100))</f>
        <v>0</v>
      </c>
      <c r="BK134" s="631">
        <f>IF($AP134&lt;=0,0,($AP134-$AL134-$AA134)*$BJ134)</f>
        <v>0</v>
      </c>
      <c r="BL134" s="639" cm="1">
        <f t="array" ref="BL134">IF($BB134&lt;=0,0,IF(BL$2=-1,0,INDEX(Premises!$A$36:$F$36,1,$CH134)/100))</f>
        <v>0</v>
      </c>
      <c r="BM134" s="631">
        <f>IF($AU134&lt;=0,0,($AR134*$AT134)*$BL134)</f>
        <v>0</v>
      </c>
      <c r="BN134" s="639" cm="1">
        <f t="array" ref="BN134">IF($BB134&lt;=0,0,IF(BN$2=-1,0,INDEX(Premises!$A$34:$F$34,1,$CH134)/100))</f>
        <v>0.06</v>
      </c>
      <c r="BO134" s="631">
        <f>(($AP134-$AL134-$AA134)+($AR134*$AT134))*$BN134</f>
        <v>3.3984E-4</v>
      </c>
      <c r="BP134" s="639" cm="1">
        <f t="array" ref="BP134">IF($BI134=0,0,INDEX(Premises!$A$37:$F$37,1,$CH134)/100)</f>
        <v>0</v>
      </c>
      <c r="BQ134" s="409"/>
      <c r="BR134" s="631">
        <f>($BI134+$BK134+$BM134+$BO134)*$BP134+$BQ134</f>
        <v>0</v>
      </c>
      <c r="BS134" s="641">
        <f>BI134+BK134+BM134+BO134+BR134</f>
        <v>6.7755599999999999E-3</v>
      </c>
      <c r="BT134" s="641">
        <f>IF($BS134=0,0,$CK134*$BS134)</f>
        <v>6.7755599999999999E-3</v>
      </c>
      <c r="BU134" s="642">
        <f>IF($BT134=0,0,MAX(1,$EB134/$DP134))</f>
        <v>1</v>
      </c>
      <c r="BV134" s="417"/>
      <c r="BW134" s="418"/>
      <c r="BX134" s="418"/>
      <c r="BY134" s="419"/>
      <c r="BZ134" s="968"/>
      <c r="CA134" s="280" cm="1">
        <f t="array" ref="CA134">IF($BZ134&gt;0,VALUE(LEFT($BZ134,IF(ISERROR(FIND("-",$BZ134)),LEN($BZ134),FIND("-",$BZ134)-1))),INDEX($CA$1:$CA134,MAX(1,$CD134)))</f>
        <v>1</v>
      </c>
      <c r="CB134" s="280" cm="1">
        <f t="array" ref="CB134">IF($BT134=0,0,IF(LEN($BZ134)-LEN(SUBSTITUTE($BZ134,"-",""))&gt;1,
VALUE(MID($BZ134,FIND("-",$BZ134)+1,FIND("-",$BZ134,FIND("-",$BZ134)+1)-FIND("-",$BZ134)-1)),IF($BZ134&gt;0,0,INDEX($CB$1:$CB134,MAX(1,$CD134)))))</f>
        <v>0</v>
      </c>
      <c r="CC134" s="280" cm="1">
        <f t="array" ref="CC134">IF($BT134=0,0,IF(NOT(ISERROR(FIND("-",BZ134))),
VALUE(RIGHT($BZ134,LEN($BZ134)-IF(LEN($BZ134)-LEN(SUBSTITUTE($BZ134,"-",""))=1,FIND("-",$BZ134),FIND("-",$BZ134,FIND("-",$BZ134)+1)))),
IF($BZ134&gt;0,0,INDEX($CC$1:$CC134,MAX(1,$CD134)))))</f>
        <v>0</v>
      </c>
      <c r="CD134" s="393">
        <f>MATCH(0,$CE$1:$CE134,-1)</f>
        <v>133</v>
      </c>
      <c r="CE134" s="280"/>
      <c r="CF134" s="394"/>
      <c r="CG134" s="393" cm="1">
        <f t="array" ref="CG134">INDEX($CG$1:$CG134,$CD134)</f>
        <v>17</v>
      </c>
      <c r="CH134" s="280">
        <f>MATCH($CA134,Premises!$A$10:$F$10,0)</f>
        <v>4</v>
      </c>
      <c r="CI134" s="280">
        <f>IF(ISBLANK($E134),0,IFERROR(MATCH($E134,MHR[Bezeichnung],0),0))</f>
        <v>0</v>
      </c>
      <c r="CJ134" s="394">
        <f>IF(ISBLANK($AQ134),0,IFERROR(MATCH($AQ134,MAT[Bezeichnung],0),0))</f>
        <v>5</v>
      </c>
      <c r="CK134" s="280" cm="1">
        <f t="array" ref="CK134">INDEX($D$1:$D134,$CD134)</f>
        <v>1</v>
      </c>
      <c r="CL134" s="280"/>
      <c r="CM134" s="395"/>
      <c r="CN134" s="396" cm="1">
        <f t="array" ref="CN134">IF($CB134=0,0,IF($CB134=INDEX($CB$1:$CB134,$CD134),INDEX($CN$1:$CN134,$CD134),$CP134))</f>
        <v>0</v>
      </c>
      <c r="CO134" s="395"/>
      <c r="CP134" s="396" cm="1">
        <f t="array" ref="CP134">IF($CC134=0,0,INDEX($CP$1:$CP134,$CD134))</f>
        <v>0</v>
      </c>
      <c r="CQ134" s="397"/>
      <c r="CR134" s="398"/>
      <c r="CS134" s="398"/>
      <c r="CT134" s="970"/>
      <c r="CU134" s="2"/>
      <c r="CV134" s="647">
        <f>$J134*$CK134</f>
        <v>0</v>
      </c>
      <c r="CW134" s="648">
        <f>$R134*$CK134</f>
        <v>0</v>
      </c>
      <c r="CX134" s="648">
        <f>$V134*$CK134</f>
        <v>0</v>
      </c>
      <c r="CY134" s="648">
        <f>$AA134*$CK134</f>
        <v>0</v>
      </c>
      <c r="CZ134" s="648">
        <f>$AF134*$CK134</f>
        <v>0</v>
      </c>
      <c r="DA134" s="648">
        <f>$AL134*$CK134</f>
        <v>0</v>
      </c>
      <c r="DB134" s="648">
        <f>$AO134*$CK134</f>
        <v>0</v>
      </c>
      <c r="DC134" s="649">
        <f>$AP134*$CK134</f>
        <v>0</v>
      </c>
      <c r="DD134" s="648">
        <f>$AU134*$CK134</f>
        <v>5.6639999999999998E-3</v>
      </c>
      <c r="DE134" s="648">
        <f>$AX134*$CK134</f>
        <v>5.664E-5</v>
      </c>
      <c r="DF134" s="648">
        <f>$AZ134*$CK134</f>
        <v>0</v>
      </c>
      <c r="DG134" s="649">
        <f>$BA134*$CK134</f>
        <v>5.7206399999999999E-3</v>
      </c>
      <c r="DH134" s="649">
        <f>$BB134*$CK134</f>
        <v>5.7206399999999999E-3</v>
      </c>
      <c r="DI134" s="648">
        <f>$BD134*$CK134</f>
        <v>0</v>
      </c>
      <c r="DJ134" s="648">
        <f>$BF134*$CK134</f>
        <v>0</v>
      </c>
      <c r="DK134" s="648">
        <f>$BH134*$CK134</f>
        <v>7.1507999999999999E-4</v>
      </c>
      <c r="DL134" s="648">
        <f>$BK134*$CK134</f>
        <v>0</v>
      </c>
      <c r="DM134" s="648">
        <f>$BM134*$CK134</f>
        <v>0</v>
      </c>
      <c r="DN134" s="648">
        <f>$BO134*$CK134</f>
        <v>3.3984E-4</v>
      </c>
      <c r="DO134" s="648">
        <f>$BR134*$CK134</f>
        <v>0</v>
      </c>
      <c r="DP134" s="651">
        <f>$CK134*($BB134+$BD134+$BF134+$BH134+$BK134+$BM134+$BO134+$BR134)</f>
        <v>6.7755599999999999E-3</v>
      </c>
      <c r="DQ134" s="951">
        <f>IF($CB134=0,0,$DP134*_xlfn.XLOOKUP($CB134,Premises!$A$10:$F$10,Premises!$A$30:$F$30)/100)</f>
        <v>0</v>
      </c>
      <c r="DR134" s="650">
        <f>IFERROR(SUM($DP134:$DQ134)*IF(INDEX(Premises!$A$42:$F$42,1,MATCH($CB134,Premises!$A$10:$F$10,0))&gt;0,INDEX(Premises!$A$42:$F$42,1,MATCH($CB134,Premises!$A$10:$F$10,0))%,$CN134),0)</f>
        <v>0</v>
      </c>
      <c r="DS134" s="650" cm="1">
        <f t="array" ref="DS134">IF($CB134=0,0,SUM($DP134:$DR134)*_xlfn.XLOOKUP($CB134,Premises!$A$10:$F$10,IF(INDEX(Settings[],MATCH(3001,Settings[ID],0),2)="B",Premises!$A$33:$F$33,Premises!$A$31:$F$31))/100)</f>
        <v>0</v>
      </c>
      <c r="DT134" s="650" cm="1">
        <f t="array" ref="DT134">IF($CB134=0,0,$DP134*_xlfn.XLOOKUP($CB134,Premises!$A$10:$F$10,IF(INDEX(Settings[],MATCH(3002,Settings[ID],0),2)="B",Premises!$A$36:$F$36,Premises!$A$34:$F$34))/100)</f>
        <v>0</v>
      </c>
      <c r="DU134" s="650">
        <f>IF($CB134=0,0,SUM($DP134:$DT134)*_xlfn.XLOOKUP($CB134,Premises!$A$10:$F$10,Premises!$A$37:$F$37)/100)</f>
        <v>0</v>
      </c>
      <c r="DV134" s="954">
        <f>SUM($DP134:$DU134)</f>
        <v>6.7755599999999999E-3</v>
      </c>
      <c r="DW134" s="951">
        <f>IF($CC134=0,0,$DV134*_xlfn.XLOOKUP($CC134,Premises!$A$10:$F$10,Premises!$A$30:$F$30)/100)</f>
        <v>0</v>
      </c>
      <c r="DX134" s="650">
        <f>IFERROR(SUM($DV134:$DW134)*IF(INDEX(Premises!$A$42:$F$42,1,MATCH($CC134,Premises!$A$10:$F$10,0))&gt;0,INDEX(Premises!$A$42:$F$42,1,MATCH($CC134,Premises!$A$10:$F$10,0))%,$CP134),0)</f>
        <v>0</v>
      </c>
      <c r="DY134" s="650" cm="1">
        <f t="array" ref="DY134">IF($CC134=0,0,SUM($DV134:$DX134)*_xlfn.XLOOKUP($CC134,Premises!$A$10:$F$10,IF(INDEX(Settings[],MATCH(3001,Settings[ID],0),2)="B",Premises!$A$33:$F$33,Premises!$A$31:$F$31))/100)</f>
        <v>0</v>
      </c>
      <c r="DZ134" s="650" cm="1">
        <f t="array" ref="DZ134">IF($CC134=0,0,$DV134*_xlfn.XLOOKUP($CC134,Premises!$A$10:$F$10,IF(INDEX(Settings[],MATCH(3002,Settings[ID],0),2)="B",Premises!$A$36:$F$36,Premises!$A$34:$F$34))/100)</f>
        <v>0</v>
      </c>
      <c r="EA134" s="650">
        <f>IF($CC134=0,0,SUM($DV134:$DZ134)*_xlfn.XLOOKUP($CC134,Premises!$A$10:$F$10,Premises!$A$37:$F$37)/100)</f>
        <v>0</v>
      </c>
      <c r="EB134" s="651">
        <f>SUM($DV134:$EA134)</f>
        <v>6.7755599999999999E-3</v>
      </c>
      <c r="EC134" s="805"/>
      <c r="ED134" s="1104"/>
      <c r="EE134" s="650"/>
      <c r="EF134" s="1110"/>
      <c r="EG134" s="1108"/>
      <c r="EH134" s="1108"/>
      <c r="EI134" s="1108"/>
      <c r="EJ134" s="1108"/>
      <c r="EK134" s="1108"/>
      <c r="EL134" s="1108"/>
      <c r="EM134" s="1110"/>
      <c r="EN134" s="1108"/>
      <c r="EO134" s="1108"/>
      <c r="EP134" s="1108"/>
      <c r="EQ134" s="1108"/>
      <c r="ER134" s="1110"/>
      <c r="ES134" s="1108"/>
      <c r="ET134" s="1108"/>
      <c r="EU134" s="1108"/>
      <c r="EV134" s="1108"/>
      <c r="EW134" s="1108"/>
      <c r="EX134" s="1111"/>
      <c r="EY134" s="2"/>
      <c r="EZ134" s="2"/>
      <c r="FA134" s="2"/>
      <c r="FB134" s="2"/>
      <c r="FC134" s="2"/>
      <c r="FD134" s="2"/>
      <c r="FE134" s="2"/>
      <c r="FF134" s="2"/>
      <c r="FG134" s="2"/>
      <c r="FH134" s="2"/>
      <c r="FI134" s="2"/>
      <c r="FJ134" s="420"/>
      <c r="FK134" s="421"/>
      <c r="FL134" s="422"/>
      <c r="FM134" s="970"/>
    </row>
    <row r="135" spans="1:169" s="13" customFormat="1" ht="12.75" customHeight="1">
      <c r="A135" s="221"/>
      <c r="B135" s="402"/>
      <c r="C135" s="403"/>
      <c r="D135" s="646"/>
      <c r="E135" s="404"/>
      <c r="F135" s="405"/>
      <c r="G135" s="405"/>
      <c r="H135" s="405"/>
      <c r="I135" s="637" cm="1">
        <f t="array" ref="I135">IF($CI135=0,0,IFERROR(INDEX(MHR[],$CI135,MATCH($CA135,MHR!$B$4:$AY$4,0)),0))</f>
        <v>0</v>
      </c>
      <c r="J135" s="634">
        <f>IF(COUNTBLANK($E135:$H135),0,IFERROR($F135/$H135/IF($G135="s",3600,IF($G135="min",60,IF($G135="h",1,0)))*I135,0))</f>
        <v>0</v>
      </c>
      <c r="K135" s="406"/>
      <c r="L135" s="407"/>
      <c r="M135" s="871"/>
      <c r="N135" s="407"/>
      <c r="O135" s="405"/>
      <c r="P135" s="645" cm="1">
        <f t="array" ref="P135">IF($K135=0,0,IFERROR(ROUNDUP(IF(ISNUMBER($K135),$K135,INDEX($D$1:$D135,$CD135)*INDEX(Premises!$A$13:$F$13,1,$CH135)/IF(OR($K135="T",$K135="D"),250,IF($K135="W",50,IF($K135="M",12,IF(OR($K135="HJ",$K135="HY"),2,IF(OR($K135="J",$K135="Y"),1,0)))))),0),0))</f>
        <v>0</v>
      </c>
      <c r="Q135" s="637" cm="1">
        <f t="array" ref="Q135">IF($K135=0,0,IFERROR(INDEX(Premises!$A$22:$F$22,1,$CH135)*100/INDEX(Premises!$A$16:$F$16,1,$CH135),0))</f>
        <v>0</v>
      </c>
      <c r="R135" s="634">
        <f>IF($P135=0,0,IFERROR(($L135/60*($I135+$Q135*$M135)+($N135/60*($Q135*$O135)))/$P135,0))</f>
        <v>0</v>
      </c>
      <c r="S135" s="408"/>
      <c r="T135" s="409"/>
      <c r="U135" s="637" cm="1">
        <f t="array" ref="U135">IF(COUNTBLANK($S135:$T135),0,
IF(AND(INDEX(MHR[Schichtmodell],$CI135)&lt;&gt;0,INDEX(MHR[Schichtmodell],$CI135)&lt;&gt;INDEX(Premises!$A$20:$F$20,1,$CH135)),ExchangeRate*
IF(OR($T135="M",$T135="U"),IF(INDEX(MHR[Schichtmodell],$CI135)=1,INDEX(LOC[M1S],INDEX(Premises!$A$18:$F$18,1,$CH135+1)),IF(INDEX(MHR[Schichtmodell],$CI135)=2,INDEX(LOC[M2S],INDEX(Premises!$A$18:$F$18,1,$CH135+1),IF(INDEX(MHR[Schichtmodell],$CI135)=3,INDEX(LOC[M3S],INDEX(Premises!$A$18:$F$18,1,$CH135+1)),0)))),
IF(INDEX(MHR[Schichtmodell],$CI135)=1,INDEX(LOC[F1S],INDEX(Premises!$A$18:$F$18,1,$CH135+1)),IF(INDEX(MHR[Schichtmodell],$CI135)=2,INDEX(LOC[F2S],INDEX(Premises!$A$18:$F$18,1,$CH135+1)),IF(INDEX(MHR[Schichtmodell],$CI135)=3,INDEX(LOC[F3S],INDEX(Premises!$A$18:$F$18,1,$CH135+1)),0)))),
IF(OR($T135="M",$T135="U"),INDEX(Premises!$A$21:$F$21,1,$CH135),
IF(OR($T135="F",$T135="S"),INDEX(Premises!$A$22:$F$22,1,$CH135),0)))*100/INDEX(Premises!$A$16:$F$16,1,$CH135))</f>
        <v>0</v>
      </c>
      <c r="V135" s="631">
        <f>IF($U135=0,0,IFERROR($F135/$H135/IF($G135="s",3600,IF($G135="min",60,IF($G135="h",1,0)))*$S135*$U135,0))</f>
        <v>0</v>
      </c>
      <c r="W135" s="410"/>
      <c r="X135" s="403"/>
      <c r="Y135" s="411"/>
      <c r="Z135" s="412"/>
      <c r="AA135" s="628">
        <f>IFERROR($X135*$Z135/$Y135/MAX(1,$H135),0)</f>
        <v>0</v>
      </c>
      <c r="AB135" s="410"/>
      <c r="AC135" s="403"/>
      <c r="AD135" s="411"/>
      <c r="AE135" s="413"/>
      <c r="AF135" s="628">
        <f>IFERROR($AC135*$AE135/$AD135,0)</f>
        <v>0</v>
      </c>
      <c r="AG135" s="629" cm="1">
        <f t="array" ref="AG135">IF(($J135+$V135+$AF135)=0,0,INDEX(Premises!$A$30:$F$30,1,$CH135)/100)</f>
        <v>0</v>
      </c>
      <c r="AH135" s="414"/>
      <c r="AI135" s="415"/>
      <c r="AJ135" s="416"/>
      <c r="AK135" s="630">
        <f>IF(COUNTBLANK($AH135:$AI135),0,$AH135*$AI135*$AG135)</f>
        <v>0</v>
      </c>
      <c r="AL135" s="631">
        <f>($AK135+$AJ135*$AG135*(1-$AH135)+($J135+$V135+$AF135)*$AG135*(1-$AH135))</f>
        <v>0</v>
      </c>
      <c r="AM135" s="632" cm="1">
        <f t="array" ref="AM135">IF($CI135=0,0,IFERROR(INDEX(MHR[],$CI135,MATCH($CA135,MHR!$B$4:$AY$4,0)+11),0))</f>
        <v>0</v>
      </c>
      <c r="AN135" s="633" cm="1">
        <f t="array" ref="AN135">IF(($J135+$V135)=0,0,IFERROR(IF(INDEX(Premises!$A$41:$F$41,1,$CH135)&lt;&gt;0,INDEX(Premises!$A$41:$F$41,1,$CH135)/100,(IFERROR(($J135/$I135)*$AM135,0)/($V135+$J135+$R135+$AL135))),0))</f>
        <v>0</v>
      </c>
      <c r="AO135" s="634">
        <f>IF(($J135+$V135)=0,0,IF(IFERROR(($J135+$R135+$V135+$AL135)*$AN135,0)&lt;&gt;IFERROR(($J135/$I135)*$AM135,0),($J135+$R135+$V135+$AL135)*$AN135,IFERROR(($J135/$I135)*$AM135,0)))</f>
        <v>0</v>
      </c>
      <c r="AP135" s="635">
        <f>$V135+$J135+$R135+$AA135+$AF135+$AL135+$AO135</f>
        <v>0</v>
      </c>
      <c r="AQ135" s="410"/>
      <c r="AR135" s="409"/>
      <c r="AS135" s="636" cm="1">
        <f t="array" ref="AS135">IF($CJ135=0,0,IFERROR(INDEX(MAT[Einheit],$CJ135,1),0))</f>
        <v>0</v>
      </c>
      <c r="AT135" s="637" cm="1">
        <f t="array" ref="AT135">IF($CJ135=0,0,IFERROR(INDEX(MAT[Preis],$CJ135,1),0))</f>
        <v>0</v>
      </c>
      <c r="AU135" s="638">
        <f>$AR135*$AT135</f>
        <v>0</v>
      </c>
      <c r="AV135" s="639" cm="1">
        <f t="array" ref="AV135">IF($AU135&lt;=0,0,INDEX(Premises!$A$30:$F$30,1,$CH135)/100)</f>
        <v>0</v>
      </c>
      <c r="AW135" s="409"/>
      <c r="AX135" s="631">
        <f>IF($AV135=0,0,($AU135+$AW135)*$AV135)</f>
        <v>0</v>
      </c>
      <c r="AY135" s="640" cm="1">
        <f t="array" ref="AY135">IF($AT135&lt;=0,0,IFERROR(IF(INDEX(Premises!$A$42:$F$42,1,$CH135)&lt;&gt;0,INDEX(Premises!$A$42:$F$42,1,$CH135)/100,(INDEX(MAT[],$CJ135,MATCH($CA135,MAT!$B$4:$AE$4,0))/($AR135*$CK135*INDEX(Premises!$A$13:$F$13,1,$CH135))+INDEX(MAT[],$CJ135,MATCH($CA135,MAT!$B$4:$AE$4,0)+7))/$AT135),0))</f>
        <v>0</v>
      </c>
      <c r="AZ135" s="631">
        <f>IF($AY135=0,0,($AU135+$AX135)*$AY135)</f>
        <v>0</v>
      </c>
      <c r="BA135" s="635">
        <f>$AU135+$AX135+$AZ135</f>
        <v>0</v>
      </c>
      <c r="BB135" s="635">
        <f>$AP135+$BA135</f>
        <v>0</v>
      </c>
      <c r="BC135" s="639" cm="1">
        <f t="array" ref="BC135">IF($BB135&lt;=0,0,IF(BC$2=-1,0,INDEX(Premises!$A$32:$F$32,1,$CH135)/100))</f>
        <v>0</v>
      </c>
      <c r="BD135" s="631">
        <f>IF($AP135&lt;=0,0,($AP135-$AA135-$AL135)*$BC135)</f>
        <v>0</v>
      </c>
      <c r="BE135" s="639" cm="1">
        <f t="array" ref="BE135">IF($BB135&lt;=0,0,IF(BE$2=-1,0,INDEX(Premises!$A$33:$F$33,1,$CH135)/100))</f>
        <v>0</v>
      </c>
      <c r="BF135" s="631">
        <f>IF($BA135&lt;=0,0,$BA135*$BE135)</f>
        <v>0</v>
      </c>
      <c r="BG135" s="639" cm="1">
        <f t="array" ref="BG135">IF($BB135&lt;=0,0,IF(BG$2=-1,0,INDEX(Premises!$A$31:$F$31,1,$CH135)/100))</f>
        <v>0</v>
      </c>
      <c r="BH135" s="631">
        <f>(($AP135-$AA135-$AL135)+$BA135)*$BG135</f>
        <v>0</v>
      </c>
      <c r="BI135" s="635">
        <f>$BB135+$BD135+$BF135+$BH135</f>
        <v>0</v>
      </c>
      <c r="BJ135" s="639" cm="1">
        <f t="array" ref="BJ135">IF($BB135&lt;=0,0,IF(BJ$2=-1,0,INDEX(Premises!$A$35:$F$35,1,$CH135)/100))</f>
        <v>0</v>
      </c>
      <c r="BK135" s="631">
        <f>IF($AP135&lt;=0,0,($AP135-$AL135-$AA135)*$BJ135)</f>
        <v>0</v>
      </c>
      <c r="BL135" s="639" cm="1">
        <f t="array" ref="BL135">IF($BB135&lt;=0,0,IF(BL$2=-1,0,INDEX(Premises!$A$36:$F$36,1,$CH135)/100))</f>
        <v>0</v>
      </c>
      <c r="BM135" s="631">
        <f>IF($AU135&lt;=0,0,($AR135*$AT135)*$BL135)</f>
        <v>0</v>
      </c>
      <c r="BN135" s="639" cm="1">
        <f t="array" ref="BN135">IF($BB135&lt;=0,0,IF(BN$2=-1,0,INDEX(Premises!$A$34:$F$34,1,$CH135)/100))</f>
        <v>0</v>
      </c>
      <c r="BO135" s="631">
        <f>(($AP135-$AL135-$AA135)+($AR135*$AT135))*$BN135</f>
        <v>0</v>
      </c>
      <c r="BP135" s="639" cm="1">
        <f t="array" ref="BP135">IF($BI135=0,0,INDEX(Premises!$A$37:$F$37,1,$CH135)/100)</f>
        <v>0</v>
      </c>
      <c r="BQ135" s="409"/>
      <c r="BR135" s="631">
        <f>($BI135+$BK135+$BM135+$BO135)*$BP135+$BQ135</f>
        <v>0</v>
      </c>
      <c r="BS135" s="641">
        <f>BI135+BK135+BM135+BO135+BR135</f>
        <v>0</v>
      </c>
      <c r="BT135" s="641">
        <f>IF($BS135=0,0,$CK135*$BS135)</f>
        <v>0</v>
      </c>
      <c r="BU135" s="642">
        <f>IF($BT135=0,0,MAX(1,$EB135/$DP135))</f>
        <v>0</v>
      </c>
      <c r="BV135" s="417"/>
      <c r="BW135" s="418"/>
      <c r="BX135" s="418"/>
      <c r="BY135" s="419"/>
      <c r="BZ135" s="968"/>
      <c r="CA135" s="280" cm="1">
        <f t="array" ref="CA135">IF($BZ135&gt;0,VALUE(LEFT($BZ135,IF(ISERROR(FIND("-",$BZ135)),LEN($BZ135),FIND("-",$BZ135)-1))),INDEX($CA$1:$CA135,MAX(1,$CD135)))</f>
        <v>1</v>
      </c>
      <c r="CB135" s="280" cm="1">
        <f t="array" ref="CB135">IF($BT135=0,0,IF(LEN($BZ135)-LEN(SUBSTITUTE($BZ135,"-",""))&gt;1,
VALUE(MID($BZ135,FIND("-",$BZ135)+1,FIND("-",$BZ135,FIND("-",$BZ135)+1)-FIND("-",$BZ135)-1)),IF($BZ135&gt;0,0,INDEX($CB$1:$CB135,MAX(1,$CD135)))))</f>
        <v>0</v>
      </c>
      <c r="CC135" s="280" cm="1">
        <f t="array" ref="CC135">IF($BT135=0,0,IF(NOT(ISERROR(FIND("-",BZ135))),
VALUE(RIGHT($BZ135,LEN($BZ135)-IF(LEN($BZ135)-LEN(SUBSTITUTE($BZ135,"-",""))=1,FIND("-",$BZ135),FIND("-",$BZ135,FIND("-",$BZ135)+1)))),
IF($BZ135&gt;0,0,INDEX($CC$1:$CC135,MAX(1,$CD135)))))</f>
        <v>0</v>
      </c>
      <c r="CD135" s="393">
        <f>MATCH(0,$CE$1:$CE135,-1)</f>
        <v>133</v>
      </c>
      <c r="CE135" s="280"/>
      <c r="CF135" s="394"/>
      <c r="CG135" s="393" cm="1">
        <f t="array" ref="CG135">INDEX($CG$1:$CG135,$CD135)</f>
        <v>17</v>
      </c>
      <c r="CH135" s="280">
        <f>MATCH($CA135,Premises!$A$10:$F$10,0)</f>
        <v>4</v>
      </c>
      <c r="CI135" s="280">
        <f>IF(ISBLANK($E135),0,IFERROR(MATCH($E135,MHR[Bezeichnung],0),0))</f>
        <v>0</v>
      </c>
      <c r="CJ135" s="394">
        <f>IF(ISBLANK($AQ135),0,IFERROR(MATCH($AQ135,MAT[Bezeichnung],0),0))</f>
        <v>0</v>
      </c>
      <c r="CK135" s="280" cm="1">
        <f t="array" ref="CK135">INDEX($D$1:$D135,$CD135)</f>
        <v>1</v>
      </c>
      <c r="CL135" s="280"/>
      <c r="CM135" s="395"/>
      <c r="CN135" s="396" cm="1">
        <f t="array" ref="CN135">IF($CB135=0,0,IF($CB135=INDEX($CB$1:$CB135,$CD135),INDEX($CN$1:$CN135,$CD135),$CP135))</f>
        <v>0</v>
      </c>
      <c r="CO135" s="395"/>
      <c r="CP135" s="396" cm="1">
        <f t="array" ref="CP135">IF($CC135=0,0,INDEX($CP$1:$CP135,$CD135))</f>
        <v>0</v>
      </c>
      <c r="CQ135" s="397"/>
      <c r="CR135" s="398"/>
      <c r="CS135" s="398"/>
      <c r="CT135" s="970"/>
      <c r="CU135" s="2"/>
      <c r="CV135" s="647">
        <f>$J135*$CK135</f>
        <v>0</v>
      </c>
      <c r="CW135" s="648">
        <f>$R135*$CK135</f>
        <v>0</v>
      </c>
      <c r="CX135" s="648">
        <f>$V135*$CK135</f>
        <v>0</v>
      </c>
      <c r="CY135" s="648">
        <f>$AA135*$CK135</f>
        <v>0</v>
      </c>
      <c r="CZ135" s="648">
        <f>$AF135*$CK135</f>
        <v>0</v>
      </c>
      <c r="DA135" s="648">
        <f>$AL135*$CK135</f>
        <v>0</v>
      </c>
      <c r="DB135" s="648">
        <f>$AO135*$CK135</f>
        <v>0</v>
      </c>
      <c r="DC135" s="649">
        <f>$AP135*$CK135</f>
        <v>0</v>
      </c>
      <c r="DD135" s="648">
        <f>$AU135*$CK135</f>
        <v>0</v>
      </c>
      <c r="DE135" s="648">
        <f>$AX135*$CK135</f>
        <v>0</v>
      </c>
      <c r="DF135" s="648">
        <f>$AZ135*$CK135</f>
        <v>0</v>
      </c>
      <c r="DG135" s="649">
        <f>$BA135*$CK135</f>
        <v>0</v>
      </c>
      <c r="DH135" s="649">
        <f>$BB135*$CK135</f>
        <v>0</v>
      </c>
      <c r="DI135" s="648">
        <f>$BD135*$CK135</f>
        <v>0</v>
      </c>
      <c r="DJ135" s="648">
        <f>$BF135*$CK135</f>
        <v>0</v>
      </c>
      <c r="DK135" s="648">
        <f>$BH135*$CK135</f>
        <v>0</v>
      </c>
      <c r="DL135" s="648">
        <f>$BK135*$CK135</f>
        <v>0</v>
      </c>
      <c r="DM135" s="648">
        <f>$BM135*$CK135</f>
        <v>0</v>
      </c>
      <c r="DN135" s="648">
        <f>$BO135*$CK135</f>
        <v>0</v>
      </c>
      <c r="DO135" s="648">
        <f>$BR135*$CK135</f>
        <v>0</v>
      </c>
      <c r="DP135" s="651">
        <f>$CK135*($BB135+$BD135+$BF135+$BH135+$BK135+$BM135+$BO135+$BR135)</f>
        <v>0</v>
      </c>
      <c r="DQ135" s="951">
        <f>IF($CB135=0,0,$DP135*_xlfn.XLOOKUP($CB135,Premises!$A$10:$F$10,Premises!$A$30:$F$30)/100)</f>
        <v>0</v>
      </c>
      <c r="DR135" s="650">
        <f>IFERROR(SUM($DP135:$DQ135)*IF(INDEX(Premises!$A$42:$F$42,1,MATCH($CB135,Premises!$A$10:$F$10,0))&gt;0,INDEX(Premises!$A$42:$F$42,1,MATCH($CB135,Premises!$A$10:$F$10,0))%,$CN135),0)</f>
        <v>0</v>
      </c>
      <c r="DS135" s="650" cm="1">
        <f t="array" ref="DS135">IF($CB135=0,0,SUM($DP135:$DR135)*_xlfn.XLOOKUP($CB135,Premises!$A$10:$F$10,IF(INDEX(Settings[],MATCH(3001,Settings[ID],0),2)="B",Premises!$A$33:$F$33,Premises!$A$31:$F$31))/100)</f>
        <v>0</v>
      </c>
      <c r="DT135" s="650" cm="1">
        <f t="array" ref="DT135">IF($CB135=0,0,$DP135*_xlfn.XLOOKUP($CB135,Premises!$A$10:$F$10,IF(INDEX(Settings[],MATCH(3002,Settings[ID],0),2)="B",Premises!$A$36:$F$36,Premises!$A$34:$F$34))/100)</f>
        <v>0</v>
      </c>
      <c r="DU135" s="650">
        <f>IF($CB135=0,0,SUM($DP135:$DT135)*_xlfn.XLOOKUP($CB135,Premises!$A$10:$F$10,Premises!$A$37:$F$37)/100)</f>
        <v>0</v>
      </c>
      <c r="DV135" s="954">
        <f>SUM($DP135:$DU135)</f>
        <v>0</v>
      </c>
      <c r="DW135" s="951">
        <f>IF($CC135=0,0,$DV135*_xlfn.XLOOKUP($CC135,Premises!$A$10:$F$10,Premises!$A$30:$F$30)/100)</f>
        <v>0</v>
      </c>
      <c r="DX135" s="650">
        <f>IFERROR(SUM($DV135:$DW135)*IF(INDEX(Premises!$A$42:$F$42,1,MATCH($CC135,Premises!$A$10:$F$10,0))&gt;0,INDEX(Premises!$A$42:$F$42,1,MATCH($CC135,Premises!$A$10:$F$10,0))%,$CP135),0)</f>
        <v>0</v>
      </c>
      <c r="DY135" s="650" cm="1">
        <f t="array" ref="DY135">IF($CC135=0,0,SUM($DV135:$DX135)*_xlfn.XLOOKUP($CC135,Premises!$A$10:$F$10,IF(INDEX(Settings[],MATCH(3001,Settings[ID],0),2)="B",Premises!$A$33:$F$33,Premises!$A$31:$F$31))/100)</f>
        <v>0</v>
      </c>
      <c r="DZ135" s="650" cm="1">
        <f t="array" ref="DZ135">IF($CC135=0,0,$DV135*_xlfn.XLOOKUP($CC135,Premises!$A$10:$F$10,IF(INDEX(Settings[],MATCH(3002,Settings[ID],0),2)="B",Premises!$A$36:$F$36,Premises!$A$34:$F$34))/100)</f>
        <v>0</v>
      </c>
      <c r="EA135" s="650">
        <f>IF($CC135=0,0,SUM($DV135:$DZ135)*_xlfn.XLOOKUP($CC135,Premises!$A$10:$F$10,Premises!$A$37:$F$37)/100)</f>
        <v>0</v>
      </c>
      <c r="EB135" s="651">
        <f>SUM($DV135:$EA135)</f>
        <v>0</v>
      </c>
      <c r="EC135" s="805"/>
      <c r="ED135" s="1104"/>
      <c r="EE135" s="650"/>
      <c r="EF135" s="1110"/>
      <c r="EG135" s="1108"/>
      <c r="EH135" s="1108"/>
      <c r="EI135" s="1108"/>
      <c r="EJ135" s="1108"/>
      <c r="EK135" s="1108"/>
      <c r="EL135" s="1108"/>
      <c r="EM135" s="1110"/>
      <c r="EN135" s="1108"/>
      <c r="EO135" s="1108"/>
      <c r="EP135" s="1108"/>
      <c r="EQ135" s="1108"/>
      <c r="ER135" s="1110"/>
      <c r="ES135" s="1108"/>
      <c r="ET135" s="1108"/>
      <c r="EU135" s="1108"/>
      <c r="EV135" s="1108"/>
      <c r="EW135" s="1108"/>
      <c r="EX135" s="1111"/>
      <c r="EY135" s="2"/>
      <c r="EZ135" s="2"/>
      <c r="FA135" s="2"/>
      <c r="FB135" s="2"/>
      <c r="FC135" s="2"/>
      <c r="FD135" s="2"/>
      <c r="FE135" s="2"/>
      <c r="FF135" s="2"/>
      <c r="FG135" s="2"/>
      <c r="FH135" s="2"/>
      <c r="FI135" s="2"/>
      <c r="FJ135" s="420"/>
      <c r="FK135" s="421"/>
      <c r="FL135" s="422"/>
      <c r="FM135" s="970"/>
    </row>
    <row r="136" spans="1:169" s="13" customFormat="1" ht="12.75" customHeight="1">
      <c r="A136" s="221"/>
      <c r="B136" s="387" t="str">
        <f>BOM!$A$18</f>
        <v>01-01-03-11 Reflective foil Stamped</v>
      </c>
      <c r="C136" s="388"/>
      <c r="D136" s="389" cm="1">
        <f t="array" ref="D136">IF($CG136=0,0,INDEX(BOM!$N:$N,$CG136))</f>
        <v>1</v>
      </c>
      <c r="E136" s="644" t="s">
        <v>664</v>
      </c>
      <c r="F136" s="644" t="s">
        <v>664</v>
      </c>
      <c r="G136" s="644" t="s">
        <v>664</v>
      </c>
      <c r="H136" s="644" t="s">
        <v>664</v>
      </c>
      <c r="I136" s="644" t="s">
        <v>664</v>
      </c>
      <c r="J136" s="644" t="s">
        <v>664</v>
      </c>
      <c r="K136" s="644" t="s">
        <v>664</v>
      </c>
      <c r="L136" s="644" t="s">
        <v>664</v>
      </c>
      <c r="M136" s="644" t="s">
        <v>664</v>
      </c>
      <c r="N136" s="644" t="s">
        <v>664</v>
      </c>
      <c r="O136" s="644" t="s">
        <v>664</v>
      </c>
      <c r="P136" s="644" t="s">
        <v>664</v>
      </c>
      <c r="Q136" s="644" t="s">
        <v>664</v>
      </c>
      <c r="R136" s="644" t="s">
        <v>664</v>
      </c>
      <c r="S136" s="644" t="s">
        <v>664</v>
      </c>
      <c r="T136" s="644" t="s">
        <v>664</v>
      </c>
      <c r="U136" s="644" t="s">
        <v>664</v>
      </c>
      <c r="V136" s="644" t="s">
        <v>664</v>
      </c>
      <c r="W136" s="644" t="s">
        <v>664</v>
      </c>
      <c r="X136" s="644" t="s">
        <v>664</v>
      </c>
      <c r="Y136" s="644" t="s">
        <v>664</v>
      </c>
      <c r="Z136" s="644" t="s">
        <v>664</v>
      </c>
      <c r="AA136" s="644" t="s">
        <v>664</v>
      </c>
      <c r="AB136" s="644" t="s">
        <v>664</v>
      </c>
      <c r="AC136" s="644" t="s">
        <v>664</v>
      </c>
      <c r="AD136" s="644" t="s">
        <v>664</v>
      </c>
      <c r="AE136" s="644" t="s">
        <v>664</v>
      </c>
      <c r="AF136" s="644" t="s">
        <v>664</v>
      </c>
      <c r="AG136" s="644" t="s">
        <v>664</v>
      </c>
      <c r="AH136" s="644" t="s">
        <v>664</v>
      </c>
      <c r="AI136" s="644" t="s">
        <v>664</v>
      </c>
      <c r="AJ136" s="644" t="s">
        <v>664</v>
      </c>
      <c r="AK136" s="644" t="s">
        <v>664</v>
      </c>
      <c r="AL136" s="644" t="s">
        <v>664</v>
      </c>
      <c r="AM136" s="644" t="s">
        <v>664</v>
      </c>
      <c r="AN136" s="644" t="s">
        <v>664</v>
      </c>
      <c r="AO136" s="644" t="s">
        <v>664</v>
      </c>
      <c r="AP136" s="644" t="s">
        <v>664</v>
      </c>
      <c r="AQ136" s="644" t="s">
        <v>664</v>
      </c>
      <c r="AR136" s="644" t="s">
        <v>664</v>
      </c>
      <c r="AS136" s="644" t="s">
        <v>664</v>
      </c>
      <c r="AT136" s="644" t="s">
        <v>664</v>
      </c>
      <c r="AU136" s="644" t="s">
        <v>664</v>
      </c>
      <c r="AV136" s="644" t="s">
        <v>664</v>
      </c>
      <c r="AW136" s="644" t="s">
        <v>664</v>
      </c>
      <c r="AX136" s="644" t="s">
        <v>664</v>
      </c>
      <c r="AY136" s="644" t="s">
        <v>664</v>
      </c>
      <c r="AZ136" s="644" t="s">
        <v>664</v>
      </c>
      <c r="BA136" s="644" t="s">
        <v>664</v>
      </c>
      <c r="BB136" s="644" t="s">
        <v>664</v>
      </c>
      <c r="BC136" s="644" t="s">
        <v>664</v>
      </c>
      <c r="BD136" s="644" t="s">
        <v>664</v>
      </c>
      <c r="BE136" s="644" t="s">
        <v>664</v>
      </c>
      <c r="BF136" s="644" t="s">
        <v>664</v>
      </c>
      <c r="BG136" s="644" t="s">
        <v>664</v>
      </c>
      <c r="BH136" s="644" t="s">
        <v>664</v>
      </c>
      <c r="BI136" s="644" t="s">
        <v>664</v>
      </c>
      <c r="BJ136" s="644" t="s">
        <v>664</v>
      </c>
      <c r="BK136" s="644" t="s">
        <v>664</v>
      </c>
      <c r="BL136" s="644" t="s">
        <v>664</v>
      </c>
      <c r="BM136" s="644" t="s">
        <v>664</v>
      </c>
      <c r="BN136" s="644" t="s">
        <v>664</v>
      </c>
      <c r="BO136" s="644" t="s">
        <v>664</v>
      </c>
      <c r="BP136" s="644" t="s">
        <v>664</v>
      </c>
      <c r="BQ136" s="644" t="s">
        <v>664</v>
      </c>
      <c r="BR136" s="644" t="s">
        <v>664</v>
      </c>
      <c r="BS136" s="920">
        <f>SUM(INDEX($BS:$BS,ROW()+1):INDEX($BS:$BS,$CE136))</f>
        <v>6.2582299293082094E-2</v>
      </c>
      <c r="BT136" s="920">
        <f>SUM(INDEX($BT:$BT,ROW()+1):INDEX($BT:$BT,$CE136))</f>
        <v>6.2582299293082094E-2</v>
      </c>
      <c r="BU136" s="644" t="s">
        <v>664</v>
      </c>
      <c r="BV136" s="643">
        <f>SUMPRODUCT($BS136:INDEX($BS:$BS,$CE136),$BU136:INDEX($BU:$BU,$CE136))</f>
        <v>6.2582299293082094E-2</v>
      </c>
      <c r="BW136" s="390">
        <f>$D136*$BV136</f>
        <v>6.2582299293082094E-2</v>
      </c>
      <c r="BX136" s="816" cm="1">
        <f t="array" ref="BX136">IF($CG136=0,0,IF(INDEX(BOM!$P:$P,$CG136)=0,0,
SUMPRODUCT($BW136:INDEX($BW:$BW,IFERROR(ROW()+MATCH($CL136,INDEX($CL:$CL,ROW()+1):INDEX($CL:$CL,MAX($CE:$CE)),0)-1,MAX($CE:$CE))),
($CL136:INDEX($CL:$CL,IFERROR(ROW()+MATCH($CL136,INDEX($CL:$CL,ROW()+1):INDEX($CL:$CL,MAX($CE:$CE)),0)-1,MAX($CE:$CE)))&gt;=$CL136)*1)
))</f>
        <v>0</v>
      </c>
      <c r="BY136" s="391"/>
      <c r="BZ136" s="392" cm="1">
        <f t="array" ref="BZ136">IF($CG136=0,0,INDEX(BOM!$M:$M,$CG136))</f>
        <v>1</v>
      </c>
      <c r="CA136" s="280">
        <f>IF($BZ136&gt;0,VALUE(LEFT($BZ136,IF(ISERROR(FIND("-",$BZ136)),LEN($BZ136),FIND("-",$BZ136)-1))),INDEX($BZ$1:BZ136,MATCH("",$A$1:A136,-1)))</f>
        <v>1</v>
      </c>
      <c r="CB136" s="280">
        <f>IF(LEN($BZ136)-LEN(SUBSTITUTE($BZ136,"-",))&gt;1,
VALUE(MID($BZ136,FIND("-",$BZ136)+1,FIND("-",$BZ136,FIND("-",$BZ136)+1)-FIND("-",$BZ136)-1)),0)</f>
        <v>0</v>
      </c>
      <c r="CC136" s="280">
        <f>IF(NOT(ISERROR(FIND("-",BZ136))),
VALUE(RIGHT($BZ136,LEN($BZ136)-IF(LEN($BZ136)-LEN(SUBSTITUTE($BZ136,"-",""))=1,FIND("-",$BZ136),FIND("-",$BZ136,FIND("-",$BZ136)+1)))),0)</f>
        <v>0</v>
      </c>
      <c r="CD136" s="393"/>
      <c r="CE136" s="280" cm="1">
        <f t="array" ref="CE136">ROW()+MATCH(TRUE,_xlfn.ISFORMULA(INDEX(BW:BW,ROW()+1):INDEX(BW:BW,ROW()+MaxNumberOfRowsPerBlock)),0)-1</f>
        <v>146</v>
      </c>
      <c r="CF136" s="394" cm="1">
        <f t="array" ref="CF136">IF(CL136=0,-1,IF(CL136=1,7,MAX(IF($CL$1:$CL136=CL136-1,ROW($CL$1:$CL136),0))))</f>
        <v>49</v>
      </c>
      <c r="CG136" s="393">
        <f>IFERROR(MATCH($B136,BOM!$A:$A,0),0)</f>
        <v>18</v>
      </c>
      <c r="CH136" s="280">
        <f>MATCH($CA136,Premises!$A$10:$F$10,0)</f>
        <v>4</v>
      </c>
      <c r="CI136" s="280"/>
      <c r="CJ136" s="394"/>
      <c r="CK136" s="280"/>
      <c r="CL136" s="280" cm="1">
        <f t="array" ref="CL136">IF($CG136=0,0,INDEX(BOM!$C:$C,$CG136))</f>
        <v>4</v>
      </c>
      <c r="CM136" s="395" cm="1">
        <f t="array" ref="CM136">IF($CG136=0,0,IF(OR($CF136&lt;0,AND(INDEX($CB:$CB,$CF136)=$CB136,INDEX($CC:$CC,$CF136)=$CC136)),0,IF(INDEX(BOM!$P:$P,$CG136)=0,$BT136,(SUMIF($CA136:INDEX($CA:$CA,IFERROR(ROW()+MATCH($CL136,INDEX($CL:$CL,ROW()+1):INDEX($CL:$CL,MAX($CE:$CE)),0)-1,MAX($CE:$CE))),$CA136,$BT136:INDEX($BT:$BT,IFERROR(ROW()+MATCH($CL136,INDEX($CL:$CL,ROW()+1):INDEX($CL:$CL,MAX($CE:$CE)),0)-1,MAX($CE:$CE))))+SUMIF($CB136:INDEX($CB:$CB,IFERROR(ROW()+MATCH($CL136,INDEX($CL:$CL,ROW()+1):INDEX($CL:$CL,MAX($CE:$CE)),0)-1,MAX($CE:$CE))),$CA136,$BT136:INDEX($BT:$BT,IFERROR(ROW()+MATCH($CL136,INDEX($CL:$CL,ROW()+1):INDEX($CL:$CL,MAX($CE:$CE)),0)-1,MAX($CE:$CE)))))/2)))</f>
        <v>0</v>
      </c>
      <c r="CN136" s="396" cm="1">
        <f t="array" ref="CN136">IFERROR(IF($CB136=0,0,IF($CM136=0,INDEX($CN$1:$CN136,$CF136),INDEX(IF($CM136&lt;0.2,Premises!$A$43:$F$43,IF($CM136&lt;5,Premises!$A$46:$F$46,Premises!$A$49:$F$49)),MATCH($CB136,Premises!$A$10:$F$10,0))/($CM136*INDEX(Premises!$A$13:$F$13,MATCH($CB136,Premises!$A$10:$F$10,0)))+INDEX(IF($CM136&lt;0.2,Premises!$A$44:$F$44,IF($CM136&lt;5,Premises!$A$47:$F$47,Premises!$A$50:$F$50)),MATCH($CB136,Premises!$A$10:$F$10,0))+INDEX(IF($CM136&lt;0.2,Premises!$A$45:$F$45,IF($CM136&lt;5,Premises!$A$48:$F$48,Premises!$A$51:$F$51)),MATCH($CB136,Premises!$A$10:$F$10,0))/$CM136)),0.01)</f>
        <v>0</v>
      </c>
      <c r="CO136" s="395" cm="1">
        <f t="array" ref="CO136">IF($CG136=0,0,IF(INDEX($CC:$CC,$CF136)=$CC136,0,$CM136*(1+IFERROR(INDEX(Premises!$A$52:$F$52,1,MATCH($CB136,Premises!$A$10:$F$10,0)),0)+$CN136)))</f>
        <v>0</v>
      </c>
      <c r="CP136" s="396" cm="1">
        <f t="array" ref="CP136">IFERROR(IF($CC136=0,0,IF($CO136=0,INDEX($CP$1:$CP136,$CF136),INDEX(IF($CO136&lt;0.2,Premises!$A$43:$F$43,IF($CO136&lt;5,Premises!$A$46:$F$46,Premises!$A$49:$F$49)),MATCH($CC136,Premises!$A$10:$F$10,0))/($CO136*INDEX(Premises!$A$13:$F$13,MATCH($CC136,Premises!$A$10:$F$10,0)))+INDEX(IF($CO136&lt;0.2,Premises!$A$44:$F$44,IF($CO136&lt;5,Premises!$A$47:$F$47,Premises!$A$50:$F$50)),MATCH($CC136,Premises!$A$10:$F$10,0))+INDEX(IF($CO136&lt;0.2,Premises!$A$45:$F$45,IF($CO136&lt;5,Premises!$A$48:$F$48,Premises!$A$51:$F$51)),MATCH($CC136,Premises!$A$10:$F$10,0))/$CO136)),0.01)</f>
        <v>0</v>
      </c>
      <c r="CQ136" s="397" cm="1">
        <f t="array" ref="CQ136">IF(AND($CM136=0,$CO136=0),0,INDEX(BOM!$O:$O,$CG136))</f>
        <v>0</v>
      </c>
      <c r="CR136" s="398" cm="1">
        <f t="array" ref="CR136">IF(OR($CM136=0,$CN136=0),0,ACOS(COS(RADIANS(90-INDEX(Premises!$A$66:$F$66,1,$CH136)))*COS(RADIANS(90-INDEX(Premises!$A$66:$F$66,1,MATCH($CB136,Premises!$A$10:$F$10,0))))
+SIN(RADIANS(90-INDEX(Premises!$A$66:$F$66,1,$CH136)))*SIN(RADIANS(90-INDEX(Premises!$A$66:$F$66,1,MATCH($CB136,Premises!$A$10:$F$10,0)))) * COS(RADIANS(INDEX(Premises!$A$67:$F$67,1,$CH136)-INDEX(Premises!$A$67:$F$67,1,MATCH($CB136,Premises!$A$10:$F$10,0)))))*6371)</f>
        <v>0</v>
      </c>
      <c r="CS136" s="398" cm="1">
        <f t="array" ref="CS136">IF(OR($CO136=0,$CP136=0),0,
IF($CR136=0,ACOS(COS(RADIANS(90-INDEX(Premises!$A$66:$F$66,1,$CH136)))*COS(RADIANS(90-INDEX(Premises!$A$66:$F$66,1,MATCH($CC136,Premises!$A$10:$F$10,0))))
+SIN(RADIANS(90-INDEX(Premises!$A$66:$F$66,1,$CH136)))*SIN(RADIANS(90-INDEX(Premises!$A$66:$F$66,1,MATCH($CC136,Premises!$A$10:$F$10,0))))*COS(RADIANS(INDEX(Premises!$A$67:$F$67,1,$CH136)-INDEX(Premises!$A$67:$F$67,1,MATCH($CC136,Premises!$A$10:$F$10,0)))))*6371,
ACOS(COS(RADIANS(90-INDEX(Premises!$A$66:$F$66,1,MATCH($CB136,Premises!$A$10:$F$10,0))))*COS(RADIANS(90-INDEX(Premises!$A$66:$F$66,1,MATCH($CC136,Premises!$A$10:$F$10,0))))
+SIN(RADIANS(90-INDEX(Premises!$A$66:$F$66,1,MATCH($CB136,Premises!$A$10:$F$10,0))))*SIN(RADIANS(90-INDEX(Premises!$A$66:$F$66,1,MATCH($CC136,Premises!$A$10:$F$10,0))))*COS(RADIANS(INDEX(Premises!$A$67:$F$67,1,MATCH($CB136,Premises!$A$10:$F$10,0))-INDEX(Premises!$A$67:$F$67,1,MATCH($CC136,Premises!$A$10:$F$10,0)))))*6371))</f>
        <v>0</v>
      </c>
      <c r="CT136" s="969"/>
      <c r="CU136" s="2"/>
      <c r="CV136" s="399">
        <f>SUM(INDEX(CV:CV,ROW()+1):INDEX(CV:CV,$CE136))</f>
        <v>5.8137942224632041E-4</v>
      </c>
      <c r="CW136" s="400">
        <f>SUM(INDEX(CW:CW,ROW()+1):INDEX(CW:CW,$CE136))</f>
        <v>4.6187168295507564E-2</v>
      </c>
      <c r="CX136" s="400">
        <f>SUM(INDEX(CX:CX,ROW()+1):INDEX(CX:CX,$CE136))</f>
        <v>1.8275150150150153E-4</v>
      </c>
      <c r="CY136" s="400">
        <f>SUM(INDEX(CY:CY,ROW()+1):INDEX(CY:CY,$CE136))</f>
        <v>0</v>
      </c>
      <c r="CZ136" s="400">
        <f>SUM(INDEX(CZ:CZ,ROW()+1):INDEX(CZ:CZ,$CE136))</f>
        <v>0</v>
      </c>
      <c r="DA136" s="400">
        <f>SUM(INDEX(DA:DA,ROW()+1):INDEX(DA:DA,$CE136))</f>
        <v>7.6413092374782199E-6</v>
      </c>
      <c r="DB136" s="400">
        <f>SUM(INDEX(DB:DB,ROW()+1):INDEX(DB:DB,$CE136))</f>
        <v>6.1143464422015379E-5</v>
      </c>
      <c r="DC136" s="400">
        <f>SUM(INDEX(DC:DC,ROW()+1):INDEX(DC:DC,$CE136))</f>
        <v>4.702008399291488E-2</v>
      </c>
      <c r="DD136" s="400">
        <f>SUM(INDEX(DD:DD,ROW()+1):INDEX(DD:DD,$CE136))</f>
        <v>4.7399999999999997E-4</v>
      </c>
      <c r="DE136" s="400">
        <f>SUM(INDEX(DE:DE,ROW()+1):INDEX(DE:DE,$CE136))</f>
        <v>4.7399999999999995E-6</v>
      </c>
      <c r="DF136" s="400">
        <f>SUM(INDEX(DF:DF,ROW()+1):INDEX(DF:DF,$CE136))</f>
        <v>5.5981252477216806E-3</v>
      </c>
      <c r="DG136" s="400">
        <f>SUM(INDEX(DG:DG,ROW()+1):INDEX(DG:DG,$CE136))</f>
        <v>6.0768652477216807E-3</v>
      </c>
      <c r="DH136" s="400">
        <f>SUM(INDEX(DH:DH,ROW()+1):INDEX(DH:DH,$CE136))</f>
        <v>5.3096949240636571E-2</v>
      </c>
      <c r="DI136" s="400">
        <f>SUM(INDEX(DI:DI,ROW()+1):INDEX(DI:DI,$CE136))</f>
        <v>0</v>
      </c>
      <c r="DJ136" s="400">
        <f>SUM(INDEX(DJ:DJ,ROW()+1):INDEX(DJ:DJ,$CE136))</f>
        <v>0</v>
      </c>
      <c r="DK136" s="400">
        <f>SUM(INDEX(DK:DK,ROW()+1):INDEX(DK:DK,$CE136))</f>
        <v>6.6361634914248856E-3</v>
      </c>
      <c r="DL136" s="400">
        <f>SUM(INDEX(DL:DL,ROW()+1):INDEX(DL:DL,$CE136))</f>
        <v>0</v>
      </c>
      <c r="DM136" s="400">
        <f>SUM(INDEX(DM:DM,ROW()+1):INDEX(DM:DM,$CE136))</f>
        <v>0</v>
      </c>
      <c r="DN136" s="400">
        <f>SUM(INDEX(DN:DN,ROW()+1):INDEX(DN:DN,$CE136))</f>
        <v>2.8491865610206441E-3</v>
      </c>
      <c r="DO136" s="400">
        <f>SUM(INDEX(DO:DO,ROW()+1):INDEX(DO:DO,$CE136))</f>
        <v>0</v>
      </c>
      <c r="DP136" s="400">
        <f>SUM(INDEX(DP:DP,ROW()+1):INDEX(DP:DP,$CE136))</f>
        <v>6.2582299293082094E-2</v>
      </c>
      <c r="DQ136" s="400">
        <f>SUM(INDEX(DQ:DQ,ROW()+1):INDEX(DQ:DQ,$CE136))</f>
        <v>0</v>
      </c>
      <c r="DR136" s="400">
        <f>SUM(INDEX(DR:DR,ROW()+1):INDEX(DR:DR,$CE136))</f>
        <v>0</v>
      </c>
      <c r="DS136" s="400">
        <f>SUM(INDEX(DS:DS,ROW()+1):INDEX(DS:DS,$CE136))</f>
        <v>0</v>
      </c>
      <c r="DT136" s="400">
        <f>SUM(INDEX(DT:DT,ROW()+1):INDEX(DT:DT,$CE136))</f>
        <v>0</v>
      </c>
      <c r="DU136" s="400">
        <f>SUM(INDEX(DU:DU,ROW()+1):INDEX(DU:DU,$CE136))</f>
        <v>0</v>
      </c>
      <c r="DV136" s="400">
        <f>SUM(INDEX(DV:DV,ROW()+1):INDEX(DV:DV,$CE136))</f>
        <v>6.2582299293082094E-2</v>
      </c>
      <c r="DW136" s="400">
        <f>SUM(INDEX(DW:DW,ROW()+1):INDEX(DW:DW,$CE136))</f>
        <v>0</v>
      </c>
      <c r="DX136" s="400">
        <f>SUM(INDEX(DX:DX,ROW()+1):INDEX(DX:DX,$CE136))</f>
        <v>0</v>
      </c>
      <c r="DY136" s="400">
        <f>SUM(INDEX(DY:DY,ROW()+1):INDEX(DY:DY,$CE136))</f>
        <v>0</v>
      </c>
      <c r="DZ136" s="400">
        <f>SUM(INDEX(DZ:DZ,ROW()+1):INDEX(DZ:DZ,$CE136))</f>
        <v>0</v>
      </c>
      <c r="EA136" s="400">
        <f>SUM(INDEX(EA:EA,ROW()+1):INDEX(EA:EA,$CE136))</f>
        <v>0</v>
      </c>
      <c r="EB136" s="401">
        <f>SUM(INDEX(EB:EB,ROW()+1):INDEX(EB:EB,$CE136))</f>
        <v>6.2582299293082094E-2</v>
      </c>
      <c r="EC136" s="805"/>
      <c r="ED136" s="399"/>
      <c r="EE136" s="400"/>
      <c r="EF136" s="1112"/>
      <c r="EG136" s="1112"/>
      <c r="EH136" s="1112"/>
      <c r="EI136" s="1112"/>
      <c r="EJ136" s="1112"/>
      <c r="EK136" s="1112"/>
      <c r="EL136" s="1112"/>
      <c r="EM136" s="1112"/>
      <c r="EN136" s="1112"/>
      <c r="EO136" s="1112"/>
      <c r="EP136" s="1112"/>
      <c r="EQ136" s="1112"/>
      <c r="ER136" s="1112"/>
      <c r="ES136" s="1112"/>
      <c r="ET136" s="1112"/>
      <c r="EU136" s="1112"/>
      <c r="EV136" s="1112"/>
      <c r="EW136" s="1112"/>
      <c r="EX136" s="1113"/>
      <c r="EY136" s="2"/>
      <c r="EZ136" s="2"/>
      <c r="FA136" s="2"/>
      <c r="FB136" s="2"/>
      <c r="FC136" s="2"/>
      <c r="FD136" s="2"/>
      <c r="FE136" s="2"/>
      <c r="FF136" s="2"/>
      <c r="FG136" s="2"/>
      <c r="FH136" s="2"/>
      <c r="FI136" s="2"/>
      <c r="FJ136" s="399"/>
      <c r="FK136" s="400"/>
      <c r="FL136" s="401"/>
      <c r="FM136" s="969"/>
    </row>
    <row r="137" spans="1:169" s="13" customFormat="1" ht="12.75" customHeight="1">
      <c r="A137" s="221"/>
      <c r="B137" s="402" t="s">
        <v>34</v>
      </c>
      <c r="C137" s="403"/>
      <c r="D137" s="646"/>
      <c r="E137" s="404"/>
      <c r="F137" s="405"/>
      <c r="G137" s="405"/>
      <c r="H137" s="405"/>
      <c r="I137" s="637" cm="1">
        <f t="array" ref="I137">IF($CI137=0,0,IFERROR(INDEX(MHR[],$CI137,MATCH($CA137,MHR!$B$4:$AY$4,0)),0))</f>
        <v>0</v>
      </c>
      <c r="J137" s="634">
        <f t="shared" ref="J137:J146" si="336">IF(COUNTBLANK($E137:$H137),0,IFERROR($F137/$H137/IF($G137="s",3600,IF($G137="min",60,IF($G137="h",1,0)))*I137,0))</f>
        <v>0</v>
      </c>
      <c r="K137" s="406"/>
      <c r="L137" s="407"/>
      <c r="M137" s="871"/>
      <c r="N137" s="407"/>
      <c r="O137" s="405"/>
      <c r="P137" s="645" cm="1">
        <f t="array" ref="P137">IF($K137=0,0,IFERROR(ROUNDUP(IF(ISNUMBER($K137),$K137,INDEX($D$1:$D137,$CD137)*INDEX(Premises!$A$13:$F$13,1,$CH137)/IF(OR($K137="T",$K137="D"),250,IF($K137="W",50,IF($K137="M",12,IF(OR($K137="HJ",$K137="HY"),2,IF(OR($K137="J",$K137="Y"),1,0)))))),0),0))</f>
        <v>0</v>
      </c>
      <c r="Q137" s="637" cm="1">
        <f t="array" ref="Q137">IF($K137=0,0,IFERROR(INDEX(Premises!$A$22:$F$22,1,$CH137)*100/INDEX(Premises!$A$16:$F$16,1,$CH137),0))</f>
        <v>0</v>
      </c>
      <c r="R137" s="634">
        <f t="shared" ref="R137:R146" si="337">IF($P137=0,0,IFERROR(($L137/60*($I137+$Q137*$M137)+($N137/60*($Q137*$O137)))/$P137,0))</f>
        <v>0</v>
      </c>
      <c r="S137" s="408"/>
      <c r="T137" s="409"/>
      <c r="U137" s="637" cm="1">
        <f t="array" ref="U137">IF(COUNTBLANK($S137:$T137),0,
IF(AND(INDEX(MHR[Schichtmodell],$CI137)&lt;&gt;0,INDEX(MHR[Schichtmodell],$CI137)&lt;&gt;INDEX(Premises!$A$20:$F$20,1,$CH137)),ExchangeRate*
IF(OR($T137="M",$T137="U"),IF(INDEX(MHR[Schichtmodell],$CI137)=1,INDEX(LOC[M1S],INDEX(Premises!$A$18:$F$18,1,$CH137+1)),IF(INDEX(MHR[Schichtmodell],$CI137)=2,INDEX(LOC[M2S],INDEX(Premises!$A$18:$F$18,1,$CH137+1),IF(INDEX(MHR[Schichtmodell],$CI137)=3,INDEX(LOC[M3S],INDEX(Premises!$A$18:$F$18,1,$CH137+1)),0)))),
IF(INDEX(MHR[Schichtmodell],$CI137)=1,INDEX(LOC[F1S],INDEX(Premises!$A$18:$F$18,1,$CH137+1)),IF(INDEX(MHR[Schichtmodell],$CI137)=2,INDEX(LOC[F2S],INDEX(Premises!$A$18:$F$18,1,$CH137+1)),IF(INDEX(MHR[Schichtmodell],$CI137)=3,INDEX(LOC[F3S],INDEX(Premises!$A$18:$F$18,1,$CH137+1)),0)))),
IF(OR($T137="M",$T137="U"),INDEX(Premises!$A$21:$F$21,1,$CH137),
IF(OR($T137="F",$T137="S"),INDEX(Premises!$A$22:$F$22,1,$CH137),0)))*100/INDEX(Premises!$A$16:$F$16,1,$CH137))</f>
        <v>0</v>
      </c>
      <c r="V137" s="631">
        <f t="shared" ref="V137:V146" si="338">IF($U137=0,0,IFERROR($F137/$H137/IF($G137="s",3600,IF($G137="min",60,IF($G137="h",1,0)))*$S137*$U137,0))</f>
        <v>0</v>
      </c>
      <c r="W137" s="410"/>
      <c r="X137" s="403"/>
      <c r="Y137" s="411"/>
      <c r="Z137" s="412"/>
      <c r="AA137" s="628">
        <f t="shared" ref="AA137:AA146" si="339">IFERROR($X137*$Z137/$Y137/MAX(1,$H137),0)</f>
        <v>0</v>
      </c>
      <c r="AB137" s="410"/>
      <c r="AC137" s="403"/>
      <c r="AD137" s="411"/>
      <c r="AE137" s="413"/>
      <c r="AF137" s="628">
        <f t="shared" ref="AF137:AF146" si="340">IFERROR($AC137*$AE137/$AD137,0)</f>
        <v>0</v>
      </c>
      <c r="AG137" s="629" cm="1">
        <f t="array" ref="AG137">IF(($J137+$V137+$AF137)=0,0,INDEX(Premises!$A$30:$F$30,1,$CH137)/100)</f>
        <v>0</v>
      </c>
      <c r="AH137" s="414"/>
      <c r="AI137" s="415"/>
      <c r="AJ137" s="416"/>
      <c r="AK137" s="630">
        <f t="shared" ref="AK137:AK146" si="341">IF(COUNTBLANK($AH137:$AI137),0,$AH137*$AI137*$AG137)</f>
        <v>0</v>
      </c>
      <c r="AL137" s="631">
        <f t="shared" ref="AL137:AL146" si="342">($AK137+$AJ137*$AG137*(1-$AH137)+($J137+$V137+$AF137)*$AG137*(1-$AH137))</f>
        <v>0</v>
      </c>
      <c r="AM137" s="632" cm="1">
        <f t="array" ref="AM137">IF($CI137=0,0,IFERROR(INDEX(MHR[],$CI137,MATCH($CA137,MHR!$B$4:$AY$4,0)+11),0))</f>
        <v>0</v>
      </c>
      <c r="AN137" s="633" cm="1">
        <f t="array" ref="AN137">IF(($J137+$V137)=0,0,IFERROR(IF(INDEX(Premises!$A$41:$F$41,1,$CH137)&lt;&gt;0,INDEX(Premises!$A$41:$F$41,1,$CH137)/100,(IFERROR(($J137/$I137)*$AM137,0)/($V137+$J137+$R137+$AL137))),0))</f>
        <v>0</v>
      </c>
      <c r="AO137" s="634">
        <f t="shared" ref="AO137:AO146" si="343">IF(($J137+$V137)=0,0,IF(IFERROR(($J137+$R137+$V137+$AL137)*$AN137,0)&lt;&gt;IFERROR(($J137/$I137)*$AM137,0),($J137+$R137+$V137+$AL137)*$AN137,IFERROR(($J137/$I137)*$AM137,0)))</f>
        <v>0</v>
      </c>
      <c r="AP137" s="635">
        <f t="shared" ref="AP137:AP146" si="344">$V137+$J137+$R137+$AA137+$AF137+$AL137+$AO137</f>
        <v>0</v>
      </c>
      <c r="AQ137" s="410" t="str">
        <f>VLOOKUP($B136,BOM,5,0)</f>
        <v>PE-LD Folienqualitäten</v>
      </c>
      <c r="AR137" s="409">
        <f>BOM!G18</f>
        <v>2.9999999999999997E-4</v>
      </c>
      <c r="AS137" s="636" t="str" cm="1">
        <f t="array" ref="AS137">IF($CJ137=0,0,IFERROR(INDEX(MAT[Einheit],$CJ137,1),0))</f>
        <v>kg</v>
      </c>
      <c r="AT137" s="637" cm="1">
        <f t="array" ref="AT137">IF($CJ137=0,0,IFERROR(INDEX(MAT[Preis],$CJ137,1),0))</f>
        <v>1.58</v>
      </c>
      <c r="AU137" s="638">
        <f t="shared" ref="AU137:AU146" si="345">$AR137*$AT137</f>
        <v>4.7399999999999997E-4</v>
      </c>
      <c r="AV137" s="639" cm="1">
        <f t="array" ref="AV137">IF($AU137&lt;=0,0,INDEX(Premises!$A$30:$F$30,1,$CH137)/100)</f>
        <v>0.01</v>
      </c>
      <c r="AW137" s="409"/>
      <c r="AX137" s="631">
        <f t="shared" ref="AX137:AX146" si="346">IF($AV137=0,0,($AU137+$AW137)*$AV137)</f>
        <v>4.7399999999999995E-6</v>
      </c>
      <c r="AY137" s="640" cm="1">
        <f t="array" ref="AY137">IF($AT137&lt;=0,0,IFERROR(IF(INDEX(Premises!$A$42:$F$42,1,$CH137)&lt;&gt;0,INDEX(Premises!$A$42:$F$42,1,$CH137)/100,(INDEX(MAT[],$CJ137,MATCH($CA137,MAT!$B$4:$AE$4,0))/($AR137*$CK137*INDEX(Premises!$A$13:$F$13,1,$CH137))+INDEX(MAT[],$CJ137,MATCH($CA137,MAT!$B$4:$AE$4,0)+7))/$AT137),0))</f>
        <v>11.693456255423991</v>
      </c>
      <c r="AZ137" s="631">
        <f t="shared" ref="AZ137:AZ146" si="347">IF($AY137=0,0,($AU137+$AX137)*$AY137)</f>
        <v>5.5981252477216806E-3</v>
      </c>
      <c r="BA137" s="635">
        <f t="shared" ref="BA137:BA146" si="348">$AU137+$AX137+$AZ137</f>
        <v>6.0768652477216807E-3</v>
      </c>
      <c r="BB137" s="635">
        <f t="shared" ref="BB137:BB146" si="349">$AP137+$BA137</f>
        <v>6.0768652477216807E-3</v>
      </c>
      <c r="BC137" s="639" cm="1">
        <f t="array" ref="BC137">IF($BB137&lt;=0,0,IF(BC$2=-1,0,INDEX(Premises!$A$32:$F$32,1,$CH137)/100))</f>
        <v>0</v>
      </c>
      <c r="BD137" s="631">
        <f t="shared" ref="BD137:BD146" si="350">IF($AP137&lt;=0,0,($AP137-$AA137-$AL137)*$BC137)</f>
        <v>0</v>
      </c>
      <c r="BE137" s="639" cm="1">
        <f t="array" ref="BE137">IF($BB137&lt;=0,0,IF(BE$2=-1,0,INDEX(Premises!$A$33:$F$33,1,$CH137)/100))</f>
        <v>0</v>
      </c>
      <c r="BF137" s="631">
        <f t="shared" ref="BF137:BF146" si="351">IF($BA137&lt;=0,0,$BA137*$BE137)</f>
        <v>0</v>
      </c>
      <c r="BG137" s="639" cm="1">
        <f t="array" ref="BG137">IF($BB137&lt;=0,0,IF(BG$2=-1,0,INDEX(Premises!$A$31:$F$31,1,$CH137)/100))</f>
        <v>0.125</v>
      </c>
      <c r="BH137" s="631">
        <f t="shared" ref="BH137:BH146" si="352">(($AP137-$AA137-$AL137)+$BA137)*$BG137</f>
        <v>7.5960815596521009E-4</v>
      </c>
      <c r="BI137" s="635">
        <f t="shared" ref="BI137:BI146" si="353">$BB137+$BD137+$BF137+$BH137</f>
        <v>6.8364734036868904E-3</v>
      </c>
      <c r="BJ137" s="639" cm="1">
        <f t="array" ref="BJ137">IF($BB137&lt;=0,0,IF(BJ$2=-1,0,INDEX(Premises!$A$35:$F$35,1,$CH137)/100))</f>
        <v>0</v>
      </c>
      <c r="BK137" s="631">
        <f t="shared" ref="BK137:BK146" si="354">IF($AP137&lt;=0,0,($AP137-$AL137-$AA137)*$BJ137)</f>
        <v>0</v>
      </c>
      <c r="BL137" s="639" cm="1">
        <f t="array" ref="BL137">IF($BB137&lt;=0,0,IF(BL$2=-1,0,INDEX(Premises!$A$36:$F$36,1,$CH137)/100))</f>
        <v>0</v>
      </c>
      <c r="BM137" s="631">
        <f t="shared" ref="BM137:BM146" si="355">IF($AU137&lt;=0,0,($AR137*$AT137)*$BL137)</f>
        <v>0</v>
      </c>
      <c r="BN137" s="639" cm="1">
        <f t="array" ref="BN137">IF($BB137&lt;=0,0,IF(BN$2=-1,0,INDEX(Premises!$A$34:$F$34,1,$CH137)/100))</f>
        <v>0.06</v>
      </c>
      <c r="BO137" s="631">
        <f t="shared" ref="BO137:BO146" si="356">(($AP137-$AL137-$AA137)+($AR137*$AT137))*$BN137</f>
        <v>2.8439999999999999E-5</v>
      </c>
      <c r="BP137" s="639" cm="1">
        <f t="array" ref="BP137">IF($BI137=0,0,INDEX(Premises!$A$37:$F$37,1,$CH137)/100)</f>
        <v>0</v>
      </c>
      <c r="BQ137" s="409"/>
      <c r="BR137" s="631">
        <f t="shared" ref="BR137:BR146" si="357">($BI137+$BK137+$BM137+$BO137)*$BP137+$BQ137</f>
        <v>0</v>
      </c>
      <c r="BS137" s="641">
        <f t="shared" ref="BS137:BS146" si="358">BI137+BK137+BM137+BO137+BR137</f>
        <v>6.8649134036868906E-3</v>
      </c>
      <c r="BT137" s="641">
        <f t="shared" ref="BT137:BT146" si="359">IF($BS137=0,0,$CK137*$BS137)</f>
        <v>6.8649134036868906E-3</v>
      </c>
      <c r="BU137" s="642">
        <f t="shared" ref="BU137:BU146" si="360">IF($BT137=0,0,MAX(1,$EB137/$DP137))</f>
        <v>1</v>
      </c>
      <c r="BV137" s="417"/>
      <c r="BW137" s="418"/>
      <c r="BX137" s="418"/>
      <c r="BY137" s="419"/>
      <c r="BZ137" s="968"/>
      <c r="CA137" s="280" cm="1">
        <f t="array" ref="CA137">IF($BZ137&gt;0,VALUE(LEFT($BZ137,IF(ISERROR(FIND("-",$BZ137)),LEN($BZ137),FIND("-",$BZ137)-1))),INDEX($CA$1:$CA137,MAX(1,$CD137)))</f>
        <v>1</v>
      </c>
      <c r="CB137" s="280" cm="1">
        <f t="array" ref="CB137">IF($BT137=0,0,IF(LEN($BZ137)-LEN(SUBSTITUTE($BZ137,"-",""))&gt;1,
VALUE(MID($BZ137,FIND("-",$BZ137)+1,FIND("-",$BZ137,FIND("-",$BZ137)+1)-FIND("-",$BZ137)-1)),IF($BZ137&gt;0,0,INDEX($CB$1:$CB137,MAX(1,$CD137)))))</f>
        <v>0</v>
      </c>
      <c r="CC137" s="280" cm="1">
        <f t="array" ref="CC137">IF($BT137=0,0,IF(NOT(ISERROR(FIND("-",BZ137))),
VALUE(RIGHT($BZ137,LEN($BZ137)-IF(LEN($BZ137)-LEN(SUBSTITUTE($BZ137,"-",""))=1,FIND("-",$BZ137),FIND("-",$BZ137,FIND("-",$BZ137)+1)))),
IF($BZ137&gt;0,0,INDEX($CC$1:$CC137,MAX(1,$CD137)))))</f>
        <v>0</v>
      </c>
      <c r="CD137" s="393">
        <f>MATCH(0,$CE$1:$CE137,-1)</f>
        <v>136</v>
      </c>
      <c r="CE137" s="280"/>
      <c r="CF137" s="394"/>
      <c r="CG137" s="393" cm="1">
        <f t="array" ref="CG137">INDEX($CG$1:$CG137,$CD137)</f>
        <v>18</v>
      </c>
      <c r="CH137" s="280">
        <f>MATCH($CA137,Premises!$A$10:$F$10,0)</f>
        <v>4</v>
      </c>
      <c r="CI137" s="280">
        <f>IF(ISBLANK($E137),0,IFERROR(MATCH($E137,MHR[Bezeichnung],0),0))</f>
        <v>0</v>
      </c>
      <c r="CJ137" s="394">
        <f>IF(ISBLANK($AQ137),0,IFERROR(MATCH($AQ137,MAT[Bezeichnung],0),0))</f>
        <v>10</v>
      </c>
      <c r="CK137" s="280" cm="1">
        <f t="array" ref="CK137">INDEX($D$1:$D137,$CD137)</f>
        <v>1</v>
      </c>
      <c r="CL137" s="280"/>
      <c r="CM137" s="395"/>
      <c r="CN137" s="396" cm="1">
        <f t="array" ref="CN137">IF($CB137=0,0,IF($CB137=INDEX($CB$1:$CB137,$CD137),INDEX($CN$1:$CN137,$CD137),$CP137))</f>
        <v>0</v>
      </c>
      <c r="CO137" s="395"/>
      <c r="CP137" s="396" cm="1">
        <f t="array" ref="CP137">IF($CC137=0,0,INDEX($CP$1:$CP137,$CD137))</f>
        <v>0</v>
      </c>
      <c r="CQ137" s="397"/>
      <c r="CR137" s="398"/>
      <c r="CS137" s="398"/>
      <c r="CT137" s="970"/>
      <c r="CU137" s="2"/>
      <c r="CV137" s="647">
        <f t="shared" ref="CV137:CV146" si="361">$J137*$CK137</f>
        <v>0</v>
      </c>
      <c r="CW137" s="648">
        <f t="shared" ref="CW137:CW146" si="362">$R137*$CK137</f>
        <v>0</v>
      </c>
      <c r="CX137" s="648">
        <f t="shared" ref="CX137:CX146" si="363">$V137*$CK137</f>
        <v>0</v>
      </c>
      <c r="CY137" s="648">
        <f t="shared" ref="CY137:CY146" si="364">$AA137*$CK137</f>
        <v>0</v>
      </c>
      <c r="CZ137" s="648">
        <f t="shared" ref="CZ137:CZ146" si="365">$AF137*$CK137</f>
        <v>0</v>
      </c>
      <c r="DA137" s="648">
        <f t="shared" ref="DA137:DA146" si="366">$AL137*$CK137</f>
        <v>0</v>
      </c>
      <c r="DB137" s="648">
        <f t="shared" ref="DB137:DB146" si="367">$AO137*$CK137</f>
        <v>0</v>
      </c>
      <c r="DC137" s="649">
        <f t="shared" ref="DC137:DC146" si="368">$AP137*$CK137</f>
        <v>0</v>
      </c>
      <c r="DD137" s="648">
        <f t="shared" ref="DD137:DD146" si="369">$AU137*$CK137</f>
        <v>4.7399999999999997E-4</v>
      </c>
      <c r="DE137" s="648">
        <f t="shared" ref="DE137:DE146" si="370">$AX137*$CK137</f>
        <v>4.7399999999999995E-6</v>
      </c>
      <c r="DF137" s="648">
        <f t="shared" ref="DF137:DF146" si="371">$AZ137*$CK137</f>
        <v>5.5981252477216806E-3</v>
      </c>
      <c r="DG137" s="649">
        <f t="shared" ref="DG137:DG146" si="372">$BA137*$CK137</f>
        <v>6.0768652477216807E-3</v>
      </c>
      <c r="DH137" s="649">
        <f t="shared" ref="DH137:DH146" si="373">$BB137*$CK137</f>
        <v>6.0768652477216807E-3</v>
      </c>
      <c r="DI137" s="648">
        <f t="shared" ref="DI137:DI146" si="374">$BD137*$CK137</f>
        <v>0</v>
      </c>
      <c r="DJ137" s="648">
        <f t="shared" ref="DJ137:DJ146" si="375">$BF137*$CK137</f>
        <v>0</v>
      </c>
      <c r="DK137" s="648">
        <f t="shared" ref="DK137:DK146" si="376">$BH137*$CK137</f>
        <v>7.5960815596521009E-4</v>
      </c>
      <c r="DL137" s="648">
        <f t="shared" ref="DL137:DL146" si="377">$BK137*$CK137</f>
        <v>0</v>
      </c>
      <c r="DM137" s="648">
        <f t="shared" ref="DM137:DM146" si="378">$BM137*$CK137</f>
        <v>0</v>
      </c>
      <c r="DN137" s="648">
        <f t="shared" ref="DN137:DN146" si="379">$BO137*$CK137</f>
        <v>2.8439999999999999E-5</v>
      </c>
      <c r="DO137" s="648">
        <f t="shared" ref="DO137:DO146" si="380">$BR137*$CK137</f>
        <v>0</v>
      </c>
      <c r="DP137" s="651">
        <f t="shared" ref="DP137:DP146" si="381">$CK137*($BB137+$BD137+$BF137+$BH137+$BK137+$BM137+$BO137+$BR137)</f>
        <v>6.8649134036868906E-3</v>
      </c>
      <c r="DQ137" s="951">
        <f>IF($CB137=0,0,$DP137*_xlfn.XLOOKUP($CB137,Premises!$A$10:$F$10,Premises!$A$30:$F$30)/100)</f>
        <v>0</v>
      </c>
      <c r="DR137" s="650">
        <f>IFERROR(SUM($DP137:$DQ137)*IF(INDEX(Premises!$A$42:$F$42,1,MATCH($CB137,Premises!$A$10:$F$10,0))&gt;0,INDEX(Premises!$A$42:$F$42,1,MATCH($CB137,Premises!$A$10:$F$10,0))%,$CN137),0)</f>
        <v>0</v>
      </c>
      <c r="DS137" s="650" cm="1">
        <f t="array" ref="DS137">IF($CB137=0,0,SUM($DP137:$DR137)*_xlfn.XLOOKUP($CB137,Premises!$A$10:$F$10,IF(INDEX(Settings[],MATCH(3001,Settings[ID],0),2)="B",Premises!$A$33:$F$33,Premises!$A$31:$F$31))/100)</f>
        <v>0</v>
      </c>
      <c r="DT137" s="650" cm="1">
        <f t="array" ref="DT137">IF($CB137=0,0,$DP137*_xlfn.XLOOKUP($CB137,Premises!$A$10:$F$10,IF(INDEX(Settings[],MATCH(3002,Settings[ID],0),2)="B",Premises!$A$36:$F$36,Premises!$A$34:$F$34))/100)</f>
        <v>0</v>
      </c>
      <c r="DU137" s="650">
        <f>IF($CB137=0,0,SUM($DP137:$DT137)*_xlfn.XLOOKUP($CB137,Premises!$A$10:$F$10,Premises!$A$37:$F$37)/100)</f>
        <v>0</v>
      </c>
      <c r="DV137" s="954">
        <f t="shared" ref="DV137:DV146" si="382">SUM($DP137:$DU137)</f>
        <v>6.8649134036868906E-3</v>
      </c>
      <c r="DW137" s="951">
        <f>IF($CC137=0,0,$DV137*_xlfn.XLOOKUP($CC137,Premises!$A$10:$F$10,Premises!$A$30:$F$30)/100)</f>
        <v>0</v>
      </c>
      <c r="DX137" s="650">
        <f>IFERROR(SUM($DV137:$DW137)*IF(INDEX(Premises!$A$42:$F$42,1,MATCH($CC137,Premises!$A$10:$F$10,0))&gt;0,INDEX(Premises!$A$42:$F$42,1,MATCH($CC137,Premises!$A$10:$F$10,0))%,$CP137),0)</f>
        <v>0</v>
      </c>
      <c r="DY137" s="650" cm="1">
        <f t="array" ref="DY137">IF($CC137=0,0,SUM($DV137:$DX137)*_xlfn.XLOOKUP($CC137,Premises!$A$10:$F$10,IF(INDEX(Settings[],MATCH(3001,Settings[ID],0),2)="B",Premises!$A$33:$F$33,Premises!$A$31:$F$31))/100)</f>
        <v>0</v>
      </c>
      <c r="DZ137" s="650" cm="1">
        <f t="array" ref="DZ137">IF($CC137=0,0,$DV137*_xlfn.XLOOKUP($CC137,Premises!$A$10:$F$10,IF(INDEX(Settings[],MATCH(3002,Settings[ID],0),2)="B",Premises!$A$36:$F$36,Premises!$A$34:$F$34))/100)</f>
        <v>0</v>
      </c>
      <c r="EA137" s="650">
        <f>IF($CC137=0,0,SUM($DV137:$DZ137)*_xlfn.XLOOKUP($CC137,Premises!$A$10:$F$10,Premises!$A$37:$F$37)/100)</f>
        <v>0</v>
      </c>
      <c r="EB137" s="651">
        <f t="shared" ref="EB137:EB146" si="383">SUM($DV137:$EA137)</f>
        <v>6.8649134036868906E-3</v>
      </c>
      <c r="EC137" s="805"/>
      <c r="ED137" s="1104"/>
      <c r="EE137" s="650"/>
      <c r="EF137" s="1110"/>
      <c r="EG137" s="1108"/>
      <c r="EH137" s="1108"/>
      <c r="EI137" s="1108"/>
      <c r="EJ137" s="1108"/>
      <c r="EK137" s="1108"/>
      <c r="EL137" s="1108"/>
      <c r="EM137" s="1110"/>
      <c r="EN137" s="1108"/>
      <c r="EO137" s="1108"/>
      <c r="EP137" s="1108"/>
      <c r="EQ137" s="1108"/>
      <c r="ER137" s="1110"/>
      <c r="ES137" s="1108"/>
      <c r="ET137" s="1108"/>
      <c r="EU137" s="1108"/>
      <c r="EV137" s="1108"/>
      <c r="EW137" s="1108"/>
      <c r="EX137" s="1111"/>
      <c r="EY137" s="2"/>
      <c r="EZ137" s="2"/>
      <c r="FA137" s="2"/>
      <c r="FB137" s="2"/>
      <c r="FC137" s="2"/>
      <c r="FD137" s="2"/>
      <c r="FE137" s="2"/>
      <c r="FF137" s="2"/>
      <c r="FG137" s="2"/>
      <c r="FH137" s="2"/>
      <c r="FI137" s="2"/>
      <c r="FJ137" s="420"/>
      <c r="FK137" s="421"/>
      <c r="FL137" s="422"/>
      <c r="FM137" s="970"/>
    </row>
    <row r="138" spans="1:169" s="13" customFormat="1" ht="12.75" customHeight="1">
      <c r="A138" s="221"/>
      <c r="B138" s="402"/>
      <c r="C138" s="403"/>
      <c r="D138" s="646"/>
      <c r="E138" s="404"/>
      <c r="F138" s="405"/>
      <c r="G138" s="405"/>
      <c r="H138" s="405"/>
      <c r="I138" s="637" cm="1">
        <f t="array" ref="I138">IF($CI138=0,0,IFERROR(INDEX(MHR[],$CI138,MATCH($CA138,MHR!$B$4:$AY$4,0)),0))</f>
        <v>0</v>
      </c>
      <c r="J138" s="634">
        <f t="shared" si="336"/>
        <v>0</v>
      </c>
      <c r="K138" s="406"/>
      <c r="L138" s="407"/>
      <c r="M138" s="871"/>
      <c r="N138" s="407"/>
      <c r="O138" s="405"/>
      <c r="P138" s="645" cm="1">
        <f t="array" ref="P138">IF($K138=0,0,IFERROR(ROUNDUP(IF(ISNUMBER($K138),$K138,INDEX($D$1:$D138,$CD138)*INDEX(Premises!$A$13:$F$13,1,$CH138)/IF(OR($K138="T",$K138="D"),250,IF($K138="W",50,IF($K138="M",12,IF(OR($K138="HJ",$K138="HY"),2,IF(OR($K138="J",$K138="Y"),1,0)))))),0),0))</f>
        <v>0</v>
      </c>
      <c r="Q138" s="637" cm="1">
        <f t="array" ref="Q138">IF($K138=0,0,IFERROR(INDEX(Premises!$A$22:$F$22,1,$CH138)*100/INDEX(Premises!$A$16:$F$16,1,$CH138),0))</f>
        <v>0</v>
      </c>
      <c r="R138" s="634">
        <f t="shared" si="337"/>
        <v>0</v>
      </c>
      <c r="S138" s="408"/>
      <c r="T138" s="409"/>
      <c r="U138" s="637" cm="1">
        <f t="array" ref="U138">IF(COUNTBLANK($S138:$T138),0,
IF(AND(INDEX(MHR[Schichtmodell],$CI138)&lt;&gt;0,INDEX(MHR[Schichtmodell],$CI138)&lt;&gt;INDEX(Premises!$A$20:$F$20,1,$CH138)),ExchangeRate*
IF(OR($T138="M",$T138="U"),IF(INDEX(MHR[Schichtmodell],$CI138)=1,INDEX(LOC[M1S],INDEX(Premises!$A$18:$F$18,1,$CH138+1)),IF(INDEX(MHR[Schichtmodell],$CI138)=2,INDEX(LOC[M2S],INDEX(Premises!$A$18:$F$18,1,$CH138+1),IF(INDEX(MHR[Schichtmodell],$CI138)=3,INDEX(LOC[M3S],INDEX(Premises!$A$18:$F$18,1,$CH138+1)),0)))),
IF(INDEX(MHR[Schichtmodell],$CI138)=1,INDEX(LOC[F1S],INDEX(Premises!$A$18:$F$18,1,$CH138+1)),IF(INDEX(MHR[Schichtmodell],$CI138)=2,INDEX(LOC[F2S],INDEX(Premises!$A$18:$F$18,1,$CH138+1)),IF(INDEX(MHR[Schichtmodell],$CI138)=3,INDEX(LOC[F3S],INDEX(Premises!$A$18:$F$18,1,$CH138+1)),0)))),
IF(OR($T138="M",$T138="U"),INDEX(Premises!$A$21:$F$21,1,$CH138),
IF(OR($T138="F",$T138="S"),INDEX(Premises!$A$22:$F$22,1,$CH138),0)))*100/INDEX(Premises!$A$16:$F$16,1,$CH138))</f>
        <v>0</v>
      </c>
      <c r="V138" s="631">
        <f t="shared" si="338"/>
        <v>0</v>
      </c>
      <c r="W138" s="410"/>
      <c r="X138" s="403"/>
      <c r="Y138" s="411"/>
      <c r="Z138" s="412"/>
      <c r="AA138" s="628">
        <f t="shared" si="339"/>
        <v>0</v>
      </c>
      <c r="AB138" s="410"/>
      <c r="AC138" s="403"/>
      <c r="AD138" s="411"/>
      <c r="AE138" s="413"/>
      <c r="AF138" s="628">
        <f t="shared" si="340"/>
        <v>0</v>
      </c>
      <c r="AG138" s="629" cm="1">
        <f t="array" ref="AG138">IF(($J138+$V138+$AF138)=0,0,INDEX(Premises!$A$30:$F$30,1,$CH138)/100)</f>
        <v>0</v>
      </c>
      <c r="AH138" s="414"/>
      <c r="AI138" s="415"/>
      <c r="AJ138" s="416"/>
      <c r="AK138" s="630">
        <f t="shared" si="341"/>
        <v>0</v>
      </c>
      <c r="AL138" s="631">
        <f t="shared" si="342"/>
        <v>0</v>
      </c>
      <c r="AM138" s="632" cm="1">
        <f t="array" ref="AM138">IF($CI138=0,0,IFERROR(INDEX(MHR[],$CI138,MATCH($CA138,MHR!$B$4:$AY$4,0)+11),0))</f>
        <v>0</v>
      </c>
      <c r="AN138" s="633" cm="1">
        <f t="array" ref="AN138">IF(($J138+$V138)=0,0,IFERROR(IF(INDEX(Premises!$A$41:$F$41,1,$CH138)&lt;&gt;0,INDEX(Premises!$A$41:$F$41,1,$CH138)/100,(IFERROR(($J138/$I138)*$AM138,0)/($V138+$J138+$R138+$AL138))),0))</f>
        <v>0</v>
      </c>
      <c r="AO138" s="634">
        <f t="shared" si="343"/>
        <v>0</v>
      </c>
      <c r="AP138" s="635">
        <f t="shared" si="344"/>
        <v>0</v>
      </c>
      <c r="AQ138" s="410"/>
      <c r="AR138" s="409"/>
      <c r="AS138" s="636" cm="1">
        <f t="array" ref="AS138">IF($CJ138=0,0,IFERROR(INDEX(MAT[Einheit],$CJ138,1),0))</f>
        <v>0</v>
      </c>
      <c r="AT138" s="637" cm="1">
        <f t="array" ref="AT138">IF($CJ138=0,0,IFERROR(INDEX(MAT[Preis],$CJ138,1),0))</f>
        <v>0</v>
      </c>
      <c r="AU138" s="638">
        <f t="shared" si="345"/>
        <v>0</v>
      </c>
      <c r="AV138" s="639" cm="1">
        <f t="array" ref="AV138">IF($AU138&lt;=0,0,INDEX(Premises!$A$30:$F$30,1,$CH138)/100)</f>
        <v>0</v>
      </c>
      <c r="AW138" s="409"/>
      <c r="AX138" s="631">
        <f t="shared" si="346"/>
        <v>0</v>
      </c>
      <c r="AY138" s="640" cm="1">
        <f t="array" ref="AY138">IF($AT138&lt;=0,0,IFERROR(IF(INDEX(Premises!$A$42:$F$42,1,$CH138)&lt;&gt;0,INDEX(Premises!$A$42:$F$42,1,$CH138)/100,(INDEX(MAT[],$CJ138,MATCH($CA138,MAT!$B$4:$AE$4,0))/($AR138*$CK138*INDEX(Premises!$A$13:$F$13,1,$CH138))+INDEX(MAT[],$CJ138,MATCH($CA138,MAT!$B$4:$AE$4,0)+7))/$AT138),0))</f>
        <v>0</v>
      </c>
      <c r="AZ138" s="631">
        <f t="shared" si="347"/>
        <v>0</v>
      </c>
      <c r="BA138" s="635">
        <f t="shared" si="348"/>
        <v>0</v>
      </c>
      <c r="BB138" s="635">
        <f t="shared" si="349"/>
        <v>0</v>
      </c>
      <c r="BC138" s="639" cm="1">
        <f t="array" ref="BC138">IF($BB138&lt;=0,0,IF(BC$2=-1,0,INDEX(Premises!$A$32:$F$32,1,$CH138)/100))</f>
        <v>0</v>
      </c>
      <c r="BD138" s="631">
        <f t="shared" si="350"/>
        <v>0</v>
      </c>
      <c r="BE138" s="639" cm="1">
        <f t="array" ref="BE138">IF($BB138&lt;=0,0,IF(BE$2=-1,0,INDEX(Premises!$A$33:$F$33,1,$CH138)/100))</f>
        <v>0</v>
      </c>
      <c r="BF138" s="631">
        <f t="shared" si="351"/>
        <v>0</v>
      </c>
      <c r="BG138" s="639" cm="1">
        <f t="array" ref="BG138">IF($BB138&lt;=0,0,IF(BG$2=-1,0,INDEX(Premises!$A$31:$F$31,1,$CH138)/100))</f>
        <v>0</v>
      </c>
      <c r="BH138" s="631">
        <f t="shared" si="352"/>
        <v>0</v>
      </c>
      <c r="BI138" s="635">
        <f t="shared" si="353"/>
        <v>0</v>
      </c>
      <c r="BJ138" s="639" cm="1">
        <f t="array" ref="BJ138">IF($BB138&lt;=0,0,IF(BJ$2=-1,0,INDEX(Premises!$A$35:$F$35,1,$CH138)/100))</f>
        <v>0</v>
      </c>
      <c r="BK138" s="631">
        <f t="shared" si="354"/>
        <v>0</v>
      </c>
      <c r="BL138" s="639" cm="1">
        <f t="array" ref="BL138">IF($BB138&lt;=0,0,IF(BL$2=-1,0,INDEX(Premises!$A$36:$F$36,1,$CH138)/100))</f>
        <v>0</v>
      </c>
      <c r="BM138" s="631">
        <f t="shared" si="355"/>
        <v>0</v>
      </c>
      <c r="BN138" s="639" cm="1">
        <f t="array" ref="BN138">IF($BB138&lt;=0,0,IF(BN$2=-1,0,INDEX(Premises!$A$34:$F$34,1,$CH138)/100))</f>
        <v>0</v>
      </c>
      <c r="BO138" s="631">
        <f t="shared" si="356"/>
        <v>0</v>
      </c>
      <c r="BP138" s="639" cm="1">
        <f t="array" ref="BP138">IF($BI138=0,0,INDEX(Premises!$A$37:$F$37,1,$CH138)/100)</f>
        <v>0</v>
      </c>
      <c r="BQ138" s="409"/>
      <c r="BR138" s="631">
        <f t="shared" si="357"/>
        <v>0</v>
      </c>
      <c r="BS138" s="641">
        <f t="shared" si="358"/>
        <v>0</v>
      </c>
      <c r="BT138" s="641">
        <f t="shared" si="359"/>
        <v>0</v>
      </c>
      <c r="BU138" s="642">
        <f t="shared" si="360"/>
        <v>0</v>
      </c>
      <c r="BV138" s="417"/>
      <c r="BW138" s="418"/>
      <c r="BX138" s="418"/>
      <c r="BY138" s="419"/>
      <c r="BZ138" s="968"/>
      <c r="CA138" s="280" cm="1">
        <f t="array" ref="CA138">IF($BZ138&gt;0,VALUE(LEFT($BZ138,IF(ISERROR(FIND("-",$BZ138)),LEN($BZ138),FIND("-",$BZ138)-1))),INDEX($CA$1:$CA138,MAX(1,$CD138)))</f>
        <v>1</v>
      </c>
      <c r="CB138" s="280" cm="1">
        <f t="array" ref="CB138">IF($BT138=0,0,IF(LEN($BZ138)-LEN(SUBSTITUTE($BZ138,"-",""))&gt;1,
VALUE(MID($BZ138,FIND("-",$BZ138)+1,FIND("-",$BZ138,FIND("-",$BZ138)+1)-FIND("-",$BZ138)-1)),IF($BZ138&gt;0,0,INDEX($CB$1:$CB138,MAX(1,$CD138)))))</f>
        <v>0</v>
      </c>
      <c r="CC138" s="280" cm="1">
        <f t="array" ref="CC138">IF($BT138=0,0,IF(NOT(ISERROR(FIND("-",BZ138))),
VALUE(RIGHT($BZ138,LEN($BZ138)-IF(LEN($BZ138)-LEN(SUBSTITUTE($BZ138,"-",""))=1,FIND("-",$BZ138),FIND("-",$BZ138,FIND("-",$BZ138)+1)))),
IF($BZ138&gt;0,0,INDEX($CC$1:$CC138,MAX(1,$CD138)))))</f>
        <v>0</v>
      </c>
      <c r="CD138" s="393">
        <f>MATCH(0,$CE$1:$CE138,-1)</f>
        <v>136</v>
      </c>
      <c r="CE138" s="280"/>
      <c r="CF138" s="394"/>
      <c r="CG138" s="393" cm="1">
        <f t="array" ref="CG138">INDEX($CG$1:$CG138,$CD138)</f>
        <v>18</v>
      </c>
      <c r="CH138" s="280">
        <f>MATCH($CA138,Premises!$A$10:$F$10,0)</f>
        <v>4</v>
      </c>
      <c r="CI138" s="280">
        <f>IF(ISBLANK($E138),0,IFERROR(MATCH($E138,MHR[Bezeichnung],0),0))</f>
        <v>0</v>
      </c>
      <c r="CJ138" s="394">
        <f>IF(ISBLANK($AQ138),0,IFERROR(MATCH($AQ138,MAT[Bezeichnung],0),0))</f>
        <v>0</v>
      </c>
      <c r="CK138" s="280" cm="1">
        <f t="array" ref="CK138">INDEX($D$1:$D138,$CD138)</f>
        <v>1</v>
      </c>
      <c r="CL138" s="280"/>
      <c r="CM138" s="395"/>
      <c r="CN138" s="396" cm="1">
        <f t="array" ref="CN138">IF($CB138=0,0,IF($CB138=INDEX($CB$1:$CB138,$CD138),INDEX($CN$1:$CN138,$CD138),$CP138))</f>
        <v>0</v>
      </c>
      <c r="CO138" s="395"/>
      <c r="CP138" s="396" cm="1">
        <f t="array" ref="CP138">IF($CC138=0,0,INDEX($CP$1:$CP138,$CD138))</f>
        <v>0</v>
      </c>
      <c r="CQ138" s="397"/>
      <c r="CR138" s="398"/>
      <c r="CS138" s="398"/>
      <c r="CT138" s="970"/>
      <c r="CU138" s="2"/>
      <c r="CV138" s="647">
        <f t="shared" si="361"/>
        <v>0</v>
      </c>
      <c r="CW138" s="648">
        <f t="shared" si="362"/>
        <v>0</v>
      </c>
      <c r="CX138" s="648">
        <f t="shared" si="363"/>
        <v>0</v>
      </c>
      <c r="CY138" s="648">
        <f t="shared" si="364"/>
        <v>0</v>
      </c>
      <c r="CZ138" s="648">
        <f t="shared" si="365"/>
        <v>0</v>
      </c>
      <c r="DA138" s="648">
        <f t="shared" si="366"/>
        <v>0</v>
      </c>
      <c r="DB138" s="648">
        <f t="shared" si="367"/>
        <v>0</v>
      </c>
      <c r="DC138" s="649">
        <f t="shared" si="368"/>
        <v>0</v>
      </c>
      <c r="DD138" s="648">
        <f t="shared" si="369"/>
        <v>0</v>
      </c>
      <c r="DE138" s="648">
        <f t="shared" si="370"/>
        <v>0</v>
      </c>
      <c r="DF138" s="648">
        <f t="shared" si="371"/>
        <v>0</v>
      </c>
      <c r="DG138" s="649">
        <f t="shared" si="372"/>
        <v>0</v>
      </c>
      <c r="DH138" s="649">
        <f t="shared" si="373"/>
        <v>0</v>
      </c>
      <c r="DI138" s="648">
        <f t="shared" si="374"/>
        <v>0</v>
      </c>
      <c r="DJ138" s="648">
        <f t="shared" si="375"/>
        <v>0</v>
      </c>
      <c r="DK138" s="648">
        <f t="shared" si="376"/>
        <v>0</v>
      </c>
      <c r="DL138" s="648">
        <f t="shared" si="377"/>
        <v>0</v>
      </c>
      <c r="DM138" s="648">
        <f t="shared" si="378"/>
        <v>0</v>
      </c>
      <c r="DN138" s="648">
        <f t="shared" si="379"/>
        <v>0</v>
      </c>
      <c r="DO138" s="648">
        <f t="shared" si="380"/>
        <v>0</v>
      </c>
      <c r="DP138" s="651">
        <f t="shared" si="381"/>
        <v>0</v>
      </c>
      <c r="DQ138" s="951">
        <f>IF($CB138=0,0,$DP138*_xlfn.XLOOKUP($CB138,Premises!$A$10:$F$10,Premises!$A$30:$F$30)/100)</f>
        <v>0</v>
      </c>
      <c r="DR138" s="650">
        <f>IFERROR(SUM($DP138:$DQ138)*IF(INDEX(Premises!$A$42:$F$42,1,MATCH($CB138,Premises!$A$10:$F$10,0))&gt;0,INDEX(Premises!$A$42:$F$42,1,MATCH($CB138,Premises!$A$10:$F$10,0))%,$CN138),0)</f>
        <v>0</v>
      </c>
      <c r="DS138" s="650" cm="1">
        <f t="array" ref="DS138">IF($CB138=0,0,SUM($DP138:$DR138)*_xlfn.XLOOKUP($CB138,Premises!$A$10:$F$10,IF(INDEX(Settings[],MATCH(3001,Settings[ID],0),2)="B",Premises!$A$33:$F$33,Premises!$A$31:$F$31))/100)</f>
        <v>0</v>
      </c>
      <c r="DT138" s="650" cm="1">
        <f t="array" ref="DT138">IF($CB138=0,0,$DP138*_xlfn.XLOOKUP($CB138,Premises!$A$10:$F$10,IF(INDEX(Settings[],MATCH(3002,Settings[ID],0),2)="B",Premises!$A$36:$F$36,Premises!$A$34:$F$34))/100)</f>
        <v>0</v>
      </c>
      <c r="DU138" s="650">
        <f>IF($CB138=0,0,SUM($DP138:$DT138)*_xlfn.XLOOKUP($CB138,Premises!$A$10:$F$10,Premises!$A$37:$F$37)/100)</f>
        <v>0</v>
      </c>
      <c r="DV138" s="954">
        <f t="shared" si="382"/>
        <v>0</v>
      </c>
      <c r="DW138" s="951">
        <f>IF($CC138=0,0,$DV138*_xlfn.XLOOKUP($CC138,Premises!$A$10:$F$10,Premises!$A$30:$F$30)/100)</f>
        <v>0</v>
      </c>
      <c r="DX138" s="650">
        <f>IFERROR(SUM($DV138:$DW138)*IF(INDEX(Premises!$A$42:$F$42,1,MATCH($CC138,Premises!$A$10:$F$10,0))&gt;0,INDEX(Premises!$A$42:$F$42,1,MATCH($CC138,Premises!$A$10:$F$10,0))%,$CP138),0)</f>
        <v>0</v>
      </c>
      <c r="DY138" s="650" cm="1">
        <f t="array" ref="DY138">IF($CC138=0,0,SUM($DV138:$DX138)*_xlfn.XLOOKUP($CC138,Premises!$A$10:$F$10,IF(INDEX(Settings[],MATCH(3001,Settings[ID],0),2)="B",Premises!$A$33:$F$33,Premises!$A$31:$F$31))/100)</f>
        <v>0</v>
      </c>
      <c r="DZ138" s="650" cm="1">
        <f t="array" ref="DZ138">IF($CC138=0,0,$DV138*_xlfn.XLOOKUP($CC138,Premises!$A$10:$F$10,IF(INDEX(Settings[],MATCH(3002,Settings[ID],0),2)="B",Premises!$A$36:$F$36,Premises!$A$34:$F$34))/100)</f>
        <v>0</v>
      </c>
      <c r="EA138" s="650">
        <f>IF($CC138=0,0,SUM($DV138:$DZ138)*_xlfn.XLOOKUP($CC138,Premises!$A$10:$F$10,Premises!$A$37:$F$37)/100)</f>
        <v>0</v>
      </c>
      <c r="EB138" s="651">
        <f t="shared" si="383"/>
        <v>0</v>
      </c>
      <c r="EC138" s="805"/>
      <c r="ED138" s="1104"/>
      <c r="EE138" s="650"/>
      <c r="EF138" s="1110"/>
      <c r="EG138" s="1108"/>
      <c r="EH138" s="1108"/>
      <c r="EI138" s="1108"/>
      <c r="EJ138" s="1108"/>
      <c r="EK138" s="1108"/>
      <c r="EL138" s="1108"/>
      <c r="EM138" s="1110"/>
      <c r="EN138" s="1108"/>
      <c r="EO138" s="1108"/>
      <c r="EP138" s="1108"/>
      <c r="EQ138" s="1108"/>
      <c r="ER138" s="1110"/>
      <c r="ES138" s="1108"/>
      <c r="ET138" s="1108"/>
      <c r="EU138" s="1108"/>
      <c r="EV138" s="1108"/>
      <c r="EW138" s="1108"/>
      <c r="EX138" s="1111"/>
      <c r="EY138" s="2"/>
      <c r="EZ138" s="2"/>
      <c r="FA138" s="2"/>
      <c r="FB138" s="2"/>
      <c r="FC138" s="2"/>
      <c r="FD138" s="2"/>
      <c r="FE138" s="2"/>
      <c r="FF138" s="2"/>
      <c r="FG138" s="2"/>
      <c r="FH138" s="2"/>
      <c r="FI138" s="2"/>
      <c r="FJ138" s="420"/>
      <c r="FK138" s="421"/>
      <c r="FL138" s="422"/>
      <c r="FM138" s="970"/>
    </row>
    <row r="139" spans="1:169" s="13" customFormat="1" ht="12.75" customHeight="1">
      <c r="A139" s="221"/>
      <c r="B139" s="1329" t="s">
        <v>4338</v>
      </c>
      <c r="C139" s="403" t="s">
        <v>4347</v>
      </c>
      <c r="D139" s="646"/>
      <c r="E139" s="404" t="s">
        <v>4345</v>
      </c>
      <c r="F139" s="405">
        <v>1</v>
      </c>
      <c r="G139" s="405" t="s">
        <v>93</v>
      </c>
      <c r="H139" s="405">
        <v>92.5</v>
      </c>
      <c r="I139" s="637" cm="1">
        <f t="array" ref="I139">IF($CI139=0,0,IFERROR(INDEX(MHR[],$CI139,MATCH($CA139,MHR!$B$4:$AY$4,0)),0))</f>
        <v>50.88640625</v>
      </c>
      <c r="J139" s="634">
        <f t="shared" si="336"/>
        <v>1.5281203078078078E-4</v>
      </c>
      <c r="K139" s="406" t="s">
        <v>49</v>
      </c>
      <c r="L139" s="407">
        <v>30</v>
      </c>
      <c r="M139" s="871">
        <v>2</v>
      </c>
      <c r="N139" s="407"/>
      <c r="O139" s="405"/>
      <c r="P139" s="645" cm="1">
        <f t="array" ref="P139">IF($K139=0,0,IFERROR(ROUNDUP(IF(ISNUMBER($K139),$K139,INDEX($D$1:$D139,$CD139)*INDEX(Premises!$A$13:$F$13,1,$CH139)/IF(OR($K139="T",$K139="D"),250,IF($K139="W",50,IF($K139="M",12,IF(OR($K139="HJ",$K139="HY"),2,IF(OR($K139="J",$K139="Y"),1,0)))))),0),0))</f>
        <v>3334</v>
      </c>
      <c r="Q139" s="637" cm="1">
        <f t="array" ref="Q139">IF($K139=0,0,IFERROR(INDEX(Premises!$A$22:$F$22,1,$CH139)*100/INDEX(Premises!$A$16:$F$16,1,$CH139),0))</f>
        <v>16.925000000000001</v>
      </c>
      <c r="R139" s="634">
        <f t="shared" si="337"/>
        <v>1.2707919353629275E-2</v>
      </c>
      <c r="S139" s="408">
        <v>1</v>
      </c>
      <c r="T139" s="409" t="s">
        <v>275</v>
      </c>
      <c r="U139" s="637" cm="1">
        <f t="array" ref="U139">IF(COUNTBLANK($S139:$T139),0,
IF(AND(INDEX(MHR[Schichtmodell],$CI139)&lt;&gt;0,INDEX(MHR[Schichtmodell],$CI139)&lt;&gt;INDEX(Premises!$A$20:$F$20,1,$CH139)),ExchangeRate*
IF(OR($T139="M",$T139="U"),IF(INDEX(MHR[Schichtmodell],$CI139)=1,INDEX(LOC[M1S],INDEX(Premises!$A$18:$F$18,1,$CH139+1)),IF(INDEX(MHR[Schichtmodell],$CI139)=2,INDEX(LOC[M2S],INDEX(Premises!$A$18:$F$18,1,$CH139+1),IF(INDEX(MHR[Schichtmodell],$CI139)=3,INDEX(LOC[M3S],INDEX(Premises!$A$18:$F$18,1,$CH139+1)),0)))),
IF(INDEX(MHR[Schichtmodell],$CI139)=1,INDEX(LOC[F1S],INDEX(Premises!$A$18:$F$18,1,$CH139+1)),IF(INDEX(MHR[Schichtmodell],$CI139)=2,INDEX(LOC[F2S],INDEX(Premises!$A$18:$F$18,1,$CH139+1)),IF(INDEX(MHR[Schichtmodell],$CI139)=3,INDEX(LOC[F3S],INDEX(Premises!$A$18:$F$18,1,$CH139+1)),0)))),
IF(OR($T139="M",$T139="U"),INDEX(Premises!$A$21:$F$21,1,$CH139),
IF(OR($T139="F",$T139="S"),INDEX(Premises!$A$22:$F$22,1,$CH139),0)))*100/INDEX(Premises!$A$16:$F$16,1,$CH139))</f>
        <v>12.037500000000001</v>
      </c>
      <c r="V139" s="631">
        <f t="shared" si="338"/>
        <v>3.6148648648648655E-5</v>
      </c>
      <c r="W139" s="410"/>
      <c r="X139" s="403"/>
      <c r="Y139" s="411"/>
      <c r="Z139" s="412"/>
      <c r="AA139" s="628">
        <f t="shared" si="339"/>
        <v>0</v>
      </c>
      <c r="AB139" s="410"/>
      <c r="AC139" s="403"/>
      <c r="AD139" s="411"/>
      <c r="AE139" s="413"/>
      <c r="AF139" s="628">
        <f t="shared" si="340"/>
        <v>0</v>
      </c>
      <c r="AG139" s="629" cm="1">
        <f t="array" ref="AG139">IF(($J139+$V139+$AF139)=0,0,INDEX(Premises!$A$30:$F$30,1,$CH139)/100)</f>
        <v>0.01</v>
      </c>
      <c r="AH139" s="414"/>
      <c r="AI139" s="415"/>
      <c r="AJ139" s="416"/>
      <c r="AK139" s="630">
        <f t="shared" si="341"/>
        <v>0</v>
      </c>
      <c r="AL139" s="631">
        <f t="shared" si="342"/>
        <v>1.8896067942942946E-6</v>
      </c>
      <c r="AM139" s="632" cm="1">
        <f t="array" ref="AM139">IF($CI139=0,0,IFERROR(INDEX(MHR[],$CI139,MATCH($CA139,MHR!$B$4:$AY$4,0)+11),0))</f>
        <v>4.2450010155189757</v>
      </c>
      <c r="AN139" s="633" cm="1">
        <f t="array" ref="AN139">IF(($J139+$V139)=0,0,IFERROR(IF(INDEX(Premises!$A$41:$F$41,1,$CH139)&lt;&gt;0,INDEX(Premises!$A$41:$F$41,1,$CH139)/100,(IFERROR(($J139/$I139)*$AM139,0)/($V139+$J139+$R139+$AL139))),0))</f>
        <v>9.8829199631318958E-4</v>
      </c>
      <c r="AO139" s="634">
        <f t="shared" si="343"/>
        <v>1.2747750797354282E-5</v>
      </c>
      <c r="AP139" s="635">
        <f t="shared" si="344"/>
        <v>1.2911517390650353E-2</v>
      </c>
      <c r="AQ139" s="410"/>
      <c r="AR139" s="409"/>
      <c r="AS139" s="636" cm="1">
        <f t="array" ref="AS139">IF($CJ139=0,0,IFERROR(INDEX(MAT[Einheit],$CJ139,1),0))</f>
        <v>0</v>
      </c>
      <c r="AT139" s="637" cm="1">
        <f t="array" ref="AT139">IF($CJ139=0,0,IFERROR(INDEX(MAT[Preis],$CJ139,1),0))</f>
        <v>0</v>
      </c>
      <c r="AU139" s="638">
        <f t="shared" si="345"/>
        <v>0</v>
      </c>
      <c r="AV139" s="639" cm="1">
        <f t="array" ref="AV139">IF($AU139&lt;=0,0,INDEX(Premises!$A$30:$F$30,1,$CH139)/100)</f>
        <v>0</v>
      </c>
      <c r="AW139" s="409"/>
      <c r="AX139" s="631">
        <f t="shared" si="346"/>
        <v>0</v>
      </c>
      <c r="AY139" s="640" cm="1">
        <f t="array" ref="AY139">IF($AT139&lt;=0,0,IFERROR(IF(INDEX(Premises!$A$42:$F$42,1,$CH139)&lt;&gt;0,INDEX(Premises!$A$42:$F$42,1,$CH139)/100,(INDEX(MAT[],$CJ139,MATCH($CA139,MAT!$B$4:$AE$4,0))/($AR139*$CK139*INDEX(Premises!$A$13:$F$13,1,$CH139))+INDEX(MAT[],$CJ139,MATCH($CA139,MAT!$B$4:$AE$4,0)+7))/$AT139),0))</f>
        <v>0</v>
      </c>
      <c r="AZ139" s="631">
        <f t="shared" si="347"/>
        <v>0</v>
      </c>
      <c r="BA139" s="635">
        <f t="shared" si="348"/>
        <v>0</v>
      </c>
      <c r="BB139" s="635">
        <f t="shared" si="349"/>
        <v>1.2911517390650353E-2</v>
      </c>
      <c r="BC139" s="639" cm="1">
        <f t="array" ref="BC139">IF($BB139&lt;=0,0,IF(BC$2=-1,0,INDEX(Premises!$A$32:$F$32,1,$CH139)/100))</f>
        <v>0</v>
      </c>
      <c r="BD139" s="631">
        <f t="shared" si="350"/>
        <v>0</v>
      </c>
      <c r="BE139" s="639" cm="1">
        <f t="array" ref="BE139">IF($BB139&lt;=0,0,IF(BE$2=-1,0,INDEX(Premises!$A$33:$F$33,1,$CH139)/100))</f>
        <v>0</v>
      </c>
      <c r="BF139" s="631">
        <f t="shared" si="351"/>
        <v>0</v>
      </c>
      <c r="BG139" s="639" cm="1">
        <f t="array" ref="BG139">IF($BB139&lt;=0,0,IF(BG$2=-1,0,INDEX(Premises!$A$31:$F$31,1,$CH139)/100))</f>
        <v>0.125</v>
      </c>
      <c r="BH139" s="631">
        <f t="shared" si="352"/>
        <v>1.6137034729820073E-3</v>
      </c>
      <c r="BI139" s="635">
        <f t="shared" si="353"/>
        <v>1.452522086363236E-2</v>
      </c>
      <c r="BJ139" s="639" cm="1">
        <f t="array" ref="BJ139">IF($BB139&lt;=0,0,IF(BJ$2=-1,0,INDEX(Premises!$A$35:$F$35,1,$CH139)/100))</f>
        <v>0</v>
      </c>
      <c r="BK139" s="631">
        <f t="shared" si="354"/>
        <v>0</v>
      </c>
      <c r="BL139" s="639" cm="1">
        <f t="array" ref="BL139">IF($BB139&lt;=0,0,IF(BL$2=-1,0,INDEX(Premises!$A$36:$F$36,1,$CH139)/100))</f>
        <v>0</v>
      </c>
      <c r="BM139" s="631">
        <f t="shared" si="355"/>
        <v>0</v>
      </c>
      <c r="BN139" s="639" cm="1">
        <f t="array" ref="BN139">IF($BB139&lt;=0,0,IF(BN$2=-1,0,INDEX(Premises!$A$34:$F$34,1,$CH139)/100))</f>
        <v>0.06</v>
      </c>
      <c r="BO139" s="631">
        <f t="shared" si="356"/>
        <v>7.7457766703136345E-4</v>
      </c>
      <c r="BP139" s="639" cm="1">
        <f t="array" ref="BP139">IF($BI139=0,0,INDEX(Premises!$A$37:$F$37,1,$CH139)/100)</f>
        <v>0</v>
      </c>
      <c r="BQ139" s="409"/>
      <c r="BR139" s="631">
        <f t="shared" si="357"/>
        <v>0</v>
      </c>
      <c r="BS139" s="641">
        <f t="shared" si="358"/>
        <v>1.5299798530663723E-2</v>
      </c>
      <c r="BT139" s="641">
        <f t="shared" si="359"/>
        <v>1.5299798530663723E-2</v>
      </c>
      <c r="BU139" s="642">
        <f t="shared" si="360"/>
        <v>1</v>
      </c>
      <c r="BV139" s="1147"/>
      <c r="BW139" s="418"/>
      <c r="BX139" s="418"/>
      <c r="BY139" s="419"/>
      <c r="BZ139" s="968"/>
      <c r="CA139" s="280" cm="1">
        <f t="array" ref="CA139">IF($BZ139&gt;0,VALUE(LEFT($BZ139,IF(ISERROR(FIND("-",$BZ139)),LEN($BZ139),FIND("-",$BZ139)-1))),INDEX($CA$1:$CA139,MAX(1,$CD139)))</f>
        <v>1</v>
      </c>
      <c r="CB139" s="280" cm="1">
        <f t="array" ref="CB139">IF($BT139=0,0,IF(LEN($BZ139)-LEN(SUBSTITUTE($BZ139,"-",""))&gt;1,
VALUE(MID($BZ139,FIND("-",$BZ139)+1,FIND("-",$BZ139,FIND("-",$BZ139)+1)-FIND("-",$BZ139)-1)),IF($BZ139&gt;0,0,INDEX($CB$1:$CB139,MAX(1,$CD139)))))</f>
        <v>0</v>
      </c>
      <c r="CC139" s="280" cm="1">
        <f t="array" ref="CC139">IF($BT139=0,0,IF(NOT(ISERROR(FIND("-",BZ139))),
VALUE(RIGHT($BZ139,LEN($BZ139)-IF(LEN($BZ139)-LEN(SUBSTITUTE($BZ139,"-",""))=1,FIND("-",$BZ139),FIND("-",$BZ139,FIND("-",$BZ139)+1)))),
IF($BZ139&gt;0,0,INDEX($CC$1:$CC139,MAX(1,$CD139)))))</f>
        <v>0</v>
      </c>
      <c r="CD139" s="393">
        <f>MATCH(0,$CE$1:$CE139,-1)</f>
        <v>136</v>
      </c>
      <c r="CE139" s="280"/>
      <c r="CF139" s="394"/>
      <c r="CG139" s="393" cm="1">
        <f t="array" ref="CG139">INDEX($CG$1:$CG139,$CD139)</f>
        <v>18</v>
      </c>
      <c r="CH139" s="280">
        <f>MATCH($CA139,Premises!$A$10:$F$10,0)</f>
        <v>4</v>
      </c>
      <c r="CI139" s="280">
        <f>IF(ISBLANK($E139),0,IFERROR(MATCH($E139,MHR[Bezeichnung],0),0))</f>
        <v>6</v>
      </c>
      <c r="CJ139" s="394">
        <f>IF(ISBLANK($AQ139),0,IFERROR(MATCH($AQ139,MAT[Bezeichnung],0),0))</f>
        <v>0</v>
      </c>
      <c r="CK139" s="280" cm="1">
        <f t="array" ref="CK139">INDEX($D$1:$D139,$CD139)</f>
        <v>1</v>
      </c>
      <c r="CL139" s="280"/>
      <c r="CM139" s="395"/>
      <c r="CN139" s="396" cm="1">
        <f t="array" ref="CN139">IF($CB139=0,0,IF($CB139=INDEX($CB$1:$CB139,$CD139),INDEX($CN$1:$CN139,$CD139),$CP139))</f>
        <v>0</v>
      </c>
      <c r="CO139" s="395"/>
      <c r="CP139" s="396" cm="1">
        <f t="array" ref="CP139">IF($CC139=0,0,INDEX($CP$1:$CP139,$CD139))</f>
        <v>0</v>
      </c>
      <c r="CQ139" s="397"/>
      <c r="CR139" s="398"/>
      <c r="CS139" s="398"/>
      <c r="CT139" s="1152"/>
      <c r="CU139" s="1149"/>
      <c r="CV139" s="647">
        <f t="shared" si="361"/>
        <v>1.5281203078078078E-4</v>
      </c>
      <c r="CW139" s="648">
        <f t="shared" si="362"/>
        <v>1.2707919353629275E-2</v>
      </c>
      <c r="CX139" s="648">
        <f t="shared" si="363"/>
        <v>3.6148648648648655E-5</v>
      </c>
      <c r="CY139" s="648">
        <f t="shared" si="364"/>
        <v>0</v>
      </c>
      <c r="CZ139" s="648">
        <f t="shared" si="365"/>
        <v>0</v>
      </c>
      <c r="DA139" s="648">
        <f t="shared" si="366"/>
        <v>1.8896067942942946E-6</v>
      </c>
      <c r="DB139" s="648">
        <f t="shared" si="367"/>
        <v>1.2747750797354282E-5</v>
      </c>
      <c r="DC139" s="649">
        <f t="shared" si="368"/>
        <v>1.2911517390650353E-2</v>
      </c>
      <c r="DD139" s="648">
        <f t="shared" si="369"/>
        <v>0</v>
      </c>
      <c r="DE139" s="648">
        <f t="shared" si="370"/>
        <v>0</v>
      </c>
      <c r="DF139" s="648">
        <f t="shared" si="371"/>
        <v>0</v>
      </c>
      <c r="DG139" s="649">
        <f t="shared" si="372"/>
        <v>0</v>
      </c>
      <c r="DH139" s="649">
        <f t="shared" si="373"/>
        <v>1.2911517390650353E-2</v>
      </c>
      <c r="DI139" s="648">
        <f t="shared" si="374"/>
        <v>0</v>
      </c>
      <c r="DJ139" s="648">
        <f t="shared" si="375"/>
        <v>0</v>
      </c>
      <c r="DK139" s="648">
        <f t="shared" si="376"/>
        <v>1.6137034729820073E-3</v>
      </c>
      <c r="DL139" s="648">
        <f t="shared" si="377"/>
        <v>0</v>
      </c>
      <c r="DM139" s="648">
        <f t="shared" si="378"/>
        <v>0</v>
      </c>
      <c r="DN139" s="648">
        <f t="shared" si="379"/>
        <v>7.7457766703136345E-4</v>
      </c>
      <c r="DO139" s="648">
        <f t="shared" si="380"/>
        <v>0</v>
      </c>
      <c r="DP139" s="651">
        <f t="shared" si="381"/>
        <v>1.5299798530663723E-2</v>
      </c>
      <c r="DQ139" s="951">
        <f>IF($CB139=0,0,$DP139*_xlfn.XLOOKUP($CB139,Premises!$A$10:$F$10,Premises!$A$30:$F$30)/100)</f>
        <v>0</v>
      </c>
      <c r="DR139" s="650">
        <f>IFERROR(SUM($DP139:$DQ139)*IF(INDEX(Premises!$A$42:$F$42,1,MATCH($CB139,Premises!$A$10:$F$10,0))&gt;0,INDEX(Premises!$A$42:$F$42,1,MATCH($CB139,Premises!$A$10:$F$10,0))%,$CN139),0)</f>
        <v>0</v>
      </c>
      <c r="DS139" s="650" cm="1">
        <f t="array" ref="DS139">IF($CB139=0,0,SUM($DP139:$DR139)*_xlfn.XLOOKUP($CB139,Premises!$A$10:$F$10,IF(INDEX(Settings[],MATCH(3001,Settings[ID],0),2)="B",Premises!$A$33:$F$33,Premises!$A$31:$F$31))/100)</f>
        <v>0</v>
      </c>
      <c r="DT139" s="650" cm="1">
        <f t="array" ref="DT139">IF($CB139=0,0,$DP139*_xlfn.XLOOKUP($CB139,Premises!$A$10:$F$10,IF(INDEX(Settings[],MATCH(3002,Settings[ID],0),2)="B",Premises!$A$36:$F$36,Premises!$A$34:$F$34))/100)</f>
        <v>0</v>
      </c>
      <c r="DU139" s="650">
        <f>IF($CB139=0,0,SUM($DP139:$DT139)*_xlfn.XLOOKUP($CB139,Premises!$A$10:$F$10,Premises!$A$37:$F$37)/100)</f>
        <v>0</v>
      </c>
      <c r="DV139" s="954">
        <f t="shared" si="382"/>
        <v>1.5299798530663723E-2</v>
      </c>
      <c r="DW139" s="951">
        <f>IF($CC139=0,0,$DV139*_xlfn.XLOOKUP($CC139,Premises!$A$10:$F$10,Premises!$A$30:$F$30)/100)</f>
        <v>0</v>
      </c>
      <c r="DX139" s="650">
        <f>IFERROR(SUM($DV139:$DW139)*IF(INDEX(Premises!$A$42:$F$42,1,MATCH($CC139,Premises!$A$10:$F$10,0))&gt;0,INDEX(Premises!$A$42:$F$42,1,MATCH($CC139,Premises!$A$10:$F$10,0))%,$CP139),0)</f>
        <v>0</v>
      </c>
      <c r="DY139" s="650" cm="1">
        <f t="array" ref="DY139">IF($CC139=0,0,SUM($DV139:$DX139)*_xlfn.XLOOKUP($CC139,Premises!$A$10:$F$10,IF(INDEX(Settings[],MATCH(3001,Settings[ID],0),2)="B",Premises!$A$33:$F$33,Premises!$A$31:$F$31))/100)</f>
        <v>0</v>
      </c>
      <c r="DZ139" s="650" cm="1">
        <f t="array" ref="DZ139">IF($CC139=0,0,$DV139*_xlfn.XLOOKUP($CC139,Premises!$A$10:$F$10,IF(INDEX(Settings[],MATCH(3002,Settings[ID],0),2)="B",Premises!$A$36:$F$36,Premises!$A$34:$F$34))/100)</f>
        <v>0</v>
      </c>
      <c r="EA139" s="650">
        <f>IF($CC139=0,0,SUM($DV139:$DZ139)*_xlfn.XLOOKUP($CC139,Premises!$A$10:$F$10,Premises!$A$37:$F$37)/100)</f>
        <v>0</v>
      </c>
      <c r="EB139" s="651">
        <f t="shared" si="383"/>
        <v>1.5299798530663723E-2</v>
      </c>
      <c r="EC139" s="805"/>
      <c r="ED139" s="1104"/>
      <c r="EE139" s="650"/>
      <c r="EF139" s="1110"/>
      <c r="EG139" s="1108"/>
      <c r="EH139" s="1108"/>
      <c r="EI139" s="1108"/>
      <c r="EJ139" s="1108"/>
      <c r="EK139" s="1108"/>
      <c r="EL139" s="1108"/>
      <c r="EM139" s="1110"/>
      <c r="EN139" s="1108"/>
      <c r="EO139" s="1108"/>
      <c r="EP139" s="1108"/>
      <c r="EQ139" s="1108"/>
      <c r="ER139" s="1110"/>
      <c r="ES139" s="1108"/>
      <c r="ET139" s="1108"/>
      <c r="EU139" s="1108"/>
      <c r="EV139" s="1108"/>
      <c r="EW139" s="1108"/>
      <c r="EX139" s="1111"/>
      <c r="EY139" s="2"/>
      <c r="EZ139" s="2"/>
      <c r="FA139" s="2"/>
      <c r="FB139" s="2"/>
      <c r="FC139" s="2"/>
      <c r="FD139" s="2"/>
      <c r="FE139" s="2"/>
      <c r="FF139" s="2"/>
      <c r="FG139" s="2"/>
      <c r="FH139" s="2"/>
      <c r="FI139" s="2"/>
      <c r="FJ139" s="420"/>
      <c r="FK139" s="421"/>
      <c r="FL139" s="422"/>
      <c r="FM139" s="1153"/>
    </row>
    <row r="140" spans="1:169" s="13" customFormat="1" ht="12.75" customHeight="1">
      <c r="A140" s="221"/>
      <c r="B140" s="1329"/>
      <c r="C140" s="403"/>
      <c r="D140" s="646"/>
      <c r="E140" s="404"/>
      <c r="F140" s="405"/>
      <c r="G140" s="405"/>
      <c r="H140" s="405"/>
      <c r="I140" s="637" cm="1">
        <f t="array" ref="I140">IF($CI140=0,0,IFERROR(INDEX(MHR[],$CI140,MATCH($CA140,MHR!$B$4:$AY$4,0)),0))</f>
        <v>0</v>
      </c>
      <c r="J140" s="634">
        <f t="shared" si="336"/>
        <v>0</v>
      </c>
      <c r="K140" s="406"/>
      <c r="L140" s="407"/>
      <c r="M140" s="871"/>
      <c r="N140" s="407"/>
      <c r="O140" s="405"/>
      <c r="P140" s="645" cm="1">
        <f t="array" ref="P140">IF($K140=0,0,IFERROR(ROUNDUP(IF(ISNUMBER($K140),$K140,INDEX($D$1:$D140,$CD140)*INDEX(Premises!$A$13:$F$13,1,$CH140)/IF(OR($K140="T",$K140="D"),250,IF($K140="W",50,IF($K140="M",12,IF(OR($K140="HJ",$K140="HY"),2,IF(OR($K140="J",$K140="Y"),1,0)))))),0),0))</f>
        <v>0</v>
      </c>
      <c r="Q140" s="637" cm="1">
        <f t="array" ref="Q140">IF($K140=0,0,IFERROR(INDEX(Premises!$A$22:$F$22,1,$CH140)*100/INDEX(Premises!$A$16:$F$16,1,$CH140),0))</f>
        <v>0</v>
      </c>
      <c r="R140" s="634">
        <f t="shared" si="337"/>
        <v>0</v>
      </c>
      <c r="S140" s="408"/>
      <c r="T140" s="409"/>
      <c r="U140" s="637" cm="1">
        <f t="array" ref="U140">IF(COUNTBLANK($S140:$T140),0,
IF(AND(INDEX(MHR[Schichtmodell],$CI140)&lt;&gt;0,INDEX(MHR[Schichtmodell],$CI140)&lt;&gt;INDEX(Premises!$A$20:$F$20,1,$CH140)),ExchangeRate*
IF(OR($T140="M",$T140="U"),IF(INDEX(MHR[Schichtmodell],$CI140)=1,INDEX(LOC[M1S],INDEX(Premises!$A$18:$F$18,1,$CH140+1)),IF(INDEX(MHR[Schichtmodell],$CI140)=2,INDEX(LOC[M2S],INDEX(Premises!$A$18:$F$18,1,$CH140+1),IF(INDEX(MHR[Schichtmodell],$CI140)=3,INDEX(LOC[M3S],INDEX(Premises!$A$18:$F$18,1,$CH140+1)),0)))),
IF(INDEX(MHR[Schichtmodell],$CI140)=1,INDEX(LOC[F1S],INDEX(Premises!$A$18:$F$18,1,$CH140+1)),IF(INDEX(MHR[Schichtmodell],$CI140)=2,INDEX(LOC[F2S],INDEX(Premises!$A$18:$F$18,1,$CH140+1)),IF(INDEX(MHR[Schichtmodell],$CI140)=3,INDEX(LOC[F3S],INDEX(Premises!$A$18:$F$18,1,$CH140+1)),0)))),
IF(OR($T140="M",$T140="U"),INDEX(Premises!$A$21:$F$21,1,$CH140),
IF(OR($T140="F",$T140="S"),INDEX(Premises!$A$22:$F$22,1,$CH140),0)))*100/INDEX(Premises!$A$16:$F$16,1,$CH140))</f>
        <v>0</v>
      </c>
      <c r="V140" s="631">
        <f t="shared" si="338"/>
        <v>0</v>
      </c>
      <c r="W140" s="410"/>
      <c r="X140" s="403"/>
      <c r="Y140" s="411"/>
      <c r="Z140" s="412"/>
      <c r="AA140" s="628">
        <f t="shared" si="339"/>
        <v>0</v>
      </c>
      <c r="AB140" s="410"/>
      <c r="AC140" s="403"/>
      <c r="AD140" s="411"/>
      <c r="AE140" s="413"/>
      <c r="AF140" s="628">
        <f t="shared" si="340"/>
        <v>0</v>
      </c>
      <c r="AG140" s="629" cm="1">
        <f t="array" ref="AG140">IF(($J140+$V140+$AF140)=0,0,INDEX(Premises!$A$30:$F$30,1,$CH140)/100)</f>
        <v>0</v>
      </c>
      <c r="AH140" s="414"/>
      <c r="AI140" s="415"/>
      <c r="AJ140" s="416"/>
      <c r="AK140" s="630">
        <f t="shared" si="341"/>
        <v>0</v>
      </c>
      <c r="AL140" s="631">
        <f t="shared" si="342"/>
        <v>0</v>
      </c>
      <c r="AM140" s="632" cm="1">
        <f t="array" ref="AM140">IF($CI140=0,0,IFERROR(INDEX(MHR[],$CI140,MATCH($CA140,MHR!$B$4:$AY$4,0)+11),0))</f>
        <v>0</v>
      </c>
      <c r="AN140" s="633" cm="1">
        <f t="array" ref="AN140">IF(($J140+$V140)=0,0,IFERROR(IF(INDEX(Premises!$A$41:$F$41,1,$CH140)&lt;&gt;0,INDEX(Premises!$A$41:$F$41,1,$CH140)/100,(IFERROR(($J140/$I140)*$AM140,0)/($V140+$J140+$R140+$AL140))),0))</f>
        <v>0</v>
      </c>
      <c r="AO140" s="634">
        <f t="shared" si="343"/>
        <v>0</v>
      </c>
      <c r="AP140" s="635">
        <f t="shared" si="344"/>
        <v>0</v>
      </c>
      <c r="AQ140" s="410"/>
      <c r="AR140" s="409"/>
      <c r="AS140" s="636" cm="1">
        <f t="array" ref="AS140">IF($CJ140=0,0,IFERROR(INDEX(MAT[Einheit],$CJ140,1),0))</f>
        <v>0</v>
      </c>
      <c r="AT140" s="637" cm="1">
        <f t="array" ref="AT140">IF($CJ140=0,0,IFERROR(INDEX(MAT[Preis],$CJ140,1),0))</f>
        <v>0</v>
      </c>
      <c r="AU140" s="638">
        <f t="shared" si="345"/>
        <v>0</v>
      </c>
      <c r="AV140" s="639" cm="1">
        <f t="array" ref="AV140">IF($AU140&lt;=0,0,INDEX(Premises!$A$30:$F$30,1,$CH140)/100)</f>
        <v>0</v>
      </c>
      <c r="AW140" s="409"/>
      <c r="AX140" s="631">
        <f t="shared" si="346"/>
        <v>0</v>
      </c>
      <c r="AY140" s="640" cm="1">
        <f t="array" ref="AY140">IF($AT140&lt;=0,0,IFERROR(IF(INDEX(Premises!$A$42:$F$42,1,$CH140)&lt;&gt;0,INDEX(Premises!$A$42:$F$42,1,$CH140)/100,(INDEX(MAT[],$CJ140,MATCH($CA140,MAT!$B$4:$AE$4,0))/($AR140*$CK140*INDEX(Premises!$A$13:$F$13,1,$CH140))+INDEX(MAT[],$CJ140,MATCH($CA140,MAT!$B$4:$AE$4,0)+7))/$AT140),0))</f>
        <v>0</v>
      </c>
      <c r="AZ140" s="631">
        <f t="shared" si="347"/>
        <v>0</v>
      </c>
      <c r="BA140" s="635">
        <f t="shared" si="348"/>
        <v>0</v>
      </c>
      <c r="BB140" s="635">
        <f t="shared" si="349"/>
        <v>0</v>
      </c>
      <c r="BC140" s="639" cm="1">
        <f t="array" ref="BC140">IF($BB140&lt;=0,0,IF(BC$2=-1,0,INDEX(Premises!$A$32:$F$32,1,$CH140)/100))</f>
        <v>0</v>
      </c>
      <c r="BD140" s="631">
        <f t="shared" si="350"/>
        <v>0</v>
      </c>
      <c r="BE140" s="639" cm="1">
        <f t="array" ref="BE140">IF($BB140&lt;=0,0,IF(BE$2=-1,0,INDEX(Premises!$A$33:$F$33,1,$CH140)/100))</f>
        <v>0</v>
      </c>
      <c r="BF140" s="631">
        <f t="shared" si="351"/>
        <v>0</v>
      </c>
      <c r="BG140" s="639" cm="1">
        <f t="array" ref="BG140">IF($BB140&lt;=0,0,IF(BG$2=-1,0,INDEX(Premises!$A$31:$F$31,1,$CH140)/100))</f>
        <v>0</v>
      </c>
      <c r="BH140" s="631">
        <f t="shared" si="352"/>
        <v>0</v>
      </c>
      <c r="BI140" s="635">
        <f t="shared" si="353"/>
        <v>0</v>
      </c>
      <c r="BJ140" s="639" cm="1">
        <f t="array" ref="BJ140">IF($BB140&lt;=0,0,IF(BJ$2=-1,0,INDEX(Premises!$A$35:$F$35,1,$CH140)/100))</f>
        <v>0</v>
      </c>
      <c r="BK140" s="631">
        <f t="shared" si="354"/>
        <v>0</v>
      </c>
      <c r="BL140" s="639" cm="1">
        <f t="array" ref="BL140">IF($BB140&lt;=0,0,IF(BL$2=-1,0,INDEX(Premises!$A$36:$F$36,1,$CH140)/100))</f>
        <v>0</v>
      </c>
      <c r="BM140" s="631">
        <f t="shared" si="355"/>
        <v>0</v>
      </c>
      <c r="BN140" s="639" cm="1">
        <f t="array" ref="BN140">IF($BB140&lt;=0,0,IF(BN$2=-1,0,INDEX(Premises!$A$34:$F$34,1,$CH140)/100))</f>
        <v>0</v>
      </c>
      <c r="BO140" s="631">
        <f t="shared" si="356"/>
        <v>0</v>
      </c>
      <c r="BP140" s="639" cm="1">
        <f t="array" ref="BP140">IF($BI140=0,0,INDEX(Premises!$A$37:$F$37,1,$CH140)/100)</f>
        <v>0</v>
      </c>
      <c r="BQ140" s="409"/>
      <c r="BR140" s="631">
        <f t="shared" si="357"/>
        <v>0</v>
      </c>
      <c r="BS140" s="641">
        <f t="shared" si="358"/>
        <v>0</v>
      </c>
      <c r="BT140" s="641">
        <f t="shared" si="359"/>
        <v>0</v>
      </c>
      <c r="BU140" s="642">
        <f t="shared" si="360"/>
        <v>0</v>
      </c>
      <c r="BV140" s="1147"/>
      <c r="BW140" s="418"/>
      <c r="BX140" s="418"/>
      <c r="BY140" s="419"/>
      <c r="BZ140" s="968"/>
      <c r="CA140" s="280" cm="1">
        <f t="array" ref="CA140">IF($BZ140&gt;0,VALUE(LEFT($BZ140,IF(ISERROR(FIND("-",$BZ140)),LEN($BZ140),FIND("-",$BZ140)-1))),INDEX($CA$1:$CA140,MAX(1,$CD140)))</f>
        <v>1</v>
      </c>
      <c r="CB140" s="280" cm="1">
        <f t="array" ref="CB140">IF($BT140=0,0,IF(LEN($BZ140)-LEN(SUBSTITUTE($BZ140,"-",""))&gt;1,
VALUE(MID($BZ140,FIND("-",$BZ140)+1,FIND("-",$BZ140,FIND("-",$BZ140)+1)-FIND("-",$BZ140)-1)),IF($BZ140&gt;0,0,INDEX($CB$1:$CB140,MAX(1,$CD140)))))</f>
        <v>0</v>
      </c>
      <c r="CC140" s="280" cm="1">
        <f t="array" ref="CC140">IF($BT140=0,0,IF(NOT(ISERROR(FIND("-",BZ140))),
VALUE(RIGHT($BZ140,LEN($BZ140)-IF(LEN($BZ140)-LEN(SUBSTITUTE($BZ140,"-",""))=1,FIND("-",$BZ140),FIND("-",$BZ140,FIND("-",$BZ140)+1)))),
IF($BZ140&gt;0,0,INDEX($CC$1:$CC140,MAX(1,$CD140)))))</f>
        <v>0</v>
      </c>
      <c r="CD140" s="393">
        <f>MATCH(0,$CE$1:$CE140,-1)</f>
        <v>136</v>
      </c>
      <c r="CE140" s="280"/>
      <c r="CF140" s="394"/>
      <c r="CG140" s="393" cm="1">
        <f t="array" ref="CG140">INDEX($CG$1:$CG140,$CD140)</f>
        <v>18</v>
      </c>
      <c r="CH140" s="280">
        <f>MATCH($CA140,Premises!$A$10:$F$10,0)</f>
        <v>4</v>
      </c>
      <c r="CI140" s="280">
        <f>IF(ISBLANK($E140),0,IFERROR(MATCH($E140,MHR[Bezeichnung],0),0))</f>
        <v>0</v>
      </c>
      <c r="CJ140" s="394">
        <f>IF(ISBLANK($AQ140),0,IFERROR(MATCH($AQ140,MAT[Bezeichnung],0),0))</f>
        <v>0</v>
      </c>
      <c r="CK140" s="280" cm="1">
        <f t="array" ref="CK140">INDEX($D$1:$D140,$CD140)</f>
        <v>1</v>
      </c>
      <c r="CL140" s="280"/>
      <c r="CM140" s="395"/>
      <c r="CN140" s="396" cm="1">
        <f t="array" ref="CN140">IF($CB140=0,0,IF($CB140=INDEX($CB$1:$CB140,$CD140),INDEX($CN$1:$CN140,$CD140),$CP140))</f>
        <v>0</v>
      </c>
      <c r="CO140" s="395"/>
      <c r="CP140" s="396" cm="1">
        <f t="array" ref="CP140">IF($CC140=0,0,INDEX($CP$1:$CP140,$CD140))</f>
        <v>0</v>
      </c>
      <c r="CQ140" s="397"/>
      <c r="CR140" s="398"/>
      <c r="CS140" s="398"/>
      <c r="CT140" s="1152"/>
      <c r="CU140" s="1149"/>
      <c r="CV140" s="647">
        <f t="shared" si="361"/>
        <v>0</v>
      </c>
      <c r="CW140" s="648">
        <f t="shared" si="362"/>
        <v>0</v>
      </c>
      <c r="CX140" s="648">
        <f t="shared" si="363"/>
        <v>0</v>
      </c>
      <c r="CY140" s="648">
        <f t="shared" si="364"/>
        <v>0</v>
      </c>
      <c r="CZ140" s="648">
        <f t="shared" si="365"/>
        <v>0</v>
      </c>
      <c r="DA140" s="648">
        <f t="shared" si="366"/>
        <v>0</v>
      </c>
      <c r="DB140" s="648">
        <f t="shared" si="367"/>
        <v>0</v>
      </c>
      <c r="DC140" s="649">
        <f t="shared" si="368"/>
        <v>0</v>
      </c>
      <c r="DD140" s="648">
        <f t="shared" si="369"/>
        <v>0</v>
      </c>
      <c r="DE140" s="648">
        <f t="shared" si="370"/>
        <v>0</v>
      </c>
      <c r="DF140" s="648">
        <f t="shared" si="371"/>
        <v>0</v>
      </c>
      <c r="DG140" s="649">
        <f t="shared" si="372"/>
        <v>0</v>
      </c>
      <c r="DH140" s="649">
        <f t="shared" si="373"/>
        <v>0</v>
      </c>
      <c r="DI140" s="648">
        <f t="shared" si="374"/>
        <v>0</v>
      </c>
      <c r="DJ140" s="648">
        <f t="shared" si="375"/>
        <v>0</v>
      </c>
      <c r="DK140" s="648">
        <f t="shared" si="376"/>
        <v>0</v>
      </c>
      <c r="DL140" s="648">
        <f t="shared" si="377"/>
        <v>0</v>
      </c>
      <c r="DM140" s="648">
        <f t="shared" si="378"/>
        <v>0</v>
      </c>
      <c r="DN140" s="648">
        <f t="shared" si="379"/>
        <v>0</v>
      </c>
      <c r="DO140" s="648">
        <f t="shared" si="380"/>
        <v>0</v>
      </c>
      <c r="DP140" s="651">
        <f t="shared" si="381"/>
        <v>0</v>
      </c>
      <c r="DQ140" s="951">
        <f>IF($CB140=0,0,$DP140*_xlfn.XLOOKUP($CB140,Premises!$A$10:$F$10,Premises!$A$30:$F$30)/100)</f>
        <v>0</v>
      </c>
      <c r="DR140" s="650">
        <f>IFERROR(SUM($DP140:$DQ140)*IF(INDEX(Premises!$A$42:$F$42,1,MATCH($CB140,Premises!$A$10:$F$10,0))&gt;0,INDEX(Premises!$A$42:$F$42,1,MATCH($CB140,Premises!$A$10:$F$10,0))%,$CN140),0)</f>
        <v>0</v>
      </c>
      <c r="DS140" s="650" cm="1">
        <f t="array" ref="DS140">IF($CB140=0,0,SUM($DP140:$DR140)*_xlfn.XLOOKUP($CB140,Premises!$A$10:$F$10,IF(INDEX(Settings[],MATCH(3001,Settings[ID],0),2)="B",Premises!$A$33:$F$33,Premises!$A$31:$F$31))/100)</f>
        <v>0</v>
      </c>
      <c r="DT140" s="650" cm="1">
        <f t="array" ref="DT140">IF($CB140=0,0,$DP140*_xlfn.XLOOKUP($CB140,Premises!$A$10:$F$10,IF(INDEX(Settings[],MATCH(3002,Settings[ID],0),2)="B",Premises!$A$36:$F$36,Premises!$A$34:$F$34))/100)</f>
        <v>0</v>
      </c>
      <c r="DU140" s="650">
        <f>IF($CB140=0,0,SUM($DP140:$DT140)*_xlfn.XLOOKUP($CB140,Premises!$A$10:$F$10,Premises!$A$37:$F$37)/100)</f>
        <v>0</v>
      </c>
      <c r="DV140" s="954">
        <f t="shared" si="382"/>
        <v>0</v>
      </c>
      <c r="DW140" s="951">
        <f>IF($CC140=0,0,$DV140*_xlfn.XLOOKUP($CC140,Premises!$A$10:$F$10,Premises!$A$30:$F$30)/100)</f>
        <v>0</v>
      </c>
      <c r="DX140" s="650">
        <f>IFERROR(SUM($DV140:$DW140)*IF(INDEX(Premises!$A$42:$F$42,1,MATCH($CC140,Premises!$A$10:$F$10,0))&gt;0,INDEX(Premises!$A$42:$F$42,1,MATCH($CC140,Premises!$A$10:$F$10,0))%,$CP140),0)</f>
        <v>0</v>
      </c>
      <c r="DY140" s="650" cm="1">
        <f t="array" ref="DY140">IF($CC140=0,0,SUM($DV140:$DX140)*_xlfn.XLOOKUP($CC140,Premises!$A$10:$F$10,IF(INDEX(Settings[],MATCH(3001,Settings[ID],0),2)="B",Premises!$A$33:$F$33,Premises!$A$31:$F$31))/100)</f>
        <v>0</v>
      </c>
      <c r="DZ140" s="650" cm="1">
        <f t="array" ref="DZ140">IF($CC140=0,0,$DV140*_xlfn.XLOOKUP($CC140,Premises!$A$10:$F$10,IF(INDEX(Settings[],MATCH(3002,Settings[ID],0),2)="B",Premises!$A$36:$F$36,Premises!$A$34:$F$34))/100)</f>
        <v>0</v>
      </c>
      <c r="EA140" s="650">
        <f>IF($CC140=0,0,SUM($DV140:$DZ140)*_xlfn.XLOOKUP($CC140,Premises!$A$10:$F$10,Premises!$A$37:$F$37)/100)</f>
        <v>0</v>
      </c>
      <c r="EB140" s="651">
        <f t="shared" si="383"/>
        <v>0</v>
      </c>
      <c r="EC140" s="805"/>
      <c r="ED140" s="1104"/>
      <c r="EE140" s="650"/>
      <c r="EF140" s="1110"/>
      <c r="EG140" s="1108"/>
      <c r="EH140" s="1108"/>
      <c r="EI140" s="1108"/>
      <c r="EJ140" s="1108"/>
      <c r="EK140" s="1108"/>
      <c r="EL140" s="1108"/>
      <c r="EM140" s="1110"/>
      <c r="EN140" s="1108"/>
      <c r="EO140" s="1108"/>
      <c r="EP140" s="1108"/>
      <c r="EQ140" s="1108"/>
      <c r="ER140" s="1110"/>
      <c r="ES140" s="1108"/>
      <c r="ET140" s="1108"/>
      <c r="EU140" s="1108"/>
      <c r="EV140" s="1108"/>
      <c r="EW140" s="1108"/>
      <c r="EX140" s="1111"/>
      <c r="EY140" s="2"/>
      <c r="EZ140" s="2"/>
      <c r="FA140" s="2"/>
      <c r="FB140" s="2"/>
      <c r="FC140" s="2"/>
      <c r="FD140" s="2"/>
      <c r="FE140" s="2"/>
      <c r="FF140" s="2"/>
      <c r="FG140" s="2"/>
      <c r="FH140" s="2"/>
      <c r="FI140" s="2"/>
      <c r="FJ140" s="420"/>
      <c r="FK140" s="421"/>
      <c r="FL140" s="422"/>
      <c r="FM140" s="1153"/>
    </row>
    <row r="141" spans="1:169" s="13" customFormat="1" ht="12.75" customHeight="1">
      <c r="A141" s="221"/>
      <c r="B141" s="1329" t="s">
        <v>4339</v>
      </c>
      <c r="C141" s="403" t="s">
        <v>4347</v>
      </c>
      <c r="D141" s="646"/>
      <c r="E141" s="404" t="s">
        <v>4345</v>
      </c>
      <c r="F141" s="405">
        <v>1</v>
      </c>
      <c r="G141" s="405" t="s">
        <v>93</v>
      </c>
      <c r="H141" s="405">
        <v>92.5</v>
      </c>
      <c r="I141" s="637" cm="1">
        <f t="array" ref="I141">IF($CI141=0,0,IFERROR(INDEX(MHR[],$CI141,MATCH($CA141,MHR!$B$4:$AY$4,0)),0))</f>
        <v>50.88640625</v>
      </c>
      <c r="J141" s="634">
        <f t="shared" si="336"/>
        <v>1.5281203078078078E-4</v>
      </c>
      <c r="K141" s="406" t="s">
        <v>49</v>
      </c>
      <c r="L141" s="407">
        <v>30</v>
      </c>
      <c r="M141" s="871">
        <v>2</v>
      </c>
      <c r="N141" s="407"/>
      <c r="O141" s="405"/>
      <c r="P141" s="645" cm="1">
        <f t="array" ref="P141">IF($K141=0,0,IFERROR(ROUNDUP(IF(ISNUMBER($K141),$K141,INDEX($D$1:$D141,$CD141)*INDEX(Premises!$A$13:$F$13,1,$CH141)/IF(OR($K141="T",$K141="D"),250,IF($K141="W",50,IF($K141="M",12,IF(OR($K141="HJ",$K141="HY"),2,IF(OR($K141="J",$K141="Y"),1,0)))))),0),0))</f>
        <v>3334</v>
      </c>
      <c r="Q141" s="637" cm="1">
        <f t="array" ref="Q141">IF($K141=0,0,IFERROR(INDEX(Premises!$A$22:$F$22,1,$CH141)*100/INDEX(Premises!$A$16:$F$16,1,$CH141),0))</f>
        <v>16.925000000000001</v>
      </c>
      <c r="R141" s="634">
        <f t="shared" si="337"/>
        <v>1.2707919353629275E-2</v>
      </c>
      <c r="S141" s="408">
        <v>1</v>
      </c>
      <c r="T141" s="409" t="s">
        <v>275</v>
      </c>
      <c r="U141" s="637" cm="1">
        <f t="array" ref="U141">IF(COUNTBLANK($S141:$T141),0,
IF(AND(INDEX(MHR[Schichtmodell],$CI141)&lt;&gt;0,INDEX(MHR[Schichtmodell],$CI141)&lt;&gt;INDEX(Premises!$A$20:$F$20,1,$CH141)),ExchangeRate*
IF(OR($T141="M",$T141="U"),IF(INDEX(MHR[Schichtmodell],$CI141)=1,INDEX(LOC[M1S],INDEX(Premises!$A$18:$F$18,1,$CH141+1)),IF(INDEX(MHR[Schichtmodell],$CI141)=2,INDEX(LOC[M2S],INDEX(Premises!$A$18:$F$18,1,$CH141+1),IF(INDEX(MHR[Schichtmodell],$CI141)=3,INDEX(LOC[M3S],INDEX(Premises!$A$18:$F$18,1,$CH141+1)),0)))),
IF(INDEX(MHR[Schichtmodell],$CI141)=1,INDEX(LOC[F1S],INDEX(Premises!$A$18:$F$18,1,$CH141+1)),IF(INDEX(MHR[Schichtmodell],$CI141)=2,INDEX(LOC[F2S],INDEX(Premises!$A$18:$F$18,1,$CH141+1)),IF(INDEX(MHR[Schichtmodell],$CI141)=3,INDEX(LOC[F3S],INDEX(Premises!$A$18:$F$18,1,$CH141+1)),0)))),
IF(OR($T141="M",$T141="U"),INDEX(Premises!$A$21:$F$21,1,$CH141),
IF(OR($T141="F",$T141="S"),INDEX(Premises!$A$22:$F$22,1,$CH141),0)))*100/INDEX(Premises!$A$16:$F$16,1,$CH141))</f>
        <v>12.037500000000001</v>
      </c>
      <c r="V141" s="631">
        <f t="shared" si="338"/>
        <v>3.6148648648648655E-5</v>
      </c>
      <c r="W141" s="410"/>
      <c r="X141" s="403"/>
      <c r="Y141" s="411"/>
      <c r="Z141" s="412"/>
      <c r="AA141" s="628">
        <f t="shared" si="339"/>
        <v>0</v>
      </c>
      <c r="AB141" s="410"/>
      <c r="AC141" s="403"/>
      <c r="AD141" s="411"/>
      <c r="AE141" s="413"/>
      <c r="AF141" s="628">
        <f t="shared" si="340"/>
        <v>0</v>
      </c>
      <c r="AG141" s="629" cm="1">
        <f t="array" ref="AG141">IF(($J141+$V141+$AF141)=0,0,INDEX(Premises!$A$30:$F$30,1,$CH141)/100)</f>
        <v>0.01</v>
      </c>
      <c r="AH141" s="414"/>
      <c r="AI141" s="415"/>
      <c r="AJ141" s="416"/>
      <c r="AK141" s="630">
        <f t="shared" si="341"/>
        <v>0</v>
      </c>
      <c r="AL141" s="631">
        <f t="shared" si="342"/>
        <v>1.8896067942942946E-6</v>
      </c>
      <c r="AM141" s="632" cm="1">
        <f t="array" ref="AM141">IF($CI141=0,0,IFERROR(INDEX(MHR[],$CI141,MATCH($CA141,MHR!$B$4:$AY$4,0)+11),0))</f>
        <v>4.2450010155189757</v>
      </c>
      <c r="AN141" s="633" cm="1">
        <f t="array" ref="AN141">IF(($J141+$V141)=0,0,IFERROR(IF(INDEX(Premises!$A$41:$F$41,1,$CH141)&lt;&gt;0,INDEX(Premises!$A$41:$F$41,1,$CH141)/100,(IFERROR(($J141/$I141)*$AM141,0)/($V141+$J141+$R141+$AL141))),0))</f>
        <v>9.8829199631318958E-4</v>
      </c>
      <c r="AO141" s="634">
        <f t="shared" si="343"/>
        <v>1.2747750797354282E-5</v>
      </c>
      <c r="AP141" s="635">
        <f t="shared" si="344"/>
        <v>1.2911517390650353E-2</v>
      </c>
      <c r="AQ141" s="410"/>
      <c r="AR141" s="409"/>
      <c r="AS141" s="636" cm="1">
        <f t="array" ref="AS141">IF($CJ141=0,0,IFERROR(INDEX(MAT[Einheit],$CJ141,1),0))</f>
        <v>0</v>
      </c>
      <c r="AT141" s="637" cm="1">
        <f t="array" ref="AT141">IF($CJ141=0,0,IFERROR(INDEX(MAT[Preis],$CJ141,1),0))</f>
        <v>0</v>
      </c>
      <c r="AU141" s="638">
        <f t="shared" si="345"/>
        <v>0</v>
      </c>
      <c r="AV141" s="639" cm="1">
        <f t="array" ref="AV141">IF($AU141&lt;=0,0,INDEX(Premises!$A$30:$F$30,1,$CH141)/100)</f>
        <v>0</v>
      </c>
      <c r="AW141" s="409"/>
      <c r="AX141" s="631">
        <f t="shared" si="346"/>
        <v>0</v>
      </c>
      <c r="AY141" s="640" cm="1">
        <f t="array" ref="AY141">IF($AT141&lt;=0,0,IFERROR(IF(INDEX(Premises!$A$42:$F$42,1,$CH141)&lt;&gt;0,INDEX(Premises!$A$42:$F$42,1,$CH141)/100,(INDEX(MAT[],$CJ141,MATCH($CA141,MAT!$B$4:$AE$4,0))/($AR141*$CK141*INDEX(Premises!$A$13:$F$13,1,$CH141))+INDEX(MAT[],$CJ141,MATCH($CA141,MAT!$B$4:$AE$4,0)+7))/$AT141),0))</f>
        <v>0</v>
      </c>
      <c r="AZ141" s="631">
        <f t="shared" si="347"/>
        <v>0</v>
      </c>
      <c r="BA141" s="635">
        <f t="shared" si="348"/>
        <v>0</v>
      </c>
      <c r="BB141" s="635">
        <f t="shared" si="349"/>
        <v>1.2911517390650353E-2</v>
      </c>
      <c r="BC141" s="639" cm="1">
        <f t="array" ref="BC141">IF($BB141&lt;=0,0,IF(BC$2=-1,0,INDEX(Premises!$A$32:$F$32,1,$CH141)/100))</f>
        <v>0</v>
      </c>
      <c r="BD141" s="631">
        <f t="shared" si="350"/>
        <v>0</v>
      </c>
      <c r="BE141" s="639" cm="1">
        <f t="array" ref="BE141">IF($BB141&lt;=0,0,IF(BE$2=-1,0,INDEX(Premises!$A$33:$F$33,1,$CH141)/100))</f>
        <v>0</v>
      </c>
      <c r="BF141" s="631">
        <f t="shared" si="351"/>
        <v>0</v>
      </c>
      <c r="BG141" s="639" cm="1">
        <f t="array" ref="BG141">IF($BB141&lt;=0,0,IF(BG$2=-1,0,INDEX(Premises!$A$31:$F$31,1,$CH141)/100))</f>
        <v>0.125</v>
      </c>
      <c r="BH141" s="631">
        <f t="shared" si="352"/>
        <v>1.6137034729820073E-3</v>
      </c>
      <c r="BI141" s="635">
        <f t="shared" si="353"/>
        <v>1.452522086363236E-2</v>
      </c>
      <c r="BJ141" s="639" cm="1">
        <f t="array" ref="BJ141">IF($BB141&lt;=0,0,IF(BJ$2=-1,0,INDEX(Premises!$A$35:$F$35,1,$CH141)/100))</f>
        <v>0</v>
      </c>
      <c r="BK141" s="631">
        <f t="shared" si="354"/>
        <v>0</v>
      </c>
      <c r="BL141" s="639" cm="1">
        <f t="array" ref="BL141">IF($BB141&lt;=0,0,IF(BL$2=-1,0,INDEX(Premises!$A$36:$F$36,1,$CH141)/100))</f>
        <v>0</v>
      </c>
      <c r="BM141" s="631">
        <f t="shared" si="355"/>
        <v>0</v>
      </c>
      <c r="BN141" s="639" cm="1">
        <f t="array" ref="BN141">IF($BB141&lt;=0,0,IF(BN$2=-1,0,INDEX(Premises!$A$34:$F$34,1,$CH141)/100))</f>
        <v>0.06</v>
      </c>
      <c r="BO141" s="631">
        <f t="shared" si="356"/>
        <v>7.7457766703136345E-4</v>
      </c>
      <c r="BP141" s="639" cm="1">
        <f t="array" ref="BP141">IF($BI141=0,0,INDEX(Premises!$A$37:$F$37,1,$CH141)/100)</f>
        <v>0</v>
      </c>
      <c r="BQ141" s="409"/>
      <c r="BR141" s="631">
        <f t="shared" si="357"/>
        <v>0</v>
      </c>
      <c r="BS141" s="641">
        <f t="shared" si="358"/>
        <v>1.5299798530663723E-2</v>
      </c>
      <c r="BT141" s="641">
        <f t="shared" si="359"/>
        <v>1.5299798530663723E-2</v>
      </c>
      <c r="BU141" s="642">
        <f t="shared" si="360"/>
        <v>1</v>
      </c>
      <c r="BV141" s="1147"/>
      <c r="BW141" s="418"/>
      <c r="BX141" s="418"/>
      <c r="BY141" s="419"/>
      <c r="BZ141" s="968"/>
      <c r="CA141" s="280" cm="1">
        <f t="array" ref="CA141">IF($BZ141&gt;0,VALUE(LEFT($BZ141,IF(ISERROR(FIND("-",$BZ141)),LEN($BZ141),FIND("-",$BZ141)-1))),INDEX($CA$1:$CA141,MAX(1,$CD141)))</f>
        <v>1</v>
      </c>
      <c r="CB141" s="280" cm="1">
        <f t="array" ref="CB141">IF($BT141=0,0,IF(LEN($BZ141)-LEN(SUBSTITUTE($BZ141,"-",""))&gt;1,
VALUE(MID($BZ141,FIND("-",$BZ141)+1,FIND("-",$BZ141,FIND("-",$BZ141)+1)-FIND("-",$BZ141)-1)),IF($BZ141&gt;0,0,INDEX($CB$1:$CB141,MAX(1,$CD141)))))</f>
        <v>0</v>
      </c>
      <c r="CC141" s="280" cm="1">
        <f t="array" ref="CC141">IF($BT141=0,0,IF(NOT(ISERROR(FIND("-",BZ141))),
VALUE(RIGHT($BZ141,LEN($BZ141)-IF(LEN($BZ141)-LEN(SUBSTITUTE($BZ141,"-",""))=1,FIND("-",$BZ141),FIND("-",$BZ141,FIND("-",$BZ141)+1)))),
IF($BZ141&gt;0,0,INDEX($CC$1:$CC141,MAX(1,$CD141)))))</f>
        <v>0</v>
      </c>
      <c r="CD141" s="393">
        <f>MATCH(0,$CE$1:$CE141,-1)</f>
        <v>136</v>
      </c>
      <c r="CE141" s="280"/>
      <c r="CF141" s="394"/>
      <c r="CG141" s="393" cm="1">
        <f t="array" ref="CG141">INDEX($CG$1:$CG141,$CD141)</f>
        <v>18</v>
      </c>
      <c r="CH141" s="280">
        <f>MATCH($CA141,Premises!$A$10:$F$10,0)</f>
        <v>4</v>
      </c>
      <c r="CI141" s="280">
        <f>IF(ISBLANK($E141),0,IFERROR(MATCH($E141,MHR[Bezeichnung],0),0))</f>
        <v>6</v>
      </c>
      <c r="CJ141" s="394">
        <f>IF(ISBLANK($AQ141),0,IFERROR(MATCH($AQ141,MAT[Bezeichnung],0),0))</f>
        <v>0</v>
      </c>
      <c r="CK141" s="280" cm="1">
        <f t="array" ref="CK141">INDEX($D$1:$D141,$CD141)</f>
        <v>1</v>
      </c>
      <c r="CL141" s="280"/>
      <c r="CM141" s="395"/>
      <c r="CN141" s="396" cm="1">
        <f t="array" ref="CN141">IF($CB141=0,0,IF($CB141=INDEX($CB$1:$CB141,$CD141),INDEX($CN$1:$CN141,$CD141),$CP141))</f>
        <v>0</v>
      </c>
      <c r="CO141" s="395"/>
      <c r="CP141" s="396" cm="1">
        <f t="array" ref="CP141">IF($CC141=0,0,INDEX($CP$1:$CP141,$CD141))</f>
        <v>0</v>
      </c>
      <c r="CQ141" s="397"/>
      <c r="CR141" s="398"/>
      <c r="CS141" s="398"/>
      <c r="CT141" s="1152"/>
      <c r="CU141" s="1149"/>
      <c r="CV141" s="647">
        <f t="shared" si="361"/>
        <v>1.5281203078078078E-4</v>
      </c>
      <c r="CW141" s="648">
        <f t="shared" si="362"/>
        <v>1.2707919353629275E-2</v>
      </c>
      <c r="CX141" s="648">
        <f t="shared" si="363"/>
        <v>3.6148648648648655E-5</v>
      </c>
      <c r="CY141" s="648">
        <f t="shared" si="364"/>
        <v>0</v>
      </c>
      <c r="CZ141" s="648">
        <f t="shared" si="365"/>
        <v>0</v>
      </c>
      <c r="DA141" s="648">
        <f t="shared" si="366"/>
        <v>1.8896067942942946E-6</v>
      </c>
      <c r="DB141" s="648">
        <f t="shared" si="367"/>
        <v>1.2747750797354282E-5</v>
      </c>
      <c r="DC141" s="649">
        <f t="shared" si="368"/>
        <v>1.2911517390650353E-2</v>
      </c>
      <c r="DD141" s="648">
        <f t="shared" si="369"/>
        <v>0</v>
      </c>
      <c r="DE141" s="648">
        <f t="shared" si="370"/>
        <v>0</v>
      </c>
      <c r="DF141" s="648">
        <f t="shared" si="371"/>
        <v>0</v>
      </c>
      <c r="DG141" s="649">
        <f t="shared" si="372"/>
        <v>0</v>
      </c>
      <c r="DH141" s="649">
        <f t="shared" si="373"/>
        <v>1.2911517390650353E-2</v>
      </c>
      <c r="DI141" s="648">
        <f t="shared" si="374"/>
        <v>0</v>
      </c>
      <c r="DJ141" s="648">
        <f t="shared" si="375"/>
        <v>0</v>
      </c>
      <c r="DK141" s="648">
        <f t="shared" si="376"/>
        <v>1.6137034729820073E-3</v>
      </c>
      <c r="DL141" s="648">
        <f t="shared" si="377"/>
        <v>0</v>
      </c>
      <c r="DM141" s="648">
        <f t="shared" si="378"/>
        <v>0</v>
      </c>
      <c r="DN141" s="648">
        <f t="shared" si="379"/>
        <v>7.7457766703136345E-4</v>
      </c>
      <c r="DO141" s="648">
        <f t="shared" si="380"/>
        <v>0</v>
      </c>
      <c r="DP141" s="651">
        <f t="shared" si="381"/>
        <v>1.5299798530663723E-2</v>
      </c>
      <c r="DQ141" s="951">
        <f>IF($CB141=0,0,$DP141*_xlfn.XLOOKUP($CB141,Premises!$A$10:$F$10,Premises!$A$30:$F$30)/100)</f>
        <v>0</v>
      </c>
      <c r="DR141" s="650">
        <f>IFERROR(SUM($DP141:$DQ141)*IF(INDEX(Premises!$A$42:$F$42,1,MATCH($CB141,Premises!$A$10:$F$10,0))&gt;0,INDEX(Premises!$A$42:$F$42,1,MATCH($CB141,Premises!$A$10:$F$10,0))%,$CN141),0)</f>
        <v>0</v>
      </c>
      <c r="DS141" s="650" cm="1">
        <f t="array" ref="DS141">IF($CB141=0,0,SUM($DP141:$DR141)*_xlfn.XLOOKUP($CB141,Premises!$A$10:$F$10,IF(INDEX(Settings[],MATCH(3001,Settings[ID],0),2)="B",Premises!$A$33:$F$33,Premises!$A$31:$F$31))/100)</f>
        <v>0</v>
      </c>
      <c r="DT141" s="650" cm="1">
        <f t="array" ref="DT141">IF($CB141=0,0,$DP141*_xlfn.XLOOKUP($CB141,Premises!$A$10:$F$10,IF(INDEX(Settings[],MATCH(3002,Settings[ID],0),2)="B",Premises!$A$36:$F$36,Premises!$A$34:$F$34))/100)</f>
        <v>0</v>
      </c>
      <c r="DU141" s="650">
        <f>IF($CB141=0,0,SUM($DP141:$DT141)*_xlfn.XLOOKUP($CB141,Premises!$A$10:$F$10,Premises!$A$37:$F$37)/100)</f>
        <v>0</v>
      </c>
      <c r="DV141" s="954">
        <f t="shared" si="382"/>
        <v>1.5299798530663723E-2</v>
      </c>
      <c r="DW141" s="951">
        <f>IF($CC141=0,0,$DV141*_xlfn.XLOOKUP($CC141,Premises!$A$10:$F$10,Premises!$A$30:$F$30)/100)</f>
        <v>0</v>
      </c>
      <c r="DX141" s="650">
        <f>IFERROR(SUM($DV141:$DW141)*IF(INDEX(Premises!$A$42:$F$42,1,MATCH($CC141,Premises!$A$10:$F$10,0))&gt;0,INDEX(Premises!$A$42:$F$42,1,MATCH($CC141,Premises!$A$10:$F$10,0))%,$CP141),0)</f>
        <v>0</v>
      </c>
      <c r="DY141" s="650" cm="1">
        <f t="array" ref="DY141">IF($CC141=0,0,SUM($DV141:$DX141)*_xlfn.XLOOKUP($CC141,Premises!$A$10:$F$10,IF(INDEX(Settings[],MATCH(3001,Settings[ID],0),2)="B",Premises!$A$33:$F$33,Premises!$A$31:$F$31))/100)</f>
        <v>0</v>
      </c>
      <c r="DZ141" s="650" cm="1">
        <f t="array" ref="DZ141">IF($CC141=0,0,$DV141*_xlfn.XLOOKUP($CC141,Premises!$A$10:$F$10,IF(INDEX(Settings[],MATCH(3002,Settings[ID],0),2)="B",Premises!$A$36:$F$36,Premises!$A$34:$F$34))/100)</f>
        <v>0</v>
      </c>
      <c r="EA141" s="650">
        <f>IF($CC141=0,0,SUM($DV141:$DZ141)*_xlfn.XLOOKUP($CC141,Premises!$A$10:$F$10,Premises!$A$37:$F$37)/100)</f>
        <v>0</v>
      </c>
      <c r="EB141" s="651">
        <f t="shared" si="383"/>
        <v>1.5299798530663723E-2</v>
      </c>
      <c r="EC141" s="805"/>
      <c r="ED141" s="1104"/>
      <c r="EE141" s="650"/>
      <c r="EF141" s="1110"/>
      <c r="EG141" s="1108"/>
      <c r="EH141" s="1108"/>
      <c r="EI141" s="1108"/>
      <c r="EJ141" s="1108"/>
      <c r="EK141" s="1108"/>
      <c r="EL141" s="1108"/>
      <c r="EM141" s="1110"/>
      <c r="EN141" s="1108"/>
      <c r="EO141" s="1108"/>
      <c r="EP141" s="1108"/>
      <c r="EQ141" s="1108"/>
      <c r="ER141" s="1110"/>
      <c r="ES141" s="1108"/>
      <c r="ET141" s="1108"/>
      <c r="EU141" s="1108"/>
      <c r="EV141" s="1108"/>
      <c r="EW141" s="1108"/>
      <c r="EX141" s="1111"/>
      <c r="EY141" s="2"/>
      <c r="EZ141" s="2"/>
      <c r="FA141" s="2"/>
      <c r="FB141" s="2"/>
      <c r="FC141" s="2"/>
      <c r="FD141" s="2"/>
      <c r="FE141" s="2"/>
      <c r="FF141" s="2"/>
      <c r="FG141" s="2"/>
      <c r="FH141" s="2"/>
      <c r="FI141" s="2"/>
      <c r="FJ141" s="420"/>
      <c r="FK141" s="421"/>
      <c r="FL141" s="422"/>
      <c r="FM141" s="1153"/>
    </row>
    <row r="142" spans="1:169" s="13" customFormat="1" ht="12.75" customHeight="1">
      <c r="A142" s="221"/>
      <c r="B142" s="1329"/>
      <c r="C142" s="403"/>
      <c r="D142" s="646"/>
      <c r="E142" s="404"/>
      <c r="F142" s="405"/>
      <c r="G142" s="405"/>
      <c r="H142" s="405"/>
      <c r="I142" s="637" cm="1">
        <f t="array" ref="I142">IF($CI142=0,0,IFERROR(INDEX(MHR[],$CI142,MATCH($CA142,MHR!$B$4:$AY$4,0)),0))</f>
        <v>0</v>
      </c>
      <c r="J142" s="634">
        <f t="shared" si="336"/>
        <v>0</v>
      </c>
      <c r="K142" s="406"/>
      <c r="L142" s="407"/>
      <c r="M142" s="871"/>
      <c r="N142" s="407"/>
      <c r="O142" s="405"/>
      <c r="P142" s="645" cm="1">
        <f t="array" ref="P142">IF($K142=0,0,IFERROR(ROUNDUP(IF(ISNUMBER($K142),$K142,INDEX($D$1:$D142,$CD142)*INDEX(Premises!$A$13:$F$13,1,$CH142)/IF(OR($K142="T",$K142="D"),250,IF($K142="W",50,IF($K142="M",12,IF(OR($K142="HJ",$K142="HY"),2,IF(OR($K142="J",$K142="Y"),1,0)))))),0),0))</f>
        <v>0</v>
      </c>
      <c r="Q142" s="637" cm="1">
        <f t="array" ref="Q142">IF($K142=0,0,IFERROR(INDEX(Premises!$A$22:$F$22,1,$CH142)*100/INDEX(Premises!$A$16:$F$16,1,$CH142),0))</f>
        <v>0</v>
      </c>
      <c r="R142" s="634">
        <f t="shared" si="337"/>
        <v>0</v>
      </c>
      <c r="S142" s="408"/>
      <c r="T142" s="409"/>
      <c r="U142" s="637" cm="1">
        <f t="array" ref="U142">IF(COUNTBLANK($S142:$T142),0,
IF(AND(INDEX(MHR[Schichtmodell],$CI142)&lt;&gt;0,INDEX(MHR[Schichtmodell],$CI142)&lt;&gt;INDEX(Premises!$A$20:$F$20,1,$CH142)),ExchangeRate*
IF(OR($T142="M",$T142="U"),IF(INDEX(MHR[Schichtmodell],$CI142)=1,INDEX(LOC[M1S],INDEX(Premises!$A$18:$F$18,1,$CH142+1)),IF(INDEX(MHR[Schichtmodell],$CI142)=2,INDEX(LOC[M2S],INDEX(Premises!$A$18:$F$18,1,$CH142+1),IF(INDEX(MHR[Schichtmodell],$CI142)=3,INDEX(LOC[M3S],INDEX(Premises!$A$18:$F$18,1,$CH142+1)),0)))),
IF(INDEX(MHR[Schichtmodell],$CI142)=1,INDEX(LOC[F1S],INDEX(Premises!$A$18:$F$18,1,$CH142+1)),IF(INDEX(MHR[Schichtmodell],$CI142)=2,INDEX(LOC[F2S],INDEX(Premises!$A$18:$F$18,1,$CH142+1)),IF(INDEX(MHR[Schichtmodell],$CI142)=3,INDEX(LOC[F3S],INDEX(Premises!$A$18:$F$18,1,$CH142+1)),0)))),
IF(OR($T142="M",$T142="U"),INDEX(Premises!$A$21:$F$21,1,$CH142),
IF(OR($T142="F",$T142="S"),INDEX(Premises!$A$22:$F$22,1,$CH142),0)))*100/INDEX(Premises!$A$16:$F$16,1,$CH142))</f>
        <v>0</v>
      </c>
      <c r="V142" s="631">
        <f t="shared" si="338"/>
        <v>0</v>
      </c>
      <c r="W142" s="410"/>
      <c r="X142" s="403"/>
      <c r="Y142" s="411"/>
      <c r="Z142" s="412"/>
      <c r="AA142" s="628">
        <f t="shared" si="339"/>
        <v>0</v>
      </c>
      <c r="AB142" s="410"/>
      <c r="AC142" s="403"/>
      <c r="AD142" s="411"/>
      <c r="AE142" s="413"/>
      <c r="AF142" s="628">
        <f t="shared" si="340"/>
        <v>0</v>
      </c>
      <c r="AG142" s="629" cm="1">
        <f t="array" ref="AG142">IF(($J142+$V142+$AF142)=0,0,INDEX(Premises!$A$30:$F$30,1,$CH142)/100)</f>
        <v>0</v>
      </c>
      <c r="AH142" s="414"/>
      <c r="AI142" s="415"/>
      <c r="AJ142" s="416"/>
      <c r="AK142" s="630">
        <f t="shared" si="341"/>
        <v>0</v>
      </c>
      <c r="AL142" s="631">
        <f t="shared" si="342"/>
        <v>0</v>
      </c>
      <c r="AM142" s="632" cm="1">
        <f t="array" ref="AM142">IF($CI142=0,0,IFERROR(INDEX(MHR[],$CI142,MATCH($CA142,MHR!$B$4:$AY$4,0)+11),0))</f>
        <v>0</v>
      </c>
      <c r="AN142" s="633" cm="1">
        <f t="array" ref="AN142">IF(($J142+$V142)=0,0,IFERROR(IF(INDEX(Premises!$A$41:$F$41,1,$CH142)&lt;&gt;0,INDEX(Premises!$A$41:$F$41,1,$CH142)/100,(IFERROR(($J142/$I142)*$AM142,0)/($V142+$J142+$R142+$AL142))),0))</f>
        <v>0</v>
      </c>
      <c r="AO142" s="634">
        <f t="shared" si="343"/>
        <v>0</v>
      </c>
      <c r="AP142" s="635">
        <f t="shared" si="344"/>
        <v>0</v>
      </c>
      <c r="AQ142" s="410"/>
      <c r="AR142" s="409"/>
      <c r="AS142" s="636" cm="1">
        <f t="array" ref="AS142">IF($CJ142=0,0,IFERROR(INDEX(MAT[Einheit],$CJ142,1),0))</f>
        <v>0</v>
      </c>
      <c r="AT142" s="637" cm="1">
        <f t="array" ref="AT142">IF($CJ142=0,0,IFERROR(INDEX(MAT[Preis],$CJ142,1),0))</f>
        <v>0</v>
      </c>
      <c r="AU142" s="638">
        <f t="shared" si="345"/>
        <v>0</v>
      </c>
      <c r="AV142" s="639" cm="1">
        <f t="array" ref="AV142">IF($AU142&lt;=0,0,INDEX(Premises!$A$30:$F$30,1,$CH142)/100)</f>
        <v>0</v>
      </c>
      <c r="AW142" s="409"/>
      <c r="AX142" s="631">
        <f t="shared" si="346"/>
        <v>0</v>
      </c>
      <c r="AY142" s="640" cm="1">
        <f t="array" ref="AY142">IF($AT142&lt;=0,0,IFERROR(IF(INDEX(Premises!$A$42:$F$42,1,$CH142)&lt;&gt;0,INDEX(Premises!$A$42:$F$42,1,$CH142)/100,(INDEX(MAT[],$CJ142,MATCH($CA142,MAT!$B$4:$AE$4,0))/($AR142*$CK142*INDEX(Premises!$A$13:$F$13,1,$CH142))+INDEX(MAT[],$CJ142,MATCH($CA142,MAT!$B$4:$AE$4,0)+7))/$AT142),0))</f>
        <v>0</v>
      </c>
      <c r="AZ142" s="631">
        <f t="shared" si="347"/>
        <v>0</v>
      </c>
      <c r="BA142" s="635">
        <f t="shared" si="348"/>
        <v>0</v>
      </c>
      <c r="BB142" s="635">
        <f t="shared" si="349"/>
        <v>0</v>
      </c>
      <c r="BC142" s="639" cm="1">
        <f t="array" ref="BC142">IF($BB142&lt;=0,0,IF(BC$2=-1,0,INDEX(Premises!$A$32:$F$32,1,$CH142)/100))</f>
        <v>0</v>
      </c>
      <c r="BD142" s="631">
        <f t="shared" si="350"/>
        <v>0</v>
      </c>
      <c r="BE142" s="639" cm="1">
        <f t="array" ref="BE142">IF($BB142&lt;=0,0,IF(BE$2=-1,0,INDEX(Premises!$A$33:$F$33,1,$CH142)/100))</f>
        <v>0</v>
      </c>
      <c r="BF142" s="631">
        <f t="shared" si="351"/>
        <v>0</v>
      </c>
      <c r="BG142" s="639" cm="1">
        <f t="array" ref="BG142">IF($BB142&lt;=0,0,IF(BG$2=-1,0,INDEX(Premises!$A$31:$F$31,1,$CH142)/100))</f>
        <v>0</v>
      </c>
      <c r="BH142" s="631">
        <f t="shared" si="352"/>
        <v>0</v>
      </c>
      <c r="BI142" s="635">
        <f t="shared" si="353"/>
        <v>0</v>
      </c>
      <c r="BJ142" s="639" cm="1">
        <f t="array" ref="BJ142">IF($BB142&lt;=0,0,IF(BJ$2=-1,0,INDEX(Premises!$A$35:$F$35,1,$CH142)/100))</f>
        <v>0</v>
      </c>
      <c r="BK142" s="631">
        <f t="shared" si="354"/>
        <v>0</v>
      </c>
      <c r="BL142" s="639" cm="1">
        <f t="array" ref="BL142">IF($BB142&lt;=0,0,IF(BL$2=-1,0,INDEX(Premises!$A$36:$F$36,1,$CH142)/100))</f>
        <v>0</v>
      </c>
      <c r="BM142" s="631">
        <f t="shared" si="355"/>
        <v>0</v>
      </c>
      <c r="BN142" s="639" cm="1">
        <f t="array" ref="BN142">IF($BB142&lt;=0,0,IF(BN$2=-1,0,INDEX(Premises!$A$34:$F$34,1,$CH142)/100))</f>
        <v>0</v>
      </c>
      <c r="BO142" s="631">
        <f t="shared" si="356"/>
        <v>0</v>
      </c>
      <c r="BP142" s="639" cm="1">
        <f t="array" ref="BP142">IF($BI142=0,0,INDEX(Premises!$A$37:$F$37,1,$CH142)/100)</f>
        <v>0</v>
      </c>
      <c r="BQ142" s="409"/>
      <c r="BR142" s="631">
        <f t="shared" si="357"/>
        <v>0</v>
      </c>
      <c r="BS142" s="641">
        <f t="shared" si="358"/>
        <v>0</v>
      </c>
      <c r="BT142" s="641">
        <f t="shared" si="359"/>
        <v>0</v>
      </c>
      <c r="BU142" s="642">
        <f t="shared" si="360"/>
        <v>0</v>
      </c>
      <c r="BV142" s="1147"/>
      <c r="BW142" s="418"/>
      <c r="BX142" s="418"/>
      <c r="BY142" s="419"/>
      <c r="BZ142" s="968"/>
      <c r="CA142" s="280" cm="1">
        <f t="array" ref="CA142">IF($BZ142&gt;0,VALUE(LEFT($BZ142,IF(ISERROR(FIND("-",$BZ142)),LEN($BZ142),FIND("-",$BZ142)-1))),INDEX($CA$1:$CA142,MAX(1,$CD142)))</f>
        <v>1</v>
      </c>
      <c r="CB142" s="280" cm="1">
        <f t="array" ref="CB142">IF($BT142=0,0,IF(LEN($BZ142)-LEN(SUBSTITUTE($BZ142,"-",""))&gt;1,
VALUE(MID($BZ142,FIND("-",$BZ142)+1,FIND("-",$BZ142,FIND("-",$BZ142)+1)-FIND("-",$BZ142)-1)),IF($BZ142&gt;0,0,INDEX($CB$1:$CB142,MAX(1,$CD142)))))</f>
        <v>0</v>
      </c>
      <c r="CC142" s="280" cm="1">
        <f t="array" ref="CC142">IF($BT142=0,0,IF(NOT(ISERROR(FIND("-",BZ142))),
VALUE(RIGHT($BZ142,LEN($BZ142)-IF(LEN($BZ142)-LEN(SUBSTITUTE($BZ142,"-",""))=1,FIND("-",$BZ142),FIND("-",$BZ142,FIND("-",$BZ142)+1)))),
IF($BZ142&gt;0,0,INDEX($CC$1:$CC142,MAX(1,$CD142)))))</f>
        <v>0</v>
      </c>
      <c r="CD142" s="393">
        <f>MATCH(0,$CE$1:$CE142,-1)</f>
        <v>136</v>
      </c>
      <c r="CE142" s="280"/>
      <c r="CF142" s="394"/>
      <c r="CG142" s="393" cm="1">
        <f t="array" ref="CG142">INDEX($CG$1:$CG142,$CD142)</f>
        <v>18</v>
      </c>
      <c r="CH142" s="280">
        <f>MATCH($CA142,Premises!$A$10:$F$10,0)</f>
        <v>4</v>
      </c>
      <c r="CI142" s="280">
        <f>IF(ISBLANK($E142),0,IFERROR(MATCH($E142,MHR[Bezeichnung],0),0))</f>
        <v>0</v>
      </c>
      <c r="CJ142" s="394">
        <f>IF(ISBLANK($AQ142),0,IFERROR(MATCH($AQ142,MAT[Bezeichnung],0),0))</f>
        <v>0</v>
      </c>
      <c r="CK142" s="280" cm="1">
        <f t="array" ref="CK142">INDEX($D$1:$D142,$CD142)</f>
        <v>1</v>
      </c>
      <c r="CL142" s="280"/>
      <c r="CM142" s="395"/>
      <c r="CN142" s="396" cm="1">
        <f t="array" ref="CN142">IF($CB142=0,0,IF($CB142=INDEX($CB$1:$CB142,$CD142),INDEX($CN$1:$CN142,$CD142),$CP142))</f>
        <v>0</v>
      </c>
      <c r="CO142" s="395"/>
      <c r="CP142" s="396" cm="1">
        <f t="array" ref="CP142">IF($CC142=0,0,INDEX($CP$1:$CP142,$CD142))</f>
        <v>0</v>
      </c>
      <c r="CQ142" s="397"/>
      <c r="CR142" s="398"/>
      <c r="CS142" s="398"/>
      <c r="CT142" s="1152"/>
      <c r="CU142" s="1149"/>
      <c r="CV142" s="647">
        <f t="shared" si="361"/>
        <v>0</v>
      </c>
      <c r="CW142" s="648">
        <f t="shared" si="362"/>
        <v>0</v>
      </c>
      <c r="CX142" s="648">
        <f t="shared" si="363"/>
        <v>0</v>
      </c>
      <c r="CY142" s="648">
        <f t="shared" si="364"/>
        <v>0</v>
      </c>
      <c r="CZ142" s="648">
        <f t="shared" si="365"/>
        <v>0</v>
      </c>
      <c r="DA142" s="648">
        <f t="shared" si="366"/>
        <v>0</v>
      </c>
      <c r="DB142" s="648">
        <f t="shared" si="367"/>
        <v>0</v>
      </c>
      <c r="DC142" s="649">
        <f t="shared" si="368"/>
        <v>0</v>
      </c>
      <c r="DD142" s="648">
        <f t="shared" si="369"/>
        <v>0</v>
      </c>
      <c r="DE142" s="648">
        <f t="shared" si="370"/>
        <v>0</v>
      </c>
      <c r="DF142" s="648">
        <f t="shared" si="371"/>
        <v>0</v>
      </c>
      <c r="DG142" s="649">
        <f t="shared" si="372"/>
        <v>0</v>
      </c>
      <c r="DH142" s="649">
        <f t="shared" si="373"/>
        <v>0</v>
      </c>
      <c r="DI142" s="648">
        <f t="shared" si="374"/>
        <v>0</v>
      </c>
      <c r="DJ142" s="648">
        <f t="shared" si="375"/>
        <v>0</v>
      </c>
      <c r="DK142" s="648">
        <f t="shared" si="376"/>
        <v>0</v>
      </c>
      <c r="DL142" s="648">
        <f t="shared" si="377"/>
        <v>0</v>
      </c>
      <c r="DM142" s="648">
        <f t="shared" si="378"/>
        <v>0</v>
      </c>
      <c r="DN142" s="648">
        <f t="shared" si="379"/>
        <v>0</v>
      </c>
      <c r="DO142" s="648">
        <f t="shared" si="380"/>
        <v>0</v>
      </c>
      <c r="DP142" s="651">
        <f t="shared" si="381"/>
        <v>0</v>
      </c>
      <c r="DQ142" s="951">
        <f>IF($CB142=0,0,$DP142*_xlfn.XLOOKUP($CB142,Premises!$A$10:$F$10,Premises!$A$30:$F$30)/100)</f>
        <v>0</v>
      </c>
      <c r="DR142" s="650">
        <f>IFERROR(SUM($DP142:$DQ142)*IF(INDEX(Premises!$A$42:$F$42,1,MATCH($CB142,Premises!$A$10:$F$10,0))&gt;0,INDEX(Premises!$A$42:$F$42,1,MATCH($CB142,Premises!$A$10:$F$10,0))%,$CN142),0)</f>
        <v>0</v>
      </c>
      <c r="DS142" s="650" cm="1">
        <f t="array" ref="DS142">IF($CB142=0,0,SUM($DP142:$DR142)*_xlfn.XLOOKUP($CB142,Premises!$A$10:$F$10,IF(INDEX(Settings[],MATCH(3001,Settings[ID],0),2)="B",Premises!$A$33:$F$33,Premises!$A$31:$F$31))/100)</f>
        <v>0</v>
      </c>
      <c r="DT142" s="650" cm="1">
        <f t="array" ref="DT142">IF($CB142=0,0,$DP142*_xlfn.XLOOKUP($CB142,Premises!$A$10:$F$10,IF(INDEX(Settings[],MATCH(3002,Settings[ID],0),2)="B",Premises!$A$36:$F$36,Premises!$A$34:$F$34))/100)</f>
        <v>0</v>
      </c>
      <c r="DU142" s="650">
        <f>IF($CB142=0,0,SUM($DP142:$DT142)*_xlfn.XLOOKUP($CB142,Premises!$A$10:$F$10,Premises!$A$37:$F$37)/100)</f>
        <v>0</v>
      </c>
      <c r="DV142" s="954">
        <f t="shared" si="382"/>
        <v>0</v>
      </c>
      <c r="DW142" s="951">
        <f>IF($CC142=0,0,$DV142*_xlfn.XLOOKUP($CC142,Premises!$A$10:$F$10,Premises!$A$30:$F$30)/100)</f>
        <v>0</v>
      </c>
      <c r="DX142" s="650">
        <f>IFERROR(SUM($DV142:$DW142)*IF(INDEX(Premises!$A$42:$F$42,1,MATCH($CC142,Premises!$A$10:$F$10,0))&gt;0,INDEX(Premises!$A$42:$F$42,1,MATCH($CC142,Premises!$A$10:$F$10,0))%,$CP142),0)</f>
        <v>0</v>
      </c>
      <c r="DY142" s="650" cm="1">
        <f t="array" ref="DY142">IF($CC142=0,0,SUM($DV142:$DX142)*_xlfn.XLOOKUP($CC142,Premises!$A$10:$F$10,IF(INDEX(Settings[],MATCH(3001,Settings[ID],0),2)="B",Premises!$A$33:$F$33,Premises!$A$31:$F$31))/100)</f>
        <v>0</v>
      </c>
      <c r="DZ142" s="650" cm="1">
        <f t="array" ref="DZ142">IF($CC142=0,0,$DV142*_xlfn.XLOOKUP($CC142,Premises!$A$10:$F$10,IF(INDEX(Settings[],MATCH(3002,Settings[ID],0),2)="B",Premises!$A$36:$F$36,Premises!$A$34:$F$34))/100)</f>
        <v>0</v>
      </c>
      <c r="EA142" s="650">
        <f>IF($CC142=0,0,SUM($DV142:$DZ142)*_xlfn.XLOOKUP($CC142,Premises!$A$10:$F$10,Premises!$A$37:$F$37)/100)</f>
        <v>0</v>
      </c>
      <c r="EB142" s="651">
        <f t="shared" si="383"/>
        <v>0</v>
      </c>
      <c r="EC142" s="805"/>
      <c r="ED142" s="1104"/>
      <c r="EE142" s="650"/>
      <c r="EF142" s="1110"/>
      <c r="EG142" s="1108"/>
      <c r="EH142" s="1108"/>
      <c r="EI142" s="1108"/>
      <c r="EJ142" s="1108"/>
      <c r="EK142" s="1108"/>
      <c r="EL142" s="1108"/>
      <c r="EM142" s="1110"/>
      <c r="EN142" s="1108"/>
      <c r="EO142" s="1108"/>
      <c r="EP142" s="1108"/>
      <c r="EQ142" s="1108"/>
      <c r="ER142" s="1110"/>
      <c r="ES142" s="1108"/>
      <c r="ET142" s="1108"/>
      <c r="EU142" s="1108"/>
      <c r="EV142" s="1108"/>
      <c r="EW142" s="1108"/>
      <c r="EX142" s="1111"/>
      <c r="EY142" s="2"/>
      <c r="EZ142" s="2"/>
      <c r="FA142" s="2"/>
      <c r="FB142" s="2"/>
      <c r="FC142" s="2"/>
      <c r="FD142" s="2"/>
      <c r="FE142" s="2"/>
      <c r="FF142" s="2"/>
      <c r="FG142" s="2"/>
      <c r="FH142" s="2"/>
      <c r="FI142" s="2"/>
      <c r="FJ142" s="420"/>
      <c r="FK142" s="421"/>
      <c r="FL142" s="422"/>
      <c r="FM142" s="1153"/>
    </row>
    <row r="143" spans="1:169" s="13" customFormat="1" ht="12.75" customHeight="1">
      <c r="A143" s="221"/>
      <c r="B143" s="1329" t="s">
        <v>4340</v>
      </c>
      <c r="C143" s="403" t="s">
        <v>4347</v>
      </c>
      <c r="D143" s="646"/>
      <c r="E143" s="404" t="s">
        <v>4345</v>
      </c>
      <c r="F143" s="405">
        <v>1</v>
      </c>
      <c r="G143" s="405" t="s">
        <v>93</v>
      </c>
      <c r="H143" s="405">
        <v>92.5</v>
      </c>
      <c r="I143" s="637" cm="1">
        <f t="array" ref="I143">IF($CI143=0,0,IFERROR(INDEX(MHR[],$CI143,MATCH($CA143,MHR!$B$4:$AY$4,0)),0))</f>
        <v>50.88640625</v>
      </c>
      <c r="J143" s="634">
        <f t="shared" si="336"/>
        <v>1.5281203078078078E-4</v>
      </c>
      <c r="K143" s="406" t="s">
        <v>49</v>
      </c>
      <c r="L143" s="407">
        <v>30</v>
      </c>
      <c r="M143" s="871">
        <v>2</v>
      </c>
      <c r="N143" s="407"/>
      <c r="O143" s="405"/>
      <c r="P143" s="645" cm="1">
        <f t="array" ref="P143">IF($K143=0,0,IFERROR(ROUNDUP(IF(ISNUMBER($K143),$K143,INDEX($D$1:$D143,$CD143)*INDEX(Premises!$A$13:$F$13,1,$CH143)/IF(OR($K143="T",$K143="D"),250,IF($K143="W",50,IF($K143="M",12,IF(OR($K143="HJ",$K143="HY"),2,IF(OR($K143="J",$K143="Y"),1,0)))))),0),0))</f>
        <v>3334</v>
      </c>
      <c r="Q143" s="637" cm="1">
        <f t="array" ref="Q143">IF($K143=0,0,IFERROR(INDEX(Premises!$A$22:$F$22,1,$CH143)*100/INDEX(Premises!$A$16:$F$16,1,$CH143),0))</f>
        <v>16.925000000000001</v>
      </c>
      <c r="R143" s="634">
        <f t="shared" si="337"/>
        <v>1.2707919353629275E-2</v>
      </c>
      <c r="S143" s="408">
        <v>1</v>
      </c>
      <c r="T143" s="409" t="s">
        <v>275</v>
      </c>
      <c r="U143" s="637" cm="1">
        <f t="array" ref="U143">IF(COUNTBLANK($S143:$T143),0,
IF(AND(INDEX(MHR[Schichtmodell],$CI143)&lt;&gt;0,INDEX(MHR[Schichtmodell],$CI143)&lt;&gt;INDEX(Premises!$A$20:$F$20,1,$CH143)),ExchangeRate*
IF(OR($T143="M",$T143="U"),IF(INDEX(MHR[Schichtmodell],$CI143)=1,INDEX(LOC[M1S],INDEX(Premises!$A$18:$F$18,1,$CH143+1)),IF(INDEX(MHR[Schichtmodell],$CI143)=2,INDEX(LOC[M2S],INDEX(Premises!$A$18:$F$18,1,$CH143+1),IF(INDEX(MHR[Schichtmodell],$CI143)=3,INDEX(LOC[M3S],INDEX(Premises!$A$18:$F$18,1,$CH143+1)),0)))),
IF(INDEX(MHR[Schichtmodell],$CI143)=1,INDEX(LOC[F1S],INDEX(Premises!$A$18:$F$18,1,$CH143+1)),IF(INDEX(MHR[Schichtmodell],$CI143)=2,INDEX(LOC[F2S],INDEX(Premises!$A$18:$F$18,1,$CH143+1)),IF(INDEX(MHR[Schichtmodell],$CI143)=3,INDEX(LOC[F3S],INDEX(Premises!$A$18:$F$18,1,$CH143+1)),0)))),
IF(OR($T143="M",$T143="U"),INDEX(Premises!$A$21:$F$21,1,$CH143),
IF(OR($T143="F",$T143="S"),INDEX(Premises!$A$22:$F$22,1,$CH143),0)))*100/INDEX(Premises!$A$16:$F$16,1,$CH143))</f>
        <v>12.037500000000001</v>
      </c>
      <c r="V143" s="631">
        <f t="shared" si="338"/>
        <v>3.6148648648648655E-5</v>
      </c>
      <c r="W143" s="410"/>
      <c r="X143" s="403"/>
      <c r="Y143" s="411"/>
      <c r="Z143" s="412"/>
      <c r="AA143" s="628">
        <f t="shared" si="339"/>
        <v>0</v>
      </c>
      <c r="AB143" s="410"/>
      <c r="AC143" s="403"/>
      <c r="AD143" s="411"/>
      <c r="AE143" s="413"/>
      <c r="AF143" s="628">
        <f t="shared" si="340"/>
        <v>0</v>
      </c>
      <c r="AG143" s="629" cm="1">
        <f t="array" ref="AG143">IF(($J143+$V143+$AF143)=0,0,INDEX(Premises!$A$30:$F$30,1,$CH143)/100)</f>
        <v>0.01</v>
      </c>
      <c r="AH143" s="414"/>
      <c r="AI143" s="415"/>
      <c r="AJ143" s="416"/>
      <c r="AK143" s="630">
        <f t="shared" si="341"/>
        <v>0</v>
      </c>
      <c r="AL143" s="631">
        <f t="shared" si="342"/>
        <v>1.8896067942942946E-6</v>
      </c>
      <c r="AM143" s="632" cm="1">
        <f t="array" ref="AM143">IF($CI143=0,0,IFERROR(INDEX(MHR[],$CI143,MATCH($CA143,MHR!$B$4:$AY$4,0)+11),0))</f>
        <v>4.2450010155189757</v>
      </c>
      <c r="AN143" s="633" cm="1">
        <f t="array" ref="AN143">IF(($J143+$V143)=0,0,IFERROR(IF(INDEX(Premises!$A$41:$F$41,1,$CH143)&lt;&gt;0,INDEX(Premises!$A$41:$F$41,1,$CH143)/100,(IFERROR(($J143/$I143)*$AM143,0)/($V143+$J143+$R143+$AL143))),0))</f>
        <v>9.8829199631318958E-4</v>
      </c>
      <c r="AO143" s="634">
        <f t="shared" si="343"/>
        <v>1.2747750797354282E-5</v>
      </c>
      <c r="AP143" s="635">
        <f t="shared" si="344"/>
        <v>1.2911517390650353E-2</v>
      </c>
      <c r="AQ143" s="410"/>
      <c r="AR143" s="409"/>
      <c r="AS143" s="636" cm="1">
        <f t="array" ref="AS143">IF($CJ143=0,0,IFERROR(INDEX(MAT[Einheit],$CJ143,1),0))</f>
        <v>0</v>
      </c>
      <c r="AT143" s="637" cm="1">
        <f t="array" ref="AT143">IF($CJ143=0,0,IFERROR(INDEX(MAT[Preis],$CJ143,1),0))</f>
        <v>0</v>
      </c>
      <c r="AU143" s="638">
        <f t="shared" si="345"/>
        <v>0</v>
      </c>
      <c r="AV143" s="639" cm="1">
        <f t="array" ref="AV143">IF($AU143&lt;=0,0,INDEX(Premises!$A$30:$F$30,1,$CH143)/100)</f>
        <v>0</v>
      </c>
      <c r="AW143" s="409"/>
      <c r="AX143" s="631">
        <f t="shared" si="346"/>
        <v>0</v>
      </c>
      <c r="AY143" s="640" cm="1">
        <f t="array" ref="AY143">IF($AT143&lt;=0,0,IFERROR(IF(INDEX(Premises!$A$42:$F$42,1,$CH143)&lt;&gt;0,INDEX(Premises!$A$42:$F$42,1,$CH143)/100,(INDEX(MAT[],$CJ143,MATCH($CA143,MAT!$B$4:$AE$4,0))/($AR143*$CK143*INDEX(Premises!$A$13:$F$13,1,$CH143))+INDEX(MAT[],$CJ143,MATCH($CA143,MAT!$B$4:$AE$4,0)+7))/$AT143),0))</f>
        <v>0</v>
      </c>
      <c r="AZ143" s="631">
        <f t="shared" si="347"/>
        <v>0</v>
      </c>
      <c r="BA143" s="635">
        <f t="shared" si="348"/>
        <v>0</v>
      </c>
      <c r="BB143" s="635">
        <f t="shared" si="349"/>
        <v>1.2911517390650353E-2</v>
      </c>
      <c r="BC143" s="639" cm="1">
        <f t="array" ref="BC143">IF($BB143&lt;=0,0,IF(BC$2=-1,0,INDEX(Premises!$A$32:$F$32,1,$CH143)/100))</f>
        <v>0</v>
      </c>
      <c r="BD143" s="631">
        <f t="shared" si="350"/>
        <v>0</v>
      </c>
      <c r="BE143" s="639" cm="1">
        <f t="array" ref="BE143">IF($BB143&lt;=0,0,IF(BE$2=-1,0,INDEX(Premises!$A$33:$F$33,1,$CH143)/100))</f>
        <v>0</v>
      </c>
      <c r="BF143" s="631">
        <f t="shared" si="351"/>
        <v>0</v>
      </c>
      <c r="BG143" s="639" cm="1">
        <f t="array" ref="BG143">IF($BB143&lt;=0,0,IF(BG$2=-1,0,INDEX(Premises!$A$31:$F$31,1,$CH143)/100))</f>
        <v>0.125</v>
      </c>
      <c r="BH143" s="631">
        <f t="shared" si="352"/>
        <v>1.6137034729820073E-3</v>
      </c>
      <c r="BI143" s="635">
        <f t="shared" si="353"/>
        <v>1.452522086363236E-2</v>
      </c>
      <c r="BJ143" s="639" cm="1">
        <f t="array" ref="BJ143">IF($BB143&lt;=0,0,IF(BJ$2=-1,0,INDEX(Premises!$A$35:$F$35,1,$CH143)/100))</f>
        <v>0</v>
      </c>
      <c r="BK143" s="631">
        <f t="shared" si="354"/>
        <v>0</v>
      </c>
      <c r="BL143" s="639" cm="1">
        <f t="array" ref="BL143">IF($BB143&lt;=0,0,IF(BL$2=-1,0,INDEX(Premises!$A$36:$F$36,1,$CH143)/100))</f>
        <v>0</v>
      </c>
      <c r="BM143" s="631">
        <f t="shared" si="355"/>
        <v>0</v>
      </c>
      <c r="BN143" s="639" cm="1">
        <f t="array" ref="BN143">IF($BB143&lt;=0,0,IF(BN$2=-1,0,INDEX(Premises!$A$34:$F$34,1,$CH143)/100))</f>
        <v>0.06</v>
      </c>
      <c r="BO143" s="631">
        <f t="shared" si="356"/>
        <v>7.7457766703136345E-4</v>
      </c>
      <c r="BP143" s="639" cm="1">
        <f t="array" ref="BP143">IF($BI143=0,0,INDEX(Premises!$A$37:$F$37,1,$CH143)/100)</f>
        <v>0</v>
      </c>
      <c r="BQ143" s="409"/>
      <c r="BR143" s="631">
        <f t="shared" si="357"/>
        <v>0</v>
      </c>
      <c r="BS143" s="641">
        <f t="shared" si="358"/>
        <v>1.5299798530663723E-2</v>
      </c>
      <c r="BT143" s="641">
        <f t="shared" si="359"/>
        <v>1.5299798530663723E-2</v>
      </c>
      <c r="BU143" s="642">
        <f t="shared" si="360"/>
        <v>1</v>
      </c>
      <c r="BV143" s="1147"/>
      <c r="BW143" s="418"/>
      <c r="BX143" s="418"/>
      <c r="BY143" s="419"/>
      <c r="BZ143" s="968"/>
      <c r="CA143" s="280" cm="1">
        <f t="array" ref="CA143">IF($BZ143&gt;0,VALUE(LEFT($BZ143,IF(ISERROR(FIND("-",$BZ143)),LEN($BZ143),FIND("-",$BZ143)-1))),INDEX($CA$1:$CA143,MAX(1,$CD143)))</f>
        <v>1</v>
      </c>
      <c r="CB143" s="280" cm="1">
        <f t="array" ref="CB143">IF($BT143=0,0,IF(LEN($BZ143)-LEN(SUBSTITUTE($BZ143,"-",""))&gt;1,
VALUE(MID($BZ143,FIND("-",$BZ143)+1,FIND("-",$BZ143,FIND("-",$BZ143)+1)-FIND("-",$BZ143)-1)),IF($BZ143&gt;0,0,INDEX($CB$1:$CB143,MAX(1,$CD143)))))</f>
        <v>0</v>
      </c>
      <c r="CC143" s="280" cm="1">
        <f t="array" ref="CC143">IF($BT143=0,0,IF(NOT(ISERROR(FIND("-",BZ143))),
VALUE(RIGHT($BZ143,LEN($BZ143)-IF(LEN($BZ143)-LEN(SUBSTITUTE($BZ143,"-",""))=1,FIND("-",$BZ143),FIND("-",$BZ143,FIND("-",$BZ143)+1)))),
IF($BZ143&gt;0,0,INDEX($CC$1:$CC143,MAX(1,$CD143)))))</f>
        <v>0</v>
      </c>
      <c r="CD143" s="393">
        <f>MATCH(0,$CE$1:$CE143,-1)</f>
        <v>136</v>
      </c>
      <c r="CE143" s="280"/>
      <c r="CF143" s="394"/>
      <c r="CG143" s="393" cm="1">
        <f t="array" ref="CG143">INDEX($CG$1:$CG143,$CD143)</f>
        <v>18</v>
      </c>
      <c r="CH143" s="280">
        <f>MATCH($CA143,Premises!$A$10:$F$10,0)</f>
        <v>4</v>
      </c>
      <c r="CI143" s="280">
        <f>IF(ISBLANK($E143),0,IFERROR(MATCH($E143,MHR[Bezeichnung],0),0))</f>
        <v>6</v>
      </c>
      <c r="CJ143" s="394">
        <f>IF(ISBLANK($AQ143),0,IFERROR(MATCH($AQ143,MAT[Bezeichnung],0),0))</f>
        <v>0</v>
      </c>
      <c r="CK143" s="280" cm="1">
        <f t="array" ref="CK143">INDEX($D$1:$D143,$CD143)</f>
        <v>1</v>
      </c>
      <c r="CL143" s="280"/>
      <c r="CM143" s="395"/>
      <c r="CN143" s="396" cm="1">
        <f t="array" ref="CN143">IF($CB143=0,0,IF($CB143=INDEX($CB$1:$CB143,$CD143),INDEX($CN$1:$CN143,$CD143),$CP143))</f>
        <v>0</v>
      </c>
      <c r="CO143" s="395"/>
      <c r="CP143" s="396" cm="1">
        <f t="array" ref="CP143">IF($CC143=0,0,INDEX($CP$1:$CP143,$CD143))</f>
        <v>0</v>
      </c>
      <c r="CQ143" s="397"/>
      <c r="CR143" s="398"/>
      <c r="CS143" s="398"/>
      <c r="CT143" s="1152"/>
      <c r="CU143" s="1149"/>
      <c r="CV143" s="647">
        <f t="shared" si="361"/>
        <v>1.5281203078078078E-4</v>
      </c>
      <c r="CW143" s="648">
        <f t="shared" si="362"/>
        <v>1.2707919353629275E-2</v>
      </c>
      <c r="CX143" s="648">
        <f t="shared" si="363"/>
        <v>3.6148648648648655E-5</v>
      </c>
      <c r="CY143" s="648">
        <f t="shared" si="364"/>
        <v>0</v>
      </c>
      <c r="CZ143" s="648">
        <f t="shared" si="365"/>
        <v>0</v>
      </c>
      <c r="DA143" s="648">
        <f t="shared" si="366"/>
        <v>1.8896067942942946E-6</v>
      </c>
      <c r="DB143" s="648">
        <f t="shared" si="367"/>
        <v>1.2747750797354282E-5</v>
      </c>
      <c r="DC143" s="649">
        <f t="shared" si="368"/>
        <v>1.2911517390650353E-2</v>
      </c>
      <c r="DD143" s="648">
        <f t="shared" si="369"/>
        <v>0</v>
      </c>
      <c r="DE143" s="648">
        <f t="shared" si="370"/>
        <v>0</v>
      </c>
      <c r="DF143" s="648">
        <f t="shared" si="371"/>
        <v>0</v>
      </c>
      <c r="DG143" s="649">
        <f t="shared" si="372"/>
        <v>0</v>
      </c>
      <c r="DH143" s="649">
        <f t="shared" si="373"/>
        <v>1.2911517390650353E-2</v>
      </c>
      <c r="DI143" s="648">
        <f t="shared" si="374"/>
        <v>0</v>
      </c>
      <c r="DJ143" s="648">
        <f t="shared" si="375"/>
        <v>0</v>
      </c>
      <c r="DK143" s="648">
        <f t="shared" si="376"/>
        <v>1.6137034729820073E-3</v>
      </c>
      <c r="DL143" s="648">
        <f t="shared" si="377"/>
        <v>0</v>
      </c>
      <c r="DM143" s="648">
        <f t="shared" si="378"/>
        <v>0</v>
      </c>
      <c r="DN143" s="648">
        <f t="shared" si="379"/>
        <v>7.7457766703136345E-4</v>
      </c>
      <c r="DO143" s="648">
        <f t="shared" si="380"/>
        <v>0</v>
      </c>
      <c r="DP143" s="651">
        <f t="shared" si="381"/>
        <v>1.5299798530663723E-2</v>
      </c>
      <c r="DQ143" s="951">
        <f>IF($CB143=0,0,$DP143*_xlfn.XLOOKUP($CB143,Premises!$A$10:$F$10,Premises!$A$30:$F$30)/100)</f>
        <v>0</v>
      </c>
      <c r="DR143" s="650">
        <f>IFERROR(SUM($DP143:$DQ143)*IF(INDEX(Premises!$A$42:$F$42,1,MATCH($CB143,Premises!$A$10:$F$10,0))&gt;0,INDEX(Premises!$A$42:$F$42,1,MATCH($CB143,Premises!$A$10:$F$10,0))%,$CN143),0)</f>
        <v>0</v>
      </c>
      <c r="DS143" s="650" cm="1">
        <f t="array" ref="DS143">IF($CB143=0,0,SUM($DP143:$DR143)*_xlfn.XLOOKUP($CB143,Premises!$A$10:$F$10,IF(INDEX(Settings[],MATCH(3001,Settings[ID],0),2)="B",Premises!$A$33:$F$33,Premises!$A$31:$F$31))/100)</f>
        <v>0</v>
      </c>
      <c r="DT143" s="650" cm="1">
        <f t="array" ref="DT143">IF($CB143=0,0,$DP143*_xlfn.XLOOKUP($CB143,Premises!$A$10:$F$10,IF(INDEX(Settings[],MATCH(3002,Settings[ID],0),2)="B",Premises!$A$36:$F$36,Premises!$A$34:$F$34))/100)</f>
        <v>0</v>
      </c>
      <c r="DU143" s="650">
        <f>IF($CB143=0,0,SUM($DP143:$DT143)*_xlfn.XLOOKUP($CB143,Premises!$A$10:$F$10,Premises!$A$37:$F$37)/100)</f>
        <v>0</v>
      </c>
      <c r="DV143" s="954">
        <f t="shared" si="382"/>
        <v>1.5299798530663723E-2</v>
      </c>
      <c r="DW143" s="951">
        <f>IF($CC143=0,0,$DV143*_xlfn.XLOOKUP($CC143,Premises!$A$10:$F$10,Premises!$A$30:$F$30)/100)</f>
        <v>0</v>
      </c>
      <c r="DX143" s="650">
        <f>IFERROR(SUM($DV143:$DW143)*IF(INDEX(Premises!$A$42:$F$42,1,MATCH($CC143,Premises!$A$10:$F$10,0))&gt;0,INDEX(Premises!$A$42:$F$42,1,MATCH($CC143,Premises!$A$10:$F$10,0))%,$CP143),0)</f>
        <v>0</v>
      </c>
      <c r="DY143" s="650" cm="1">
        <f t="array" ref="DY143">IF($CC143=0,0,SUM($DV143:$DX143)*_xlfn.XLOOKUP($CC143,Premises!$A$10:$F$10,IF(INDEX(Settings[],MATCH(3001,Settings[ID],0),2)="B",Premises!$A$33:$F$33,Premises!$A$31:$F$31))/100)</f>
        <v>0</v>
      </c>
      <c r="DZ143" s="650" cm="1">
        <f t="array" ref="DZ143">IF($CC143=0,0,$DV143*_xlfn.XLOOKUP($CC143,Premises!$A$10:$F$10,IF(INDEX(Settings[],MATCH(3002,Settings[ID],0),2)="B",Premises!$A$36:$F$36,Premises!$A$34:$F$34))/100)</f>
        <v>0</v>
      </c>
      <c r="EA143" s="650">
        <f>IF($CC143=0,0,SUM($DV143:$DZ143)*_xlfn.XLOOKUP($CC143,Premises!$A$10:$F$10,Premises!$A$37:$F$37)/100)</f>
        <v>0</v>
      </c>
      <c r="EB143" s="651">
        <f t="shared" si="383"/>
        <v>1.5299798530663723E-2</v>
      </c>
      <c r="EC143" s="805"/>
      <c r="ED143" s="1104"/>
      <c r="EE143" s="650"/>
      <c r="EF143" s="1110"/>
      <c r="EG143" s="1108"/>
      <c r="EH143" s="1108"/>
      <c r="EI143" s="1108"/>
      <c r="EJ143" s="1108"/>
      <c r="EK143" s="1108"/>
      <c r="EL143" s="1108"/>
      <c r="EM143" s="1110"/>
      <c r="EN143" s="1108"/>
      <c r="EO143" s="1108"/>
      <c r="EP143" s="1108"/>
      <c r="EQ143" s="1108"/>
      <c r="ER143" s="1110"/>
      <c r="ES143" s="1108"/>
      <c r="ET143" s="1108"/>
      <c r="EU143" s="1108"/>
      <c r="EV143" s="1108"/>
      <c r="EW143" s="1108"/>
      <c r="EX143" s="1111"/>
      <c r="EY143" s="2"/>
      <c r="EZ143" s="2"/>
      <c r="FA143" s="2"/>
      <c r="FB143" s="2"/>
      <c r="FC143" s="2"/>
      <c r="FD143" s="2"/>
      <c r="FE143" s="2"/>
      <c r="FF143" s="2"/>
      <c r="FG143" s="2"/>
      <c r="FH143" s="2"/>
      <c r="FI143" s="2"/>
      <c r="FJ143" s="420"/>
      <c r="FK143" s="421"/>
      <c r="FL143" s="422"/>
      <c r="FM143" s="1153"/>
    </row>
    <row r="144" spans="1:169" s="13" customFormat="1" ht="12.75" customHeight="1">
      <c r="A144" s="221"/>
      <c r="B144" s="1329"/>
      <c r="C144" s="403"/>
      <c r="D144" s="646"/>
      <c r="E144" s="404"/>
      <c r="F144" s="405"/>
      <c r="G144" s="405"/>
      <c r="H144" s="405"/>
      <c r="I144" s="637" cm="1">
        <f t="array" ref="I144">IF($CI144=0,0,IFERROR(INDEX(MHR[],$CI144,MATCH($CA144,MHR!$B$4:$AY$4,0)),0))</f>
        <v>0</v>
      </c>
      <c r="J144" s="634">
        <f t="shared" si="336"/>
        <v>0</v>
      </c>
      <c r="K144" s="406"/>
      <c r="L144" s="407"/>
      <c r="M144" s="871"/>
      <c r="N144" s="407"/>
      <c r="O144" s="405"/>
      <c r="P144" s="645" cm="1">
        <f t="array" ref="P144">IF($K144=0,0,IFERROR(ROUNDUP(IF(ISNUMBER($K144),$K144,INDEX($D$1:$D144,$CD144)*INDEX(Premises!$A$13:$F$13,1,$CH144)/IF(OR($K144="T",$K144="D"),250,IF($K144="W",50,IF($K144="M",12,IF(OR($K144="HJ",$K144="HY"),2,IF(OR($K144="J",$K144="Y"),1,0)))))),0),0))</f>
        <v>0</v>
      </c>
      <c r="Q144" s="637" cm="1">
        <f t="array" ref="Q144">IF($K144=0,0,IFERROR(INDEX(Premises!$A$22:$F$22,1,$CH144)*100/INDEX(Premises!$A$16:$F$16,1,$CH144),0))</f>
        <v>0</v>
      </c>
      <c r="R144" s="634">
        <f t="shared" si="337"/>
        <v>0</v>
      </c>
      <c r="S144" s="408"/>
      <c r="T144" s="409"/>
      <c r="U144" s="637" cm="1">
        <f t="array" ref="U144">IF(COUNTBLANK($S144:$T144),0,
IF(AND(INDEX(MHR[Schichtmodell],$CI144)&lt;&gt;0,INDEX(MHR[Schichtmodell],$CI144)&lt;&gt;INDEX(Premises!$A$20:$F$20,1,$CH144)),ExchangeRate*
IF(OR($T144="M",$T144="U"),IF(INDEX(MHR[Schichtmodell],$CI144)=1,INDEX(LOC[M1S],INDEX(Premises!$A$18:$F$18,1,$CH144+1)),IF(INDEX(MHR[Schichtmodell],$CI144)=2,INDEX(LOC[M2S],INDEX(Premises!$A$18:$F$18,1,$CH144+1),IF(INDEX(MHR[Schichtmodell],$CI144)=3,INDEX(LOC[M3S],INDEX(Premises!$A$18:$F$18,1,$CH144+1)),0)))),
IF(INDEX(MHR[Schichtmodell],$CI144)=1,INDEX(LOC[F1S],INDEX(Premises!$A$18:$F$18,1,$CH144+1)),IF(INDEX(MHR[Schichtmodell],$CI144)=2,INDEX(LOC[F2S],INDEX(Premises!$A$18:$F$18,1,$CH144+1)),IF(INDEX(MHR[Schichtmodell],$CI144)=3,INDEX(LOC[F3S],INDEX(Premises!$A$18:$F$18,1,$CH144+1)),0)))),
IF(OR($T144="M",$T144="U"),INDEX(Premises!$A$21:$F$21,1,$CH144),
IF(OR($T144="F",$T144="S"),INDEX(Premises!$A$22:$F$22,1,$CH144),0)))*100/INDEX(Premises!$A$16:$F$16,1,$CH144))</f>
        <v>0</v>
      </c>
      <c r="V144" s="631">
        <f t="shared" si="338"/>
        <v>0</v>
      </c>
      <c r="W144" s="410"/>
      <c r="X144" s="403"/>
      <c r="Y144" s="411"/>
      <c r="Z144" s="412"/>
      <c r="AA144" s="628">
        <f t="shared" si="339"/>
        <v>0</v>
      </c>
      <c r="AB144" s="410"/>
      <c r="AC144" s="403"/>
      <c r="AD144" s="411"/>
      <c r="AE144" s="413"/>
      <c r="AF144" s="628">
        <f t="shared" si="340"/>
        <v>0</v>
      </c>
      <c r="AG144" s="629" cm="1">
        <f t="array" ref="AG144">IF(($J144+$V144+$AF144)=0,0,INDEX(Premises!$A$30:$F$30,1,$CH144)/100)</f>
        <v>0</v>
      </c>
      <c r="AH144" s="414"/>
      <c r="AI144" s="415"/>
      <c r="AJ144" s="416"/>
      <c r="AK144" s="630">
        <f t="shared" si="341"/>
        <v>0</v>
      </c>
      <c r="AL144" s="631">
        <f t="shared" si="342"/>
        <v>0</v>
      </c>
      <c r="AM144" s="632" cm="1">
        <f t="array" ref="AM144">IF($CI144=0,0,IFERROR(INDEX(MHR[],$CI144,MATCH($CA144,MHR!$B$4:$AY$4,0)+11),0))</f>
        <v>0</v>
      </c>
      <c r="AN144" s="633" cm="1">
        <f t="array" ref="AN144">IF(($J144+$V144)=0,0,IFERROR(IF(INDEX(Premises!$A$41:$F$41,1,$CH144)&lt;&gt;0,INDEX(Premises!$A$41:$F$41,1,$CH144)/100,(IFERROR(($J144/$I144)*$AM144,0)/($V144+$J144+$R144+$AL144))),0))</f>
        <v>0</v>
      </c>
      <c r="AO144" s="634">
        <f t="shared" si="343"/>
        <v>0</v>
      </c>
      <c r="AP144" s="635">
        <f t="shared" si="344"/>
        <v>0</v>
      </c>
      <c r="AQ144" s="410"/>
      <c r="AR144" s="409"/>
      <c r="AS144" s="636" cm="1">
        <f t="array" ref="AS144">IF($CJ144=0,0,IFERROR(INDEX(MAT[Einheit],$CJ144,1),0))</f>
        <v>0</v>
      </c>
      <c r="AT144" s="637" cm="1">
        <f t="array" ref="AT144">IF($CJ144=0,0,IFERROR(INDEX(MAT[Preis],$CJ144,1),0))</f>
        <v>0</v>
      </c>
      <c r="AU144" s="638">
        <f t="shared" si="345"/>
        <v>0</v>
      </c>
      <c r="AV144" s="639" cm="1">
        <f t="array" ref="AV144">IF($AU144&lt;=0,0,INDEX(Premises!$A$30:$F$30,1,$CH144)/100)</f>
        <v>0</v>
      </c>
      <c r="AW144" s="409"/>
      <c r="AX144" s="631">
        <f t="shared" si="346"/>
        <v>0</v>
      </c>
      <c r="AY144" s="640" cm="1">
        <f t="array" ref="AY144">IF($AT144&lt;=0,0,IFERROR(IF(INDEX(Premises!$A$42:$F$42,1,$CH144)&lt;&gt;0,INDEX(Premises!$A$42:$F$42,1,$CH144)/100,(INDEX(MAT[],$CJ144,MATCH($CA144,MAT!$B$4:$AE$4,0))/($AR144*$CK144*INDEX(Premises!$A$13:$F$13,1,$CH144))+INDEX(MAT[],$CJ144,MATCH($CA144,MAT!$B$4:$AE$4,0)+7))/$AT144),0))</f>
        <v>0</v>
      </c>
      <c r="AZ144" s="631">
        <f t="shared" si="347"/>
        <v>0</v>
      </c>
      <c r="BA144" s="635">
        <f t="shared" si="348"/>
        <v>0</v>
      </c>
      <c r="BB144" s="635">
        <f t="shared" si="349"/>
        <v>0</v>
      </c>
      <c r="BC144" s="639" cm="1">
        <f t="array" ref="BC144">IF($BB144&lt;=0,0,IF(BC$2=-1,0,INDEX(Premises!$A$32:$F$32,1,$CH144)/100))</f>
        <v>0</v>
      </c>
      <c r="BD144" s="631">
        <f t="shared" si="350"/>
        <v>0</v>
      </c>
      <c r="BE144" s="639" cm="1">
        <f t="array" ref="BE144">IF($BB144&lt;=0,0,IF(BE$2=-1,0,INDEX(Premises!$A$33:$F$33,1,$CH144)/100))</f>
        <v>0</v>
      </c>
      <c r="BF144" s="631">
        <f t="shared" si="351"/>
        <v>0</v>
      </c>
      <c r="BG144" s="639" cm="1">
        <f t="array" ref="BG144">IF($BB144&lt;=0,0,IF(BG$2=-1,0,INDEX(Premises!$A$31:$F$31,1,$CH144)/100))</f>
        <v>0</v>
      </c>
      <c r="BH144" s="631">
        <f t="shared" si="352"/>
        <v>0</v>
      </c>
      <c r="BI144" s="635">
        <f t="shared" si="353"/>
        <v>0</v>
      </c>
      <c r="BJ144" s="639" cm="1">
        <f t="array" ref="BJ144">IF($BB144&lt;=0,0,IF(BJ$2=-1,0,INDEX(Premises!$A$35:$F$35,1,$CH144)/100))</f>
        <v>0</v>
      </c>
      <c r="BK144" s="631">
        <f t="shared" si="354"/>
        <v>0</v>
      </c>
      <c r="BL144" s="639" cm="1">
        <f t="array" ref="BL144">IF($BB144&lt;=0,0,IF(BL$2=-1,0,INDEX(Premises!$A$36:$F$36,1,$CH144)/100))</f>
        <v>0</v>
      </c>
      <c r="BM144" s="631">
        <f t="shared" si="355"/>
        <v>0</v>
      </c>
      <c r="BN144" s="639" cm="1">
        <f t="array" ref="BN144">IF($BB144&lt;=0,0,IF(BN$2=-1,0,INDEX(Premises!$A$34:$F$34,1,$CH144)/100))</f>
        <v>0</v>
      </c>
      <c r="BO144" s="631">
        <f t="shared" si="356"/>
        <v>0</v>
      </c>
      <c r="BP144" s="639" cm="1">
        <f t="array" ref="BP144">IF($BI144=0,0,INDEX(Premises!$A$37:$F$37,1,$CH144)/100)</f>
        <v>0</v>
      </c>
      <c r="BQ144" s="409"/>
      <c r="BR144" s="631">
        <f t="shared" si="357"/>
        <v>0</v>
      </c>
      <c r="BS144" s="641">
        <f t="shared" si="358"/>
        <v>0</v>
      </c>
      <c r="BT144" s="641">
        <f t="shared" si="359"/>
        <v>0</v>
      </c>
      <c r="BU144" s="642">
        <f t="shared" si="360"/>
        <v>0</v>
      </c>
      <c r="BV144" s="1147"/>
      <c r="BW144" s="418"/>
      <c r="BX144" s="418"/>
      <c r="BY144" s="419"/>
      <c r="BZ144" s="968"/>
      <c r="CA144" s="280" cm="1">
        <f t="array" ref="CA144">IF($BZ144&gt;0,VALUE(LEFT($BZ144,IF(ISERROR(FIND("-",$BZ144)),LEN($BZ144),FIND("-",$BZ144)-1))),INDEX($CA$1:$CA144,MAX(1,$CD144)))</f>
        <v>1</v>
      </c>
      <c r="CB144" s="280" cm="1">
        <f t="array" ref="CB144">IF($BT144=0,0,IF(LEN($BZ144)-LEN(SUBSTITUTE($BZ144,"-",""))&gt;1,
VALUE(MID($BZ144,FIND("-",$BZ144)+1,FIND("-",$BZ144,FIND("-",$BZ144)+1)-FIND("-",$BZ144)-1)),IF($BZ144&gt;0,0,INDEX($CB$1:$CB144,MAX(1,$CD144)))))</f>
        <v>0</v>
      </c>
      <c r="CC144" s="280" cm="1">
        <f t="array" ref="CC144">IF($BT144=0,0,IF(NOT(ISERROR(FIND("-",BZ144))),
VALUE(RIGHT($BZ144,LEN($BZ144)-IF(LEN($BZ144)-LEN(SUBSTITUTE($BZ144,"-",""))=1,FIND("-",$BZ144),FIND("-",$BZ144,FIND("-",$BZ144)+1)))),
IF($BZ144&gt;0,0,INDEX($CC$1:$CC144,MAX(1,$CD144)))))</f>
        <v>0</v>
      </c>
      <c r="CD144" s="393">
        <f>MATCH(0,$CE$1:$CE144,-1)</f>
        <v>136</v>
      </c>
      <c r="CE144" s="280"/>
      <c r="CF144" s="394"/>
      <c r="CG144" s="393" cm="1">
        <f t="array" ref="CG144">INDEX($CG$1:$CG144,$CD144)</f>
        <v>18</v>
      </c>
      <c r="CH144" s="280">
        <f>MATCH($CA144,Premises!$A$10:$F$10,0)</f>
        <v>4</v>
      </c>
      <c r="CI144" s="280">
        <f>IF(ISBLANK($E144),0,IFERROR(MATCH($E144,MHR[Bezeichnung],0),0))</f>
        <v>0</v>
      </c>
      <c r="CJ144" s="394">
        <f>IF(ISBLANK($AQ144),0,IFERROR(MATCH($AQ144,MAT[Bezeichnung],0),0))</f>
        <v>0</v>
      </c>
      <c r="CK144" s="280" cm="1">
        <f t="array" ref="CK144">INDEX($D$1:$D144,$CD144)</f>
        <v>1</v>
      </c>
      <c r="CL144" s="280"/>
      <c r="CM144" s="395"/>
      <c r="CN144" s="396" cm="1">
        <f t="array" ref="CN144">IF($CB144=0,0,IF($CB144=INDEX($CB$1:$CB144,$CD144),INDEX($CN$1:$CN144,$CD144),$CP144))</f>
        <v>0</v>
      </c>
      <c r="CO144" s="395"/>
      <c r="CP144" s="396" cm="1">
        <f t="array" ref="CP144">IF($CC144=0,0,INDEX($CP$1:$CP144,$CD144))</f>
        <v>0</v>
      </c>
      <c r="CQ144" s="397"/>
      <c r="CR144" s="398"/>
      <c r="CS144" s="398"/>
      <c r="CT144" s="1152"/>
      <c r="CU144" s="1149"/>
      <c r="CV144" s="647">
        <f t="shared" si="361"/>
        <v>0</v>
      </c>
      <c r="CW144" s="648">
        <f t="shared" si="362"/>
        <v>0</v>
      </c>
      <c r="CX144" s="648">
        <f t="shared" si="363"/>
        <v>0</v>
      </c>
      <c r="CY144" s="648">
        <f t="shared" si="364"/>
        <v>0</v>
      </c>
      <c r="CZ144" s="648">
        <f t="shared" si="365"/>
        <v>0</v>
      </c>
      <c r="DA144" s="648">
        <f t="shared" si="366"/>
        <v>0</v>
      </c>
      <c r="DB144" s="648">
        <f t="shared" si="367"/>
        <v>0</v>
      </c>
      <c r="DC144" s="649">
        <f t="shared" si="368"/>
        <v>0</v>
      </c>
      <c r="DD144" s="648">
        <f t="shared" si="369"/>
        <v>0</v>
      </c>
      <c r="DE144" s="648">
        <f t="shared" si="370"/>
        <v>0</v>
      </c>
      <c r="DF144" s="648">
        <f t="shared" si="371"/>
        <v>0</v>
      </c>
      <c r="DG144" s="649">
        <f t="shared" si="372"/>
        <v>0</v>
      </c>
      <c r="DH144" s="649">
        <f t="shared" si="373"/>
        <v>0</v>
      </c>
      <c r="DI144" s="648">
        <f t="shared" si="374"/>
        <v>0</v>
      </c>
      <c r="DJ144" s="648">
        <f t="shared" si="375"/>
        <v>0</v>
      </c>
      <c r="DK144" s="648">
        <f t="shared" si="376"/>
        <v>0</v>
      </c>
      <c r="DL144" s="648">
        <f t="shared" si="377"/>
        <v>0</v>
      </c>
      <c r="DM144" s="648">
        <f t="shared" si="378"/>
        <v>0</v>
      </c>
      <c r="DN144" s="648">
        <f t="shared" si="379"/>
        <v>0</v>
      </c>
      <c r="DO144" s="648">
        <f t="shared" si="380"/>
        <v>0</v>
      </c>
      <c r="DP144" s="651">
        <f t="shared" si="381"/>
        <v>0</v>
      </c>
      <c r="DQ144" s="951">
        <f>IF($CB144=0,0,$DP144*_xlfn.XLOOKUP($CB144,Premises!$A$10:$F$10,Premises!$A$30:$F$30)/100)</f>
        <v>0</v>
      </c>
      <c r="DR144" s="650">
        <f>IFERROR(SUM($DP144:$DQ144)*IF(INDEX(Premises!$A$42:$F$42,1,MATCH($CB144,Premises!$A$10:$F$10,0))&gt;0,INDEX(Premises!$A$42:$F$42,1,MATCH($CB144,Premises!$A$10:$F$10,0))%,$CN144),0)</f>
        <v>0</v>
      </c>
      <c r="DS144" s="650" cm="1">
        <f t="array" ref="DS144">IF($CB144=0,0,SUM($DP144:$DR144)*_xlfn.XLOOKUP($CB144,Premises!$A$10:$F$10,IF(INDEX(Settings[],MATCH(3001,Settings[ID],0),2)="B",Premises!$A$33:$F$33,Premises!$A$31:$F$31))/100)</f>
        <v>0</v>
      </c>
      <c r="DT144" s="650" cm="1">
        <f t="array" ref="DT144">IF($CB144=0,0,$DP144*_xlfn.XLOOKUP($CB144,Premises!$A$10:$F$10,IF(INDEX(Settings[],MATCH(3002,Settings[ID],0),2)="B",Premises!$A$36:$F$36,Premises!$A$34:$F$34))/100)</f>
        <v>0</v>
      </c>
      <c r="DU144" s="650">
        <f>IF($CB144=0,0,SUM($DP144:$DT144)*_xlfn.XLOOKUP($CB144,Premises!$A$10:$F$10,Premises!$A$37:$F$37)/100)</f>
        <v>0</v>
      </c>
      <c r="DV144" s="954">
        <f t="shared" si="382"/>
        <v>0</v>
      </c>
      <c r="DW144" s="951">
        <f>IF($CC144=0,0,$DV144*_xlfn.XLOOKUP($CC144,Premises!$A$10:$F$10,Premises!$A$30:$F$30)/100)</f>
        <v>0</v>
      </c>
      <c r="DX144" s="650">
        <f>IFERROR(SUM($DV144:$DW144)*IF(INDEX(Premises!$A$42:$F$42,1,MATCH($CC144,Premises!$A$10:$F$10,0))&gt;0,INDEX(Premises!$A$42:$F$42,1,MATCH($CC144,Premises!$A$10:$F$10,0))%,$CP144),0)</f>
        <v>0</v>
      </c>
      <c r="DY144" s="650" cm="1">
        <f t="array" ref="DY144">IF($CC144=0,0,SUM($DV144:$DX144)*_xlfn.XLOOKUP($CC144,Premises!$A$10:$F$10,IF(INDEX(Settings[],MATCH(3001,Settings[ID],0),2)="B",Premises!$A$33:$F$33,Premises!$A$31:$F$31))/100)</f>
        <v>0</v>
      </c>
      <c r="DZ144" s="650" cm="1">
        <f t="array" ref="DZ144">IF($CC144=0,0,$DV144*_xlfn.XLOOKUP($CC144,Premises!$A$10:$F$10,IF(INDEX(Settings[],MATCH(3002,Settings[ID],0),2)="B",Premises!$A$36:$F$36,Premises!$A$34:$F$34))/100)</f>
        <v>0</v>
      </c>
      <c r="EA144" s="650">
        <f>IF($CC144=0,0,SUM($DV144:$DZ144)*_xlfn.XLOOKUP($CC144,Premises!$A$10:$F$10,Premises!$A$37:$F$37)/100)</f>
        <v>0</v>
      </c>
      <c r="EB144" s="651">
        <f t="shared" si="383"/>
        <v>0</v>
      </c>
      <c r="EC144" s="805"/>
      <c r="ED144" s="1104"/>
      <c r="EE144" s="650"/>
      <c r="EF144" s="1110"/>
      <c r="EG144" s="1108"/>
      <c r="EH144" s="1108"/>
      <c r="EI144" s="1108"/>
      <c r="EJ144" s="1108"/>
      <c r="EK144" s="1108"/>
      <c r="EL144" s="1108"/>
      <c r="EM144" s="1110"/>
      <c r="EN144" s="1108"/>
      <c r="EO144" s="1108"/>
      <c r="EP144" s="1108"/>
      <c r="EQ144" s="1108"/>
      <c r="ER144" s="1110"/>
      <c r="ES144" s="1108"/>
      <c r="ET144" s="1108"/>
      <c r="EU144" s="1108"/>
      <c r="EV144" s="1108"/>
      <c r="EW144" s="1108"/>
      <c r="EX144" s="1111"/>
      <c r="EY144" s="2"/>
      <c r="EZ144" s="2"/>
      <c r="FA144" s="2"/>
      <c r="FB144" s="2"/>
      <c r="FC144" s="2"/>
      <c r="FD144" s="2"/>
      <c r="FE144" s="2"/>
      <c r="FF144" s="2"/>
      <c r="FG144" s="2"/>
      <c r="FH144" s="2"/>
      <c r="FI144" s="2"/>
      <c r="FJ144" s="420"/>
      <c r="FK144" s="421"/>
      <c r="FL144" s="422"/>
      <c r="FM144" s="1153"/>
    </row>
    <row r="145" spans="1:169" s="13" customFormat="1" ht="12.75" customHeight="1">
      <c r="A145" s="221"/>
      <c r="B145" s="1329" t="s">
        <v>4341</v>
      </c>
      <c r="C145" s="403" t="s">
        <v>4342</v>
      </c>
      <c r="D145" s="646"/>
      <c r="E145" s="404" t="s">
        <v>4343</v>
      </c>
      <c r="F145" s="405">
        <v>1</v>
      </c>
      <c r="G145" s="405" t="s">
        <v>93</v>
      </c>
      <c r="H145" s="405">
        <v>45</v>
      </c>
      <c r="I145" s="637" cm="1">
        <f t="array" ref="I145">IF($CI145=0,0,IFERROR(INDEX(MHR[],$CI145,MATCH($CA145,MHR!$B$4:$AY$4,0)),0))</f>
        <v>19.916819444444442</v>
      </c>
      <c r="J145" s="634">
        <f t="shared" si="336"/>
        <v>1.2294332990397806E-4</v>
      </c>
      <c r="K145" s="406" t="s">
        <v>49</v>
      </c>
      <c r="L145" s="407">
        <v>30</v>
      </c>
      <c r="M145" s="871">
        <v>2</v>
      </c>
      <c r="N145" s="407"/>
      <c r="O145" s="405"/>
      <c r="P145" s="645" cm="1">
        <f t="array" ref="P145">IF($K145=0,0,IFERROR(ROUNDUP(IF(ISNUMBER($K145),$K145,INDEX($D$1:$D145,$CD145)*INDEX(Premises!$A$13:$F$13,1,$CH145)/IF(OR($K145="T",$K145="D"),250,IF($K145="W",50,IF($K145="M",12,IF(OR($K145="HJ",$K145="HY"),2,IF(OR($K145="J",$K145="Y"),1,0)))))),0),0))</f>
        <v>3334</v>
      </c>
      <c r="Q145" s="637" cm="1">
        <f t="array" ref="Q145">IF($K145=0,0,IFERROR(INDEX(Premises!$A$22:$F$22,1,$CH145)*100/INDEX(Premises!$A$16:$F$16,1,$CH145),0))</f>
        <v>16.925000000000001</v>
      </c>
      <c r="R145" s="634">
        <f t="shared" si="337"/>
        <v>8.0634102346197421E-3</v>
      </c>
      <c r="S145" s="408">
        <v>1</v>
      </c>
      <c r="T145" s="409" t="s">
        <v>275</v>
      </c>
      <c r="U145" s="637" cm="1">
        <f t="array" ref="U145">IF(COUNTBLANK($S145:$T145),0,
IF(AND(INDEX(MHR[Schichtmodell],$CI145)&lt;&gt;0,INDEX(MHR[Schichtmodell],$CI145)&lt;&gt;INDEX(Premises!$A$20:$F$20,1,$CH145)),ExchangeRate*
IF(OR($T145="M",$T145="U"),IF(INDEX(MHR[Schichtmodell],$CI145)=1,INDEX(LOC[M1S],INDEX(Premises!$A$18:$F$18,1,$CH145+1)),IF(INDEX(MHR[Schichtmodell],$CI145)=2,INDEX(LOC[M2S],INDEX(Premises!$A$18:$F$18,1,$CH145+1),IF(INDEX(MHR[Schichtmodell],$CI145)=3,INDEX(LOC[M3S],INDEX(Premises!$A$18:$F$18,1,$CH145+1)),0)))),
IF(INDEX(MHR[Schichtmodell],$CI145)=1,INDEX(LOC[F1S],INDEX(Premises!$A$18:$F$18,1,$CH145+1)),IF(INDEX(MHR[Schichtmodell],$CI145)=2,INDEX(LOC[F2S],INDEX(Premises!$A$18:$F$18,1,$CH145+1)),IF(INDEX(MHR[Schichtmodell],$CI145)=3,INDEX(LOC[F3S],INDEX(Premises!$A$18:$F$18,1,$CH145+1)),0)))),
IF(OR($T145="M",$T145="U"),INDEX(Premises!$A$21:$F$21,1,$CH145),
IF(OR($T145="F",$T145="S"),INDEX(Premises!$A$22:$F$22,1,$CH145),0)))*100/INDEX(Premises!$A$16:$F$16,1,$CH145))</f>
        <v>12.037500000000001</v>
      </c>
      <c r="V145" s="631">
        <f t="shared" si="338"/>
        <v>7.4305555555555567E-5</v>
      </c>
      <c r="W145" s="410"/>
      <c r="X145" s="403"/>
      <c r="Y145" s="411"/>
      <c r="Z145" s="412"/>
      <c r="AA145" s="628">
        <f t="shared" si="339"/>
        <v>0</v>
      </c>
      <c r="AB145" s="410"/>
      <c r="AC145" s="403"/>
      <c r="AD145" s="411"/>
      <c r="AE145" s="413"/>
      <c r="AF145" s="628">
        <f t="shared" si="340"/>
        <v>0</v>
      </c>
      <c r="AG145" s="629" cm="1">
        <f t="array" ref="AG145">IF(($J145+$V145+$AF145)=0,0,INDEX(Premises!$A$30:$F$30,1,$CH145)/100)</f>
        <v>0.01</v>
      </c>
      <c r="AH145" s="414"/>
      <c r="AI145" s="415"/>
      <c r="AJ145" s="416"/>
      <c r="AK145" s="630">
        <f t="shared" si="341"/>
        <v>0</v>
      </c>
      <c r="AL145" s="631">
        <f t="shared" si="342"/>
        <v>1.9724888545953364E-6</v>
      </c>
      <c r="AM145" s="632" cm="1">
        <f t="array" ref="AM145">IF($CI145=0,0,IFERROR(INDEX(MHR[],$CI145,MATCH($CA145,MHR!$B$4:$AY$4,0)+11),0))</f>
        <v>3.7098343488523082</v>
      </c>
      <c r="AN145" s="633" cm="1">
        <f t="array" ref="AN145">IF(($J145+$V145)=0,0,IFERROR(IF(INDEX(Premises!$A$41:$F$41,1,$CH145)&lt;&gt;0,INDEX(Premises!$A$41:$F$41,1,$CH145)/100,(IFERROR(($J145/$I145)*$AM145,0)/($V145+$J145+$R145+$AL145))),0))</f>
        <v>2.7715397604307981E-3</v>
      </c>
      <c r="AO145" s="634">
        <f t="shared" si="343"/>
        <v>2.2900212029952522E-5</v>
      </c>
      <c r="AP145" s="635">
        <f t="shared" si="344"/>
        <v>8.2855318209638235E-3</v>
      </c>
      <c r="AQ145" s="410"/>
      <c r="AR145" s="409"/>
      <c r="AS145" s="636" cm="1">
        <f t="array" ref="AS145">IF($CJ145=0,0,IFERROR(INDEX(MAT[Einheit],$CJ145,1),0))</f>
        <v>0</v>
      </c>
      <c r="AT145" s="637" cm="1">
        <f t="array" ref="AT145">IF($CJ145=0,0,IFERROR(INDEX(MAT[Preis],$CJ145,1),0))</f>
        <v>0</v>
      </c>
      <c r="AU145" s="638">
        <f t="shared" si="345"/>
        <v>0</v>
      </c>
      <c r="AV145" s="639" cm="1">
        <f t="array" ref="AV145">IF($AU145&lt;=0,0,INDEX(Premises!$A$30:$F$30,1,$CH145)/100)</f>
        <v>0</v>
      </c>
      <c r="AW145" s="409"/>
      <c r="AX145" s="631">
        <f t="shared" si="346"/>
        <v>0</v>
      </c>
      <c r="AY145" s="640" cm="1">
        <f t="array" ref="AY145">IF($AT145&lt;=0,0,IFERROR(IF(INDEX(Premises!$A$42:$F$42,1,$CH145)&lt;&gt;0,INDEX(Premises!$A$42:$F$42,1,$CH145)/100,(INDEX(MAT[],$CJ145,MATCH($CA145,MAT!$B$4:$AE$4,0))/($AR145*$CK145*INDEX(Premises!$A$13:$F$13,1,$CH145))+INDEX(MAT[],$CJ145,MATCH($CA145,MAT!$B$4:$AE$4,0)+7))/$AT145),0))</f>
        <v>0</v>
      </c>
      <c r="AZ145" s="631">
        <f t="shared" si="347"/>
        <v>0</v>
      </c>
      <c r="BA145" s="635">
        <f t="shared" si="348"/>
        <v>0</v>
      </c>
      <c r="BB145" s="635">
        <f t="shared" si="349"/>
        <v>8.2855318209638235E-3</v>
      </c>
      <c r="BC145" s="639" cm="1">
        <f t="array" ref="BC145">IF($BB145&lt;=0,0,IF(BC$2=-1,0,INDEX(Premises!$A$32:$F$32,1,$CH145)/100))</f>
        <v>0</v>
      </c>
      <c r="BD145" s="631">
        <f t="shared" si="350"/>
        <v>0</v>
      </c>
      <c r="BE145" s="639" cm="1">
        <f t="array" ref="BE145">IF($BB145&lt;=0,0,IF(BE$2=-1,0,INDEX(Premises!$A$33:$F$33,1,$CH145)/100))</f>
        <v>0</v>
      </c>
      <c r="BF145" s="631">
        <f t="shared" si="351"/>
        <v>0</v>
      </c>
      <c r="BG145" s="639" cm="1">
        <f t="array" ref="BG145">IF($BB145&lt;=0,0,IF(BG$2=-1,0,INDEX(Premises!$A$31:$F$31,1,$CH145)/100))</f>
        <v>0.125</v>
      </c>
      <c r="BH145" s="631">
        <f t="shared" si="352"/>
        <v>1.0354449165136535E-3</v>
      </c>
      <c r="BI145" s="635">
        <f t="shared" si="353"/>
        <v>9.3209767374774766E-3</v>
      </c>
      <c r="BJ145" s="639" cm="1">
        <f t="array" ref="BJ145">IF($BB145&lt;=0,0,IF(BJ$2=-1,0,INDEX(Premises!$A$35:$F$35,1,$CH145)/100))</f>
        <v>0</v>
      </c>
      <c r="BK145" s="631">
        <f t="shared" si="354"/>
        <v>0</v>
      </c>
      <c r="BL145" s="639" cm="1">
        <f t="array" ref="BL145">IF($BB145&lt;=0,0,IF(BL$2=-1,0,INDEX(Premises!$A$36:$F$36,1,$CH145)/100))</f>
        <v>0</v>
      </c>
      <c r="BM145" s="631">
        <f t="shared" si="355"/>
        <v>0</v>
      </c>
      <c r="BN145" s="639" cm="1">
        <f t="array" ref="BN145">IF($BB145&lt;=0,0,IF(BN$2=-1,0,INDEX(Premises!$A$34:$F$34,1,$CH145)/100))</f>
        <v>0.06</v>
      </c>
      <c r="BO145" s="631">
        <f t="shared" si="356"/>
        <v>4.9701355992655372E-4</v>
      </c>
      <c r="BP145" s="639" cm="1">
        <f t="array" ref="BP145">IF($BI145=0,0,INDEX(Premises!$A$37:$F$37,1,$CH145)/100)</f>
        <v>0</v>
      </c>
      <c r="BQ145" s="409"/>
      <c r="BR145" s="631">
        <f t="shared" si="357"/>
        <v>0</v>
      </c>
      <c r="BS145" s="641">
        <f t="shared" si="358"/>
        <v>9.8179902974040306E-3</v>
      </c>
      <c r="BT145" s="641">
        <f t="shared" si="359"/>
        <v>9.8179902974040306E-3</v>
      </c>
      <c r="BU145" s="642">
        <f t="shared" si="360"/>
        <v>1</v>
      </c>
      <c r="BV145" s="417"/>
      <c r="BW145" s="418"/>
      <c r="BX145" s="418"/>
      <c r="BY145" s="419"/>
      <c r="BZ145" s="968"/>
      <c r="CA145" s="280" cm="1">
        <f t="array" ref="CA145">IF($BZ145&gt;0,VALUE(LEFT($BZ145,IF(ISERROR(FIND("-",$BZ145)),LEN($BZ145),FIND("-",$BZ145)-1))),INDEX($CA$1:$CA145,MAX(1,$CD145)))</f>
        <v>1</v>
      </c>
      <c r="CB145" s="280" cm="1">
        <f t="array" ref="CB145">IF($BT145=0,0,IF(LEN($BZ145)-LEN(SUBSTITUTE($BZ145,"-",""))&gt;1,
VALUE(MID($BZ145,FIND("-",$BZ145)+1,FIND("-",$BZ145,FIND("-",$BZ145)+1)-FIND("-",$BZ145)-1)),IF($BZ145&gt;0,0,INDEX($CB$1:$CB145,MAX(1,$CD145)))))</f>
        <v>0</v>
      </c>
      <c r="CC145" s="280" cm="1">
        <f t="array" ref="CC145">IF($BT145=0,0,IF(NOT(ISERROR(FIND("-",BZ145))),
VALUE(RIGHT($BZ145,LEN($BZ145)-IF(LEN($BZ145)-LEN(SUBSTITUTE($BZ145,"-",""))=1,FIND("-",$BZ145),FIND("-",$BZ145,FIND("-",$BZ145)+1)))),
IF($BZ145&gt;0,0,INDEX($CC$1:$CC145,MAX(1,$CD145)))))</f>
        <v>0</v>
      </c>
      <c r="CD145" s="393">
        <f>MATCH(0,$CE$1:$CE145,-1)</f>
        <v>136</v>
      </c>
      <c r="CE145" s="280"/>
      <c r="CF145" s="394"/>
      <c r="CG145" s="393" cm="1">
        <f t="array" ref="CG145">INDEX($CG$1:$CG145,$CD145)</f>
        <v>18</v>
      </c>
      <c r="CH145" s="280">
        <f>MATCH($CA145,Premises!$A$10:$F$10,0)</f>
        <v>4</v>
      </c>
      <c r="CI145" s="280">
        <f>IF(ISBLANK($E145),0,IFERROR(MATCH($E145,MHR[Bezeichnung],0),0))</f>
        <v>5</v>
      </c>
      <c r="CJ145" s="394">
        <f>IF(ISBLANK($AQ145),0,IFERROR(MATCH($AQ145,MAT[Bezeichnung],0),0))</f>
        <v>0</v>
      </c>
      <c r="CK145" s="280" cm="1">
        <f t="array" ref="CK145">INDEX($D$1:$D145,$CD145)</f>
        <v>1</v>
      </c>
      <c r="CL145" s="280"/>
      <c r="CM145" s="395"/>
      <c r="CN145" s="396" cm="1">
        <f t="array" ref="CN145">IF($CB145=0,0,IF($CB145=INDEX($CB$1:$CB145,$CD145),INDEX($CN$1:$CN145,$CD145),$CP145))</f>
        <v>0</v>
      </c>
      <c r="CO145" s="395"/>
      <c r="CP145" s="396" cm="1">
        <f t="array" ref="CP145">IF($CC145=0,0,INDEX($CP$1:$CP145,$CD145))</f>
        <v>0</v>
      </c>
      <c r="CQ145" s="397"/>
      <c r="CR145" s="398"/>
      <c r="CS145" s="398"/>
      <c r="CT145" s="970"/>
      <c r="CU145" s="2"/>
      <c r="CV145" s="647">
        <f t="shared" si="361"/>
        <v>1.2294332990397806E-4</v>
      </c>
      <c r="CW145" s="648">
        <f t="shared" si="362"/>
        <v>8.0634102346197421E-3</v>
      </c>
      <c r="CX145" s="648">
        <f t="shared" si="363"/>
        <v>7.4305555555555567E-5</v>
      </c>
      <c r="CY145" s="648">
        <f t="shared" si="364"/>
        <v>0</v>
      </c>
      <c r="CZ145" s="648">
        <f t="shared" si="365"/>
        <v>0</v>
      </c>
      <c r="DA145" s="648">
        <f t="shared" si="366"/>
        <v>1.9724888545953364E-6</v>
      </c>
      <c r="DB145" s="648">
        <f t="shared" si="367"/>
        <v>2.2900212029952522E-5</v>
      </c>
      <c r="DC145" s="649">
        <f t="shared" si="368"/>
        <v>8.2855318209638235E-3</v>
      </c>
      <c r="DD145" s="648">
        <f t="shared" si="369"/>
        <v>0</v>
      </c>
      <c r="DE145" s="648">
        <f t="shared" si="370"/>
        <v>0</v>
      </c>
      <c r="DF145" s="648">
        <f t="shared" si="371"/>
        <v>0</v>
      </c>
      <c r="DG145" s="649">
        <f t="shared" si="372"/>
        <v>0</v>
      </c>
      <c r="DH145" s="649">
        <f t="shared" si="373"/>
        <v>8.2855318209638235E-3</v>
      </c>
      <c r="DI145" s="648">
        <f t="shared" si="374"/>
        <v>0</v>
      </c>
      <c r="DJ145" s="648">
        <f t="shared" si="375"/>
        <v>0</v>
      </c>
      <c r="DK145" s="648">
        <f t="shared" si="376"/>
        <v>1.0354449165136535E-3</v>
      </c>
      <c r="DL145" s="648">
        <f t="shared" si="377"/>
        <v>0</v>
      </c>
      <c r="DM145" s="648">
        <f t="shared" si="378"/>
        <v>0</v>
      </c>
      <c r="DN145" s="648">
        <f t="shared" si="379"/>
        <v>4.9701355992655372E-4</v>
      </c>
      <c r="DO145" s="648">
        <f t="shared" si="380"/>
        <v>0</v>
      </c>
      <c r="DP145" s="651">
        <f t="shared" si="381"/>
        <v>9.8179902974040306E-3</v>
      </c>
      <c r="DQ145" s="951">
        <f>IF($CB145=0,0,$DP145*_xlfn.XLOOKUP($CB145,Premises!$A$10:$F$10,Premises!$A$30:$F$30)/100)</f>
        <v>0</v>
      </c>
      <c r="DR145" s="650">
        <f>IFERROR(SUM($DP145:$DQ145)*IF(INDEX(Premises!$A$42:$F$42,1,MATCH($CB145,Premises!$A$10:$F$10,0))&gt;0,INDEX(Premises!$A$42:$F$42,1,MATCH($CB145,Premises!$A$10:$F$10,0))%,$CN145),0)</f>
        <v>0</v>
      </c>
      <c r="DS145" s="650" cm="1">
        <f t="array" ref="DS145">IF($CB145=0,0,SUM($DP145:$DR145)*_xlfn.XLOOKUP($CB145,Premises!$A$10:$F$10,IF(INDEX(Settings[],MATCH(3001,Settings[ID],0),2)="B",Premises!$A$33:$F$33,Premises!$A$31:$F$31))/100)</f>
        <v>0</v>
      </c>
      <c r="DT145" s="650" cm="1">
        <f t="array" ref="DT145">IF($CB145=0,0,$DP145*_xlfn.XLOOKUP($CB145,Premises!$A$10:$F$10,IF(INDEX(Settings[],MATCH(3002,Settings[ID],0),2)="B",Premises!$A$36:$F$36,Premises!$A$34:$F$34))/100)</f>
        <v>0</v>
      </c>
      <c r="DU145" s="650">
        <f>IF($CB145=0,0,SUM($DP145:$DT145)*_xlfn.XLOOKUP($CB145,Premises!$A$10:$F$10,Premises!$A$37:$F$37)/100)</f>
        <v>0</v>
      </c>
      <c r="DV145" s="954">
        <f t="shared" si="382"/>
        <v>9.8179902974040306E-3</v>
      </c>
      <c r="DW145" s="951">
        <f>IF($CC145=0,0,$DV145*_xlfn.XLOOKUP($CC145,Premises!$A$10:$F$10,Premises!$A$30:$F$30)/100)</f>
        <v>0</v>
      </c>
      <c r="DX145" s="650">
        <f>IFERROR(SUM($DV145:$DW145)*IF(INDEX(Premises!$A$42:$F$42,1,MATCH($CC145,Premises!$A$10:$F$10,0))&gt;0,INDEX(Premises!$A$42:$F$42,1,MATCH($CC145,Premises!$A$10:$F$10,0))%,$CP145),0)</f>
        <v>0</v>
      </c>
      <c r="DY145" s="650" cm="1">
        <f t="array" ref="DY145">IF($CC145=0,0,SUM($DV145:$DX145)*_xlfn.XLOOKUP($CC145,Premises!$A$10:$F$10,IF(INDEX(Settings[],MATCH(3001,Settings[ID],0),2)="B",Premises!$A$33:$F$33,Premises!$A$31:$F$31))/100)</f>
        <v>0</v>
      </c>
      <c r="DZ145" s="650" cm="1">
        <f t="array" ref="DZ145">IF($CC145=0,0,$DV145*_xlfn.XLOOKUP($CC145,Premises!$A$10:$F$10,IF(INDEX(Settings[],MATCH(3002,Settings[ID],0),2)="B",Premises!$A$36:$F$36,Premises!$A$34:$F$34))/100)</f>
        <v>0</v>
      </c>
      <c r="EA145" s="650">
        <f>IF($CC145=0,0,SUM($DV145:$DZ145)*_xlfn.XLOOKUP($CC145,Premises!$A$10:$F$10,Premises!$A$37:$F$37)/100)</f>
        <v>0</v>
      </c>
      <c r="EB145" s="651">
        <f t="shared" si="383"/>
        <v>9.8179902974040306E-3</v>
      </c>
      <c r="EC145" s="805"/>
      <c r="ED145" s="1104"/>
      <c r="EE145" s="650"/>
      <c r="EF145" s="1110"/>
      <c r="EG145" s="1108"/>
      <c r="EH145" s="1108"/>
      <c r="EI145" s="1108"/>
      <c r="EJ145" s="1108"/>
      <c r="EK145" s="1108"/>
      <c r="EL145" s="1108"/>
      <c r="EM145" s="1110"/>
      <c r="EN145" s="1108"/>
      <c r="EO145" s="1108"/>
      <c r="EP145" s="1108"/>
      <c r="EQ145" s="1108"/>
      <c r="ER145" s="1110"/>
      <c r="ES145" s="1108"/>
      <c r="ET145" s="1108"/>
      <c r="EU145" s="1108"/>
      <c r="EV145" s="1108"/>
      <c r="EW145" s="1108"/>
      <c r="EX145" s="1111"/>
      <c r="EY145" s="2"/>
      <c r="EZ145" s="2"/>
      <c r="FA145" s="2"/>
      <c r="FB145" s="2"/>
      <c r="FC145" s="2"/>
      <c r="FD145" s="2"/>
      <c r="FE145" s="2"/>
      <c r="FF145" s="2"/>
      <c r="FG145" s="2"/>
      <c r="FH145" s="2"/>
      <c r="FI145" s="2"/>
      <c r="FJ145" s="420"/>
      <c r="FK145" s="421"/>
      <c r="FL145" s="422"/>
      <c r="FM145" s="970"/>
    </row>
    <row r="146" spans="1:169" s="13" customFormat="1" ht="12.75" customHeight="1">
      <c r="A146" s="221"/>
      <c r="B146" s="402"/>
      <c r="C146" s="403"/>
      <c r="D146" s="646"/>
      <c r="E146" s="404"/>
      <c r="F146" s="405"/>
      <c r="G146" s="405"/>
      <c r="H146" s="405"/>
      <c r="I146" s="637" cm="1">
        <f t="array" ref="I146">IF($CI146=0,0,IFERROR(INDEX(MHR[],$CI146,MATCH($CA146,MHR!$B$4:$AY$4,0)),0))</f>
        <v>0</v>
      </c>
      <c r="J146" s="634">
        <f t="shared" si="336"/>
        <v>0</v>
      </c>
      <c r="K146" s="406"/>
      <c r="L146" s="407"/>
      <c r="M146" s="871"/>
      <c r="N146" s="407"/>
      <c r="O146" s="405"/>
      <c r="P146" s="645" cm="1">
        <f t="array" ref="P146">IF($K146=0,0,IFERROR(ROUNDUP(IF(ISNUMBER($K146),$K146,INDEX($D$1:$D146,$CD146)*INDEX(Premises!$A$13:$F$13,1,$CH146)/IF(OR($K146="T",$K146="D"),250,IF($K146="W",50,IF($K146="M",12,IF(OR($K146="HJ",$K146="HY"),2,IF(OR($K146="J",$K146="Y"),1,0)))))),0),0))</f>
        <v>0</v>
      </c>
      <c r="Q146" s="637" cm="1">
        <f t="array" ref="Q146">IF($K146=0,0,IFERROR(INDEX(Premises!$A$22:$F$22,1,$CH146)*100/INDEX(Premises!$A$16:$F$16,1,$CH146),0))</f>
        <v>0</v>
      </c>
      <c r="R146" s="634">
        <f t="shared" si="337"/>
        <v>0</v>
      </c>
      <c r="S146" s="408"/>
      <c r="T146" s="409"/>
      <c r="U146" s="637" cm="1">
        <f t="array" ref="U146">IF(COUNTBLANK($S146:$T146),0,
IF(AND(INDEX(MHR[Schichtmodell],$CI146)&lt;&gt;0,INDEX(MHR[Schichtmodell],$CI146)&lt;&gt;INDEX(Premises!$A$20:$F$20,1,$CH146)),ExchangeRate*
IF(OR($T146="M",$T146="U"),IF(INDEX(MHR[Schichtmodell],$CI146)=1,INDEX(LOC[M1S],INDEX(Premises!$A$18:$F$18,1,$CH146+1)),IF(INDEX(MHR[Schichtmodell],$CI146)=2,INDEX(LOC[M2S],INDEX(Premises!$A$18:$F$18,1,$CH146+1),IF(INDEX(MHR[Schichtmodell],$CI146)=3,INDEX(LOC[M3S],INDEX(Premises!$A$18:$F$18,1,$CH146+1)),0)))),
IF(INDEX(MHR[Schichtmodell],$CI146)=1,INDEX(LOC[F1S],INDEX(Premises!$A$18:$F$18,1,$CH146+1)),IF(INDEX(MHR[Schichtmodell],$CI146)=2,INDEX(LOC[F2S],INDEX(Premises!$A$18:$F$18,1,$CH146+1)),IF(INDEX(MHR[Schichtmodell],$CI146)=3,INDEX(LOC[F3S],INDEX(Premises!$A$18:$F$18,1,$CH146+1)),0)))),
IF(OR($T146="M",$T146="U"),INDEX(Premises!$A$21:$F$21,1,$CH146),
IF(OR($T146="F",$T146="S"),INDEX(Premises!$A$22:$F$22,1,$CH146),0)))*100/INDEX(Premises!$A$16:$F$16,1,$CH146))</f>
        <v>0</v>
      </c>
      <c r="V146" s="631">
        <f t="shared" si="338"/>
        <v>0</v>
      </c>
      <c r="W146" s="410"/>
      <c r="X146" s="403"/>
      <c r="Y146" s="411"/>
      <c r="Z146" s="412"/>
      <c r="AA146" s="628">
        <f t="shared" si="339"/>
        <v>0</v>
      </c>
      <c r="AB146" s="410"/>
      <c r="AC146" s="403"/>
      <c r="AD146" s="411"/>
      <c r="AE146" s="413"/>
      <c r="AF146" s="628">
        <f t="shared" si="340"/>
        <v>0</v>
      </c>
      <c r="AG146" s="629" cm="1">
        <f t="array" ref="AG146">IF(($J146+$V146+$AF146)=0,0,INDEX(Premises!$A$30:$F$30,1,$CH146)/100)</f>
        <v>0</v>
      </c>
      <c r="AH146" s="414"/>
      <c r="AI146" s="415"/>
      <c r="AJ146" s="416"/>
      <c r="AK146" s="630">
        <f t="shared" si="341"/>
        <v>0</v>
      </c>
      <c r="AL146" s="631">
        <f t="shared" si="342"/>
        <v>0</v>
      </c>
      <c r="AM146" s="632" cm="1">
        <f t="array" ref="AM146">IF($CI146=0,0,IFERROR(INDEX(MHR[],$CI146,MATCH($CA146,MHR!$B$4:$AY$4,0)+11),0))</f>
        <v>0</v>
      </c>
      <c r="AN146" s="633" cm="1">
        <f t="array" ref="AN146">IF(($J146+$V146)=0,0,IFERROR(IF(INDEX(Premises!$A$41:$F$41,1,$CH146)&lt;&gt;0,INDEX(Premises!$A$41:$F$41,1,$CH146)/100,(IFERROR(($J146/$I146)*$AM146,0)/($V146+$J146+$R146+$AL146))),0))</f>
        <v>0</v>
      </c>
      <c r="AO146" s="634">
        <f t="shared" si="343"/>
        <v>0</v>
      </c>
      <c r="AP146" s="635">
        <f t="shared" si="344"/>
        <v>0</v>
      </c>
      <c r="AQ146" s="410"/>
      <c r="AR146" s="409"/>
      <c r="AS146" s="636" cm="1">
        <f t="array" ref="AS146">IF($CJ146=0,0,IFERROR(INDEX(MAT[Einheit],$CJ146,1),0))</f>
        <v>0</v>
      </c>
      <c r="AT146" s="637" cm="1">
        <f t="array" ref="AT146">IF($CJ146=0,0,IFERROR(INDEX(MAT[Preis],$CJ146,1),0))</f>
        <v>0</v>
      </c>
      <c r="AU146" s="638">
        <f t="shared" si="345"/>
        <v>0</v>
      </c>
      <c r="AV146" s="639" cm="1">
        <f t="array" ref="AV146">IF($AU146&lt;=0,0,INDEX(Premises!$A$30:$F$30,1,$CH146)/100)</f>
        <v>0</v>
      </c>
      <c r="AW146" s="409"/>
      <c r="AX146" s="631">
        <f t="shared" si="346"/>
        <v>0</v>
      </c>
      <c r="AY146" s="640" cm="1">
        <f t="array" ref="AY146">IF($AT146&lt;=0,0,IFERROR(IF(INDEX(Premises!$A$42:$F$42,1,$CH146)&lt;&gt;0,INDEX(Premises!$A$42:$F$42,1,$CH146)/100,(INDEX(MAT[],$CJ146,MATCH($CA146,MAT!$B$4:$AE$4,0))/($AR146*$CK146*INDEX(Premises!$A$13:$F$13,1,$CH146))+INDEX(MAT[],$CJ146,MATCH($CA146,MAT!$B$4:$AE$4,0)+7))/$AT146),0))</f>
        <v>0</v>
      </c>
      <c r="AZ146" s="631">
        <f t="shared" si="347"/>
        <v>0</v>
      </c>
      <c r="BA146" s="635">
        <f t="shared" si="348"/>
        <v>0</v>
      </c>
      <c r="BB146" s="635">
        <f t="shared" si="349"/>
        <v>0</v>
      </c>
      <c r="BC146" s="639" cm="1">
        <f t="array" ref="BC146">IF($BB146&lt;=0,0,IF(BC$2=-1,0,INDEX(Premises!$A$32:$F$32,1,$CH146)/100))</f>
        <v>0</v>
      </c>
      <c r="BD146" s="631">
        <f t="shared" si="350"/>
        <v>0</v>
      </c>
      <c r="BE146" s="639" cm="1">
        <f t="array" ref="BE146">IF($BB146&lt;=0,0,IF(BE$2=-1,0,INDEX(Premises!$A$33:$F$33,1,$CH146)/100))</f>
        <v>0</v>
      </c>
      <c r="BF146" s="631">
        <f t="shared" si="351"/>
        <v>0</v>
      </c>
      <c r="BG146" s="639" cm="1">
        <f t="array" ref="BG146">IF($BB146&lt;=0,0,IF(BG$2=-1,0,INDEX(Premises!$A$31:$F$31,1,$CH146)/100))</f>
        <v>0</v>
      </c>
      <c r="BH146" s="631">
        <f t="shared" si="352"/>
        <v>0</v>
      </c>
      <c r="BI146" s="635">
        <f t="shared" si="353"/>
        <v>0</v>
      </c>
      <c r="BJ146" s="639" cm="1">
        <f t="array" ref="BJ146">IF($BB146&lt;=0,0,IF(BJ$2=-1,0,INDEX(Premises!$A$35:$F$35,1,$CH146)/100))</f>
        <v>0</v>
      </c>
      <c r="BK146" s="631">
        <f t="shared" si="354"/>
        <v>0</v>
      </c>
      <c r="BL146" s="639" cm="1">
        <f t="array" ref="BL146">IF($BB146&lt;=0,0,IF(BL$2=-1,0,INDEX(Premises!$A$36:$F$36,1,$CH146)/100))</f>
        <v>0</v>
      </c>
      <c r="BM146" s="631">
        <f t="shared" si="355"/>
        <v>0</v>
      </c>
      <c r="BN146" s="639" cm="1">
        <f t="array" ref="BN146">IF($BB146&lt;=0,0,IF(BN$2=-1,0,INDEX(Premises!$A$34:$F$34,1,$CH146)/100))</f>
        <v>0</v>
      </c>
      <c r="BO146" s="631">
        <f t="shared" si="356"/>
        <v>0</v>
      </c>
      <c r="BP146" s="639" cm="1">
        <f t="array" ref="BP146">IF($BI146=0,0,INDEX(Premises!$A$37:$F$37,1,$CH146)/100)</f>
        <v>0</v>
      </c>
      <c r="BQ146" s="409"/>
      <c r="BR146" s="631">
        <f t="shared" si="357"/>
        <v>0</v>
      </c>
      <c r="BS146" s="641">
        <f t="shared" si="358"/>
        <v>0</v>
      </c>
      <c r="BT146" s="641">
        <f t="shared" si="359"/>
        <v>0</v>
      </c>
      <c r="BU146" s="642">
        <f t="shared" si="360"/>
        <v>0</v>
      </c>
      <c r="BV146" s="1147"/>
      <c r="BW146" s="418"/>
      <c r="BX146" s="418"/>
      <c r="BY146" s="419"/>
      <c r="BZ146" s="968"/>
      <c r="CA146" s="280" cm="1">
        <f t="array" ref="CA146">IF($BZ146&gt;0,VALUE(LEFT($BZ146,IF(ISERROR(FIND("-",$BZ146)),LEN($BZ146),FIND("-",$BZ146)-1))),INDEX($CA$1:$CA146,MAX(1,$CD146)))</f>
        <v>1</v>
      </c>
      <c r="CB146" s="280" cm="1">
        <f t="array" ref="CB146">IF($BT146=0,0,IF(LEN($BZ146)-LEN(SUBSTITUTE($BZ146,"-",""))&gt;1,
VALUE(MID($BZ146,FIND("-",$BZ146)+1,FIND("-",$BZ146,FIND("-",$BZ146)+1)-FIND("-",$BZ146)-1)),IF($BZ146&gt;0,0,INDEX($CB$1:$CB146,MAX(1,$CD146)))))</f>
        <v>0</v>
      </c>
      <c r="CC146" s="280" cm="1">
        <f t="array" ref="CC146">IF($BT146=0,0,IF(NOT(ISERROR(FIND("-",BZ146))),
VALUE(RIGHT($BZ146,LEN($BZ146)-IF(LEN($BZ146)-LEN(SUBSTITUTE($BZ146,"-",""))=1,FIND("-",$BZ146),FIND("-",$BZ146,FIND("-",$BZ146)+1)))),
IF($BZ146&gt;0,0,INDEX($CC$1:$CC146,MAX(1,$CD146)))))</f>
        <v>0</v>
      </c>
      <c r="CD146" s="393">
        <f>MATCH(0,$CE$1:$CE146,-1)</f>
        <v>136</v>
      </c>
      <c r="CE146" s="280"/>
      <c r="CF146" s="394"/>
      <c r="CG146" s="393" cm="1">
        <f t="array" ref="CG146">INDEX($CG$1:$CG146,$CD146)</f>
        <v>18</v>
      </c>
      <c r="CH146" s="280">
        <f>MATCH($CA146,Premises!$A$10:$F$10,0)</f>
        <v>4</v>
      </c>
      <c r="CI146" s="280">
        <f>IF(ISBLANK($E146),0,IFERROR(MATCH($E146,MHR[Bezeichnung],0),0))</f>
        <v>0</v>
      </c>
      <c r="CJ146" s="394">
        <f>IF(ISBLANK($AQ146),0,IFERROR(MATCH($AQ146,MAT[Bezeichnung],0),0))</f>
        <v>0</v>
      </c>
      <c r="CK146" s="280" cm="1">
        <f t="array" ref="CK146">INDEX($D$1:$D146,$CD146)</f>
        <v>1</v>
      </c>
      <c r="CL146" s="280"/>
      <c r="CM146" s="395"/>
      <c r="CN146" s="396" cm="1">
        <f t="array" ref="CN146">IF($CB146=0,0,IF($CB146=INDEX($CB$1:$CB146,$CD146),INDEX($CN$1:$CN146,$CD146),$CP146))</f>
        <v>0</v>
      </c>
      <c r="CO146" s="395"/>
      <c r="CP146" s="396" cm="1">
        <f t="array" ref="CP146">IF($CC146=0,0,INDEX($CP$1:$CP146,$CD146))</f>
        <v>0</v>
      </c>
      <c r="CQ146" s="397"/>
      <c r="CR146" s="398"/>
      <c r="CS146" s="398"/>
      <c r="CT146" s="1152"/>
      <c r="CU146" s="1149"/>
      <c r="CV146" s="647">
        <f t="shared" si="361"/>
        <v>0</v>
      </c>
      <c r="CW146" s="648">
        <f t="shared" si="362"/>
        <v>0</v>
      </c>
      <c r="CX146" s="648">
        <f t="shared" si="363"/>
        <v>0</v>
      </c>
      <c r="CY146" s="648">
        <f t="shared" si="364"/>
        <v>0</v>
      </c>
      <c r="CZ146" s="648">
        <f t="shared" si="365"/>
        <v>0</v>
      </c>
      <c r="DA146" s="648">
        <f t="shared" si="366"/>
        <v>0</v>
      </c>
      <c r="DB146" s="648">
        <f t="shared" si="367"/>
        <v>0</v>
      </c>
      <c r="DC146" s="649">
        <f t="shared" si="368"/>
        <v>0</v>
      </c>
      <c r="DD146" s="648">
        <f t="shared" si="369"/>
        <v>0</v>
      </c>
      <c r="DE146" s="648">
        <f t="shared" si="370"/>
        <v>0</v>
      </c>
      <c r="DF146" s="648">
        <f t="shared" si="371"/>
        <v>0</v>
      </c>
      <c r="DG146" s="649">
        <f t="shared" si="372"/>
        <v>0</v>
      </c>
      <c r="DH146" s="649">
        <f t="shared" si="373"/>
        <v>0</v>
      </c>
      <c r="DI146" s="648">
        <f t="shared" si="374"/>
        <v>0</v>
      </c>
      <c r="DJ146" s="648">
        <f t="shared" si="375"/>
        <v>0</v>
      </c>
      <c r="DK146" s="648">
        <f t="shared" si="376"/>
        <v>0</v>
      </c>
      <c r="DL146" s="648">
        <f t="shared" si="377"/>
        <v>0</v>
      </c>
      <c r="DM146" s="648">
        <f t="shared" si="378"/>
        <v>0</v>
      </c>
      <c r="DN146" s="648">
        <f t="shared" si="379"/>
        <v>0</v>
      </c>
      <c r="DO146" s="648">
        <f t="shared" si="380"/>
        <v>0</v>
      </c>
      <c r="DP146" s="651">
        <f t="shared" si="381"/>
        <v>0</v>
      </c>
      <c r="DQ146" s="951">
        <f>IF($CB146=0,0,$DP146*_xlfn.XLOOKUP($CB146,Premises!$A$10:$F$10,Premises!$A$30:$F$30)/100)</f>
        <v>0</v>
      </c>
      <c r="DR146" s="650">
        <f>IFERROR(SUM($DP146:$DQ146)*IF(INDEX(Premises!$A$42:$F$42,1,MATCH($CB146,Premises!$A$10:$F$10,0))&gt;0,INDEX(Premises!$A$42:$F$42,1,MATCH($CB146,Premises!$A$10:$F$10,0))%,$CN146),0)</f>
        <v>0</v>
      </c>
      <c r="DS146" s="650" cm="1">
        <f t="array" ref="DS146">IF($CB146=0,0,SUM($DP146:$DR146)*_xlfn.XLOOKUP($CB146,Premises!$A$10:$F$10,IF(INDEX(Settings[],MATCH(3001,Settings[ID],0),2)="B",Premises!$A$33:$F$33,Premises!$A$31:$F$31))/100)</f>
        <v>0</v>
      </c>
      <c r="DT146" s="650" cm="1">
        <f t="array" ref="DT146">IF($CB146=0,0,$DP146*_xlfn.XLOOKUP($CB146,Premises!$A$10:$F$10,IF(INDEX(Settings[],MATCH(3002,Settings[ID],0),2)="B",Premises!$A$36:$F$36,Premises!$A$34:$F$34))/100)</f>
        <v>0</v>
      </c>
      <c r="DU146" s="650">
        <f>IF($CB146=0,0,SUM($DP146:$DT146)*_xlfn.XLOOKUP($CB146,Premises!$A$10:$F$10,Premises!$A$37:$F$37)/100)</f>
        <v>0</v>
      </c>
      <c r="DV146" s="954">
        <f t="shared" si="382"/>
        <v>0</v>
      </c>
      <c r="DW146" s="951">
        <f>IF($CC146=0,0,$DV146*_xlfn.XLOOKUP($CC146,Premises!$A$10:$F$10,Premises!$A$30:$F$30)/100)</f>
        <v>0</v>
      </c>
      <c r="DX146" s="650">
        <f>IFERROR(SUM($DV146:$DW146)*IF(INDEX(Premises!$A$42:$F$42,1,MATCH($CC146,Premises!$A$10:$F$10,0))&gt;0,INDEX(Premises!$A$42:$F$42,1,MATCH($CC146,Premises!$A$10:$F$10,0))%,$CP146),0)</f>
        <v>0</v>
      </c>
      <c r="DY146" s="650" cm="1">
        <f t="array" ref="DY146">IF($CC146=0,0,SUM($DV146:$DX146)*_xlfn.XLOOKUP($CC146,Premises!$A$10:$F$10,IF(INDEX(Settings[],MATCH(3001,Settings[ID],0),2)="B",Premises!$A$33:$F$33,Premises!$A$31:$F$31))/100)</f>
        <v>0</v>
      </c>
      <c r="DZ146" s="650" cm="1">
        <f t="array" ref="DZ146">IF($CC146=0,0,$DV146*_xlfn.XLOOKUP($CC146,Premises!$A$10:$F$10,IF(INDEX(Settings[],MATCH(3002,Settings[ID],0),2)="B",Premises!$A$36:$F$36,Premises!$A$34:$F$34))/100)</f>
        <v>0</v>
      </c>
      <c r="EA146" s="650">
        <f>IF($CC146=0,0,SUM($DV146:$DZ146)*_xlfn.XLOOKUP($CC146,Premises!$A$10:$F$10,Premises!$A$37:$F$37)/100)</f>
        <v>0</v>
      </c>
      <c r="EB146" s="651">
        <f t="shared" si="383"/>
        <v>0</v>
      </c>
      <c r="EC146" s="805"/>
      <c r="ED146" s="1104"/>
      <c r="EE146" s="650"/>
      <c r="EF146" s="1110"/>
      <c r="EG146" s="1108"/>
      <c r="EH146" s="1108"/>
      <c r="EI146" s="1108"/>
      <c r="EJ146" s="1108"/>
      <c r="EK146" s="1108"/>
      <c r="EL146" s="1108"/>
      <c r="EM146" s="1110"/>
      <c r="EN146" s="1108"/>
      <c r="EO146" s="1108"/>
      <c r="EP146" s="1108"/>
      <c r="EQ146" s="1108"/>
      <c r="ER146" s="1110"/>
      <c r="ES146" s="1108"/>
      <c r="ET146" s="1108"/>
      <c r="EU146" s="1108"/>
      <c r="EV146" s="1108"/>
      <c r="EW146" s="1108"/>
      <c r="EX146" s="1111"/>
      <c r="EY146" s="2"/>
      <c r="EZ146" s="2"/>
      <c r="FA146" s="2"/>
      <c r="FB146" s="2"/>
      <c r="FC146" s="2"/>
      <c r="FD146" s="2"/>
      <c r="FE146" s="2"/>
      <c r="FF146" s="2"/>
      <c r="FG146" s="2"/>
      <c r="FH146" s="2"/>
      <c r="FI146" s="2"/>
      <c r="FJ146" s="420"/>
      <c r="FK146" s="421"/>
      <c r="FL146" s="422"/>
      <c r="FM146" s="1153"/>
    </row>
    <row r="147" spans="1:169" s="13" customFormat="1" ht="12.75" customHeight="1">
      <c r="A147" s="221"/>
      <c r="B147" s="387" t="str">
        <f>BOM!$A$19</f>
        <v>01-01-03-12 Reflective foil Unstamped</v>
      </c>
      <c r="C147" s="388"/>
      <c r="D147" s="389" cm="1">
        <f t="array" ref="D147">IF($CG147=0,0,INDEX(BOM!$N:$N,$CG147))</f>
        <v>1</v>
      </c>
      <c r="E147" s="644" t="s">
        <v>664</v>
      </c>
      <c r="F147" s="644" t="s">
        <v>664</v>
      </c>
      <c r="G147" s="644" t="s">
        <v>664</v>
      </c>
      <c r="H147" s="644" t="s">
        <v>664</v>
      </c>
      <c r="I147" s="644" t="s">
        <v>664</v>
      </c>
      <c r="J147" s="644" t="s">
        <v>664</v>
      </c>
      <c r="K147" s="644" t="s">
        <v>664</v>
      </c>
      <c r="L147" s="644" t="s">
        <v>664</v>
      </c>
      <c r="M147" s="644" t="s">
        <v>664</v>
      </c>
      <c r="N147" s="644" t="s">
        <v>664</v>
      </c>
      <c r="O147" s="644" t="s">
        <v>664</v>
      </c>
      <c r="P147" s="644" t="s">
        <v>664</v>
      </c>
      <c r="Q147" s="644" t="s">
        <v>664</v>
      </c>
      <c r="R147" s="644" t="s">
        <v>664</v>
      </c>
      <c r="S147" s="644" t="s">
        <v>664</v>
      </c>
      <c r="T147" s="644" t="s">
        <v>664</v>
      </c>
      <c r="U147" s="644" t="s">
        <v>664</v>
      </c>
      <c r="V147" s="644" t="s">
        <v>664</v>
      </c>
      <c r="W147" s="644" t="s">
        <v>664</v>
      </c>
      <c r="X147" s="644" t="s">
        <v>664</v>
      </c>
      <c r="Y147" s="644" t="s">
        <v>664</v>
      </c>
      <c r="Z147" s="644" t="s">
        <v>664</v>
      </c>
      <c r="AA147" s="644" t="s">
        <v>664</v>
      </c>
      <c r="AB147" s="644" t="s">
        <v>664</v>
      </c>
      <c r="AC147" s="644" t="s">
        <v>664</v>
      </c>
      <c r="AD147" s="644" t="s">
        <v>664</v>
      </c>
      <c r="AE147" s="644" t="s">
        <v>664</v>
      </c>
      <c r="AF147" s="644" t="s">
        <v>664</v>
      </c>
      <c r="AG147" s="644" t="s">
        <v>664</v>
      </c>
      <c r="AH147" s="644" t="s">
        <v>664</v>
      </c>
      <c r="AI147" s="644" t="s">
        <v>664</v>
      </c>
      <c r="AJ147" s="644" t="s">
        <v>664</v>
      </c>
      <c r="AK147" s="644" t="s">
        <v>664</v>
      </c>
      <c r="AL147" s="644" t="s">
        <v>664</v>
      </c>
      <c r="AM147" s="644" t="s">
        <v>664</v>
      </c>
      <c r="AN147" s="644" t="s">
        <v>664</v>
      </c>
      <c r="AO147" s="644" t="s">
        <v>664</v>
      </c>
      <c r="AP147" s="644" t="s">
        <v>664</v>
      </c>
      <c r="AQ147" s="644" t="s">
        <v>664</v>
      </c>
      <c r="AR147" s="644" t="s">
        <v>664</v>
      </c>
      <c r="AS147" s="644" t="s">
        <v>664</v>
      </c>
      <c r="AT147" s="644" t="s">
        <v>664</v>
      </c>
      <c r="AU147" s="644" t="s">
        <v>664</v>
      </c>
      <c r="AV147" s="644" t="s">
        <v>664</v>
      </c>
      <c r="AW147" s="644" t="s">
        <v>664</v>
      </c>
      <c r="AX147" s="644" t="s">
        <v>664</v>
      </c>
      <c r="AY147" s="644" t="s">
        <v>664</v>
      </c>
      <c r="AZ147" s="644" t="s">
        <v>664</v>
      </c>
      <c r="BA147" s="644" t="s">
        <v>664</v>
      </c>
      <c r="BB147" s="644" t="s">
        <v>664</v>
      </c>
      <c r="BC147" s="644" t="s">
        <v>664</v>
      </c>
      <c r="BD147" s="644" t="s">
        <v>664</v>
      </c>
      <c r="BE147" s="644" t="s">
        <v>664</v>
      </c>
      <c r="BF147" s="644" t="s">
        <v>664</v>
      </c>
      <c r="BG147" s="644" t="s">
        <v>664</v>
      </c>
      <c r="BH147" s="644" t="s">
        <v>664</v>
      </c>
      <c r="BI147" s="644" t="s">
        <v>664</v>
      </c>
      <c r="BJ147" s="644" t="s">
        <v>664</v>
      </c>
      <c r="BK147" s="644" t="s">
        <v>664</v>
      </c>
      <c r="BL147" s="644" t="s">
        <v>664</v>
      </c>
      <c r="BM147" s="644" t="s">
        <v>664</v>
      </c>
      <c r="BN147" s="644" t="s">
        <v>664</v>
      </c>
      <c r="BO147" s="644" t="s">
        <v>664</v>
      </c>
      <c r="BP147" s="644" t="s">
        <v>664</v>
      </c>
      <c r="BQ147" s="644" t="s">
        <v>664</v>
      </c>
      <c r="BR147" s="644" t="s">
        <v>664</v>
      </c>
      <c r="BS147" s="920">
        <f>SUM(INDEX($BS:$BS,ROW()+1):INDEX($BS:$BS,$CE147))</f>
        <v>6.3726948875874406E-2</v>
      </c>
      <c r="BT147" s="920">
        <f>SUM(INDEX($BT:$BT,ROW()+1):INDEX($BT:$BT,$CE147))</f>
        <v>6.3726948875874406E-2</v>
      </c>
      <c r="BU147" s="644" t="s">
        <v>664</v>
      </c>
      <c r="BV147" s="643">
        <f>SUMPRODUCT($BS147:INDEX($BS:$BS,$CE147),$BU147:INDEX($BU:$BU,$CE147))</f>
        <v>6.3726948875874406E-2</v>
      </c>
      <c r="BW147" s="390">
        <f>$D147*$BV147</f>
        <v>6.3726948875874406E-2</v>
      </c>
      <c r="BX147" s="816" cm="1">
        <f t="array" ref="BX147">IF($CG147=0,0,IF(INDEX(BOM!$P:$P,$CG147)=0,0,
SUMPRODUCT($BW147:INDEX($BW:$BW,IFERROR(ROW()+MATCH($CL147,INDEX($CL:$CL,ROW()+1):INDEX($CL:$CL,MAX($CE:$CE)),0)-1,MAX($CE:$CE))),
($CL147:INDEX($CL:$CL,IFERROR(ROW()+MATCH($CL147,INDEX($CL:$CL,ROW()+1):INDEX($CL:$CL,MAX($CE:$CE)),0)-1,MAX($CE:$CE)))&gt;=$CL147)*1)
))</f>
        <v>0</v>
      </c>
      <c r="BY147" s="391"/>
      <c r="BZ147" s="392" cm="1">
        <f t="array" ref="BZ147">IF($CG147=0,0,INDEX(BOM!$M:$M,$CG147))</f>
        <v>1</v>
      </c>
      <c r="CA147" s="280">
        <f>IF($BZ147&gt;0,VALUE(LEFT($BZ147,IF(ISERROR(FIND("-",$BZ147)),LEN($BZ147),FIND("-",$BZ147)-1))),INDEX($BZ$1:BZ147,MATCH("",$A$1:A147,-1)))</f>
        <v>1</v>
      </c>
      <c r="CB147" s="280">
        <f>IF(LEN($BZ147)-LEN(SUBSTITUTE($BZ147,"-",))&gt;1,
VALUE(MID($BZ147,FIND("-",$BZ147)+1,FIND("-",$BZ147,FIND("-",$BZ147)+1)-FIND("-",$BZ147)-1)),0)</f>
        <v>0</v>
      </c>
      <c r="CC147" s="280">
        <f>IF(NOT(ISERROR(FIND("-",BZ147))),
VALUE(RIGHT($BZ147,LEN($BZ147)-IF(LEN($BZ147)-LEN(SUBSTITUTE($BZ147,"-",""))=1,FIND("-",$BZ147),FIND("-",$BZ147,FIND("-",$BZ147)+1)))),0)</f>
        <v>0</v>
      </c>
      <c r="CD147" s="393"/>
      <c r="CE147" s="280" cm="1">
        <f t="array" ref="CE147">ROW()+MATCH(TRUE,_xlfn.ISFORMULA(INDEX(BW:BW,ROW()+1):INDEX(BW:BW,ROW()+MaxNumberOfRowsPerBlock)),0)-1</f>
        <v>157</v>
      </c>
      <c r="CF147" s="394" cm="1">
        <f t="array" ref="CF147">IF(CL147=0,-1,IF(CL147=1,7,MAX(IF($CL$1:$CL147=CL147-1,ROW($CL$1:$CL147),0))))</f>
        <v>49</v>
      </c>
      <c r="CG147" s="393">
        <f>IFERROR(MATCH($B147,BOM!$A:$A,0),0)</f>
        <v>19</v>
      </c>
      <c r="CH147" s="280">
        <f>MATCH($CA147,Premises!$A$10:$F$10,0)</f>
        <v>4</v>
      </c>
      <c r="CI147" s="280"/>
      <c r="CJ147" s="394"/>
      <c r="CK147" s="280"/>
      <c r="CL147" s="280" cm="1">
        <f t="array" ref="CL147">IF($CG147=0,0,INDEX(BOM!$C:$C,$CG147))</f>
        <v>4</v>
      </c>
      <c r="CM147" s="395" cm="1">
        <f t="array" ref="CM147">IF($CG147=0,0,IF(OR($CF147&lt;0,AND(INDEX($CB:$CB,$CF147)=$CB147,INDEX($CC:$CC,$CF147)=$CC147)),0,IF(INDEX(BOM!$P:$P,$CG147)=0,$BT147,(SUMIF($CA147:INDEX($CA:$CA,IFERROR(ROW()+MATCH($CL147,INDEX($CL:$CL,ROW()+1):INDEX($CL:$CL,MAX($CE:$CE)),0)-1,MAX($CE:$CE))),$CA147,$BT147:INDEX($BT:$BT,IFERROR(ROW()+MATCH($CL147,INDEX($CL:$CL,ROW()+1):INDEX($CL:$CL,MAX($CE:$CE)),0)-1,MAX($CE:$CE))))+SUMIF($CB147:INDEX($CB:$CB,IFERROR(ROW()+MATCH($CL147,INDEX($CL:$CL,ROW()+1):INDEX($CL:$CL,MAX($CE:$CE)),0)-1,MAX($CE:$CE))),$CA147,$BT147:INDEX($BT:$BT,IFERROR(ROW()+MATCH($CL147,INDEX($CL:$CL,ROW()+1):INDEX($CL:$CL,MAX($CE:$CE)),0)-1,MAX($CE:$CE)))))/2)))</f>
        <v>0</v>
      </c>
      <c r="CN147" s="396" cm="1">
        <f t="array" ref="CN147">IFERROR(IF($CB147=0,0,IF($CM147=0,INDEX($CN$1:$CN147,$CF147),INDEX(IF($CM147&lt;0.2,Premises!$A$43:$F$43,IF($CM147&lt;5,Premises!$A$46:$F$46,Premises!$A$49:$F$49)),MATCH($CB147,Premises!$A$10:$F$10,0))/($CM147*INDEX(Premises!$A$13:$F$13,MATCH($CB147,Premises!$A$10:$F$10,0)))+INDEX(IF($CM147&lt;0.2,Premises!$A$44:$F$44,IF($CM147&lt;5,Premises!$A$47:$F$47,Premises!$A$50:$F$50)),MATCH($CB147,Premises!$A$10:$F$10,0))+INDEX(IF($CM147&lt;0.2,Premises!$A$45:$F$45,IF($CM147&lt;5,Premises!$A$48:$F$48,Premises!$A$51:$F$51)),MATCH($CB147,Premises!$A$10:$F$10,0))/$CM147)),0.01)</f>
        <v>0</v>
      </c>
      <c r="CO147" s="395" cm="1">
        <f t="array" ref="CO147">IF($CG147=0,0,IF(INDEX($CC:$CC,$CF147)=$CC147,0,$CM147*(1+IFERROR(INDEX(Premises!$A$52:$F$52,1,MATCH($CB147,Premises!$A$10:$F$10,0)),0)+$CN147)))</f>
        <v>0</v>
      </c>
      <c r="CP147" s="396" cm="1">
        <f t="array" ref="CP147">IFERROR(IF($CC147=0,0,IF($CO147=0,INDEX($CP$1:$CP147,$CF147),INDEX(IF($CO147&lt;0.2,Premises!$A$43:$F$43,IF($CO147&lt;5,Premises!$A$46:$F$46,Premises!$A$49:$F$49)),MATCH($CC147,Premises!$A$10:$F$10,0))/($CO147*INDEX(Premises!$A$13:$F$13,MATCH($CC147,Premises!$A$10:$F$10,0)))+INDEX(IF($CO147&lt;0.2,Premises!$A$44:$F$44,IF($CO147&lt;5,Premises!$A$47:$F$47,Premises!$A$50:$F$50)),MATCH($CC147,Premises!$A$10:$F$10,0))+INDEX(IF($CO147&lt;0.2,Premises!$A$45:$F$45,IF($CO147&lt;5,Premises!$A$48:$F$48,Premises!$A$51:$F$51)),MATCH($CC147,Premises!$A$10:$F$10,0))/$CO147)),0.01)</f>
        <v>0</v>
      </c>
      <c r="CQ147" s="397" cm="1">
        <f t="array" ref="CQ147">IF(AND($CM147=0,$CO147=0),0,INDEX(BOM!$O:$O,$CG147))</f>
        <v>0</v>
      </c>
      <c r="CR147" s="398" cm="1">
        <f t="array" ref="CR147">IF(OR($CM147=0,$CN147=0),0,ACOS(COS(RADIANS(90-INDEX(Premises!$A$66:$F$66,1,$CH147)))*COS(RADIANS(90-INDEX(Premises!$A$66:$F$66,1,MATCH($CB147,Premises!$A$10:$F$10,0))))
+SIN(RADIANS(90-INDEX(Premises!$A$66:$F$66,1,$CH147)))*SIN(RADIANS(90-INDEX(Premises!$A$66:$F$66,1,MATCH($CB147,Premises!$A$10:$F$10,0)))) * COS(RADIANS(INDEX(Premises!$A$67:$F$67,1,$CH147)-INDEX(Premises!$A$67:$F$67,1,MATCH($CB147,Premises!$A$10:$F$10,0)))))*6371)</f>
        <v>0</v>
      </c>
      <c r="CS147" s="398" cm="1">
        <f t="array" ref="CS147">IF(OR($CO147=0,$CP147=0),0,
IF($CR147=0,ACOS(COS(RADIANS(90-INDEX(Premises!$A$66:$F$66,1,$CH147)))*COS(RADIANS(90-INDEX(Premises!$A$66:$F$66,1,MATCH($CC147,Premises!$A$10:$F$10,0))))
+SIN(RADIANS(90-INDEX(Premises!$A$66:$F$66,1,$CH147)))*SIN(RADIANS(90-INDEX(Premises!$A$66:$F$66,1,MATCH($CC147,Premises!$A$10:$F$10,0))))*COS(RADIANS(INDEX(Premises!$A$67:$F$67,1,$CH147)-INDEX(Premises!$A$67:$F$67,1,MATCH($CC147,Premises!$A$10:$F$10,0)))))*6371,
ACOS(COS(RADIANS(90-INDEX(Premises!$A$66:$F$66,1,MATCH($CB147,Premises!$A$10:$F$10,0))))*COS(RADIANS(90-INDEX(Premises!$A$66:$F$66,1,MATCH($CC147,Premises!$A$10:$F$10,0))))
+SIN(RADIANS(90-INDEX(Premises!$A$66:$F$66,1,MATCH($CB147,Premises!$A$10:$F$10,0))))*SIN(RADIANS(90-INDEX(Premises!$A$66:$F$66,1,MATCH($CC147,Premises!$A$10:$F$10,0))))*COS(RADIANS(INDEX(Premises!$A$67:$F$67,1,MATCH($CB147,Premises!$A$10:$F$10,0))-INDEX(Premises!$A$67:$F$67,1,MATCH($CC147,Premises!$A$10:$F$10,0)))))*6371))</f>
        <v>0</v>
      </c>
      <c r="CT147" s="969"/>
      <c r="CU147" s="2"/>
      <c r="CV147" s="399">
        <f>SUM(INDEX(CV:CV,ROW()+1):INDEX(CV:CV,$CE147))</f>
        <v>5.8137942224632041E-4</v>
      </c>
      <c r="CW147" s="400">
        <f>SUM(INDEX(CW:CW,ROW()+1):INDEX(CW:CW,$CE147))</f>
        <v>4.6187168295507564E-2</v>
      </c>
      <c r="CX147" s="400">
        <f>SUM(INDEX(CX:CX,ROW()+1):INDEX(CX:CX,$CE147))</f>
        <v>1.8275150150150153E-4</v>
      </c>
      <c r="CY147" s="400">
        <f>SUM(INDEX(CY:CY,ROW()+1):INDEX(CY:CY,$CE147))</f>
        <v>0</v>
      </c>
      <c r="CZ147" s="400">
        <f>SUM(INDEX(CZ:CZ,ROW()+1):INDEX(CZ:CZ,$CE147))</f>
        <v>0</v>
      </c>
      <c r="DA147" s="400">
        <f>SUM(INDEX(DA:DA,ROW()+1):INDEX(DA:DA,$CE147))</f>
        <v>7.6413092374782199E-6</v>
      </c>
      <c r="DB147" s="400">
        <f>SUM(INDEX(DB:DB,ROW()+1):INDEX(DB:DB,$CE147))</f>
        <v>6.1143464422015379E-5</v>
      </c>
      <c r="DC147" s="400">
        <f>SUM(INDEX(DC:DC,ROW()+1):INDEX(DC:DC,$CE147))</f>
        <v>4.702008399291488E-2</v>
      </c>
      <c r="DD147" s="400">
        <f>SUM(INDEX(DD:DD,ROW()+1):INDEX(DD:DD,$CE147))</f>
        <v>1.4220000000000001E-3</v>
      </c>
      <c r="DE147" s="400">
        <f>SUM(INDEX(DE:DE,ROW()+1):INDEX(DE:DE,$CE147))</f>
        <v>1.4220000000000001E-5</v>
      </c>
      <c r="DF147" s="400">
        <f>SUM(INDEX(DF:DF,ROW()+1):INDEX(DF:DF,$CE147))</f>
        <v>5.607551543537064E-3</v>
      </c>
      <c r="DG147" s="400">
        <f>SUM(INDEX(DG:DG,ROW()+1):INDEX(DG:DG,$CE147))</f>
        <v>7.0437715435370642E-3</v>
      </c>
      <c r="DH147" s="400">
        <f>SUM(INDEX(DH:DH,ROW()+1):INDEX(DH:DH,$CE147))</f>
        <v>5.4063855536451946E-2</v>
      </c>
      <c r="DI147" s="400">
        <f>SUM(INDEX(DI:DI,ROW()+1):INDEX(DI:DI,$CE147))</f>
        <v>0</v>
      </c>
      <c r="DJ147" s="400">
        <f>SUM(INDEX(DJ:DJ,ROW()+1):INDEX(DJ:DJ,$CE147))</f>
        <v>0</v>
      </c>
      <c r="DK147" s="400">
        <f>SUM(INDEX(DK:DK,ROW()+1):INDEX(DK:DK,$CE147))</f>
        <v>6.7570267784018076E-3</v>
      </c>
      <c r="DL147" s="400">
        <f>SUM(INDEX(DL:DL,ROW()+1):INDEX(DL:DL,$CE147))</f>
        <v>0</v>
      </c>
      <c r="DM147" s="400">
        <f>SUM(INDEX(DM:DM,ROW()+1):INDEX(DM:DM,$CE147))</f>
        <v>0</v>
      </c>
      <c r="DN147" s="400">
        <f>SUM(INDEX(DN:DN,ROW()+1):INDEX(DN:DN,$CE147))</f>
        <v>2.9060665610206441E-3</v>
      </c>
      <c r="DO147" s="400">
        <f>SUM(INDEX(DO:DO,ROW()+1):INDEX(DO:DO,$CE147))</f>
        <v>0</v>
      </c>
      <c r="DP147" s="400">
        <f>SUM(INDEX(DP:DP,ROW()+1):INDEX(DP:DP,$CE147))</f>
        <v>6.3726948875874406E-2</v>
      </c>
      <c r="DQ147" s="400">
        <f>SUM(INDEX(DQ:DQ,ROW()+1):INDEX(DQ:DQ,$CE147))</f>
        <v>0</v>
      </c>
      <c r="DR147" s="400">
        <f>SUM(INDEX(DR:DR,ROW()+1):INDEX(DR:DR,$CE147))</f>
        <v>0</v>
      </c>
      <c r="DS147" s="400">
        <f>SUM(INDEX(DS:DS,ROW()+1):INDEX(DS:DS,$CE147))</f>
        <v>0</v>
      </c>
      <c r="DT147" s="400">
        <f>SUM(INDEX(DT:DT,ROW()+1):INDEX(DT:DT,$CE147))</f>
        <v>0</v>
      </c>
      <c r="DU147" s="400">
        <f>SUM(INDEX(DU:DU,ROW()+1):INDEX(DU:DU,$CE147))</f>
        <v>0</v>
      </c>
      <c r="DV147" s="400">
        <f>SUM(INDEX(DV:DV,ROW()+1):INDEX(DV:DV,$CE147))</f>
        <v>6.3726948875874406E-2</v>
      </c>
      <c r="DW147" s="400">
        <f>SUM(INDEX(DW:DW,ROW()+1):INDEX(DW:DW,$CE147))</f>
        <v>0</v>
      </c>
      <c r="DX147" s="400">
        <f>SUM(INDEX(DX:DX,ROW()+1):INDEX(DX:DX,$CE147))</f>
        <v>0</v>
      </c>
      <c r="DY147" s="400">
        <f>SUM(INDEX(DY:DY,ROW()+1):INDEX(DY:DY,$CE147))</f>
        <v>0</v>
      </c>
      <c r="DZ147" s="400">
        <f>SUM(INDEX(DZ:DZ,ROW()+1):INDEX(DZ:DZ,$CE147))</f>
        <v>0</v>
      </c>
      <c r="EA147" s="400">
        <f>SUM(INDEX(EA:EA,ROW()+1):INDEX(EA:EA,$CE147))</f>
        <v>0</v>
      </c>
      <c r="EB147" s="401">
        <f>SUM(INDEX(EB:EB,ROW()+1):INDEX(EB:EB,$CE147))</f>
        <v>6.3726948875874406E-2</v>
      </c>
      <c r="EC147" s="805"/>
      <c r="ED147" s="399"/>
      <c r="EE147" s="400"/>
      <c r="EF147" s="1112"/>
      <c r="EG147" s="1112"/>
      <c r="EH147" s="1112"/>
      <c r="EI147" s="1112"/>
      <c r="EJ147" s="1112"/>
      <c r="EK147" s="1112"/>
      <c r="EL147" s="1112"/>
      <c r="EM147" s="1112"/>
      <c r="EN147" s="1112"/>
      <c r="EO147" s="1112"/>
      <c r="EP147" s="1112"/>
      <c r="EQ147" s="1112"/>
      <c r="ER147" s="1112"/>
      <c r="ES147" s="1112"/>
      <c r="ET147" s="1112"/>
      <c r="EU147" s="1112"/>
      <c r="EV147" s="1112"/>
      <c r="EW147" s="1112"/>
      <c r="EX147" s="1113"/>
      <c r="EY147" s="2"/>
      <c r="EZ147" s="2"/>
      <c r="FA147" s="2"/>
      <c r="FB147" s="2"/>
      <c r="FC147" s="2"/>
      <c r="FD147" s="2"/>
      <c r="FE147" s="2"/>
      <c r="FF147" s="2"/>
      <c r="FG147" s="2"/>
      <c r="FH147" s="2"/>
      <c r="FI147" s="2"/>
      <c r="FJ147" s="399"/>
      <c r="FK147" s="400"/>
      <c r="FL147" s="401"/>
      <c r="FM147" s="969"/>
    </row>
    <row r="148" spans="1:169" s="13" customFormat="1" ht="12.75" customHeight="1">
      <c r="A148" s="221"/>
      <c r="B148" s="402" t="s">
        <v>34</v>
      </c>
      <c r="C148" s="403"/>
      <c r="D148" s="646"/>
      <c r="E148" s="404"/>
      <c r="F148" s="405"/>
      <c r="G148" s="405"/>
      <c r="H148" s="405"/>
      <c r="I148" s="637" cm="1">
        <f t="array" ref="I148">IF($CI148=0,0,IFERROR(INDEX(MHR[],$CI148,MATCH($CA148,MHR!$B$4:$AY$4,0)),0))</f>
        <v>0</v>
      </c>
      <c r="J148" s="634">
        <f t="shared" ref="J148:J157" si="384">IF(COUNTBLANK($E148:$H148),0,IFERROR($F148/$H148/IF($G148="s",3600,IF($G148="min",60,IF($G148="h",1,0)))*I148,0))</f>
        <v>0</v>
      </c>
      <c r="K148" s="406"/>
      <c r="L148" s="407"/>
      <c r="M148" s="871"/>
      <c r="N148" s="407"/>
      <c r="O148" s="405"/>
      <c r="P148" s="645" cm="1">
        <f t="array" ref="P148">IF($K148=0,0,IFERROR(ROUNDUP(IF(ISNUMBER($K148),$K148,INDEX($D$1:$D148,$CD148)*INDEX(Premises!$A$13:$F$13,1,$CH148)/IF(OR($K148="T",$K148="D"),250,IF($K148="W",50,IF($K148="M",12,IF(OR($K148="HJ",$K148="HY"),2,IF(OR($K148="J",$K148="Y"),1,0)))))),0),0))</f>
        <v>0</v>
      </c>
      <c r="Q148" s="637" cm="1">
        <f t="array" ref="Q148">IF($K148=0,0,IFERROR(INDEX(Premises!$A$22:$F$22,1,$CH148)*100/INDEX(Premises!$A$16:$F$16,1,$CH148),0))</f>
        <v>0</v>
      </c>
      <c r="R148" s="634">
        <f t="shared" ref="R148:R157" si="385">IF($P148=0,0,IFERROR(($L148/60*($I148+$Q148*$M148)+($N148/60*($Q148*$O148)))/$P148,0))</f>
        <v>0</v>
      </c>
      <c r="S148" s="408"/>
      <c r="T148" s="409"/>
      <c r="U148" s="637" cm="1">
        <f t="array" ref="U148">IF(COUNTBLANK($S148:$T148),0,
IF(AND(INDEX(MHR[Schichtmodell],$CI148)&lt;&gt;0,INDEX(MHR[Schichtmodell],$CI148)&lt;&gt;INDEX(Premises!$A$20:$F$20,1,$CH148)),ExchangeRate*
IF(OR($T148="M",$T148="U"),IF(INDEX(MHR[Schichtmodell],$CI148)=1,INDEX(LOC[M1S],INDEX(Premises!$A$18:$F$18,1,$CH148+1)),IF(INDEX(MHR[Schichtmodell],$CI148)=2,INDEX(LOC[M2S],INDEX(Premises!$A$18:$F$18,1,$CH148+1),IF(INDEX(MHR[Schichtmodell],$CI148)=3,INDEX(LOC[M3S],INDEX(Premises!$A$18:$F$18,1,$CH148+1)),0)))),
IF(INDEX(MHR[Schichtmodell],$CI148)=1,INDEX(LOC[F1S],INDEX(Premises!$A$18:$F$18,1,$CH148+1)),IF(INDEX(MHR[Schichtmodell],$CI148)=2,INDEX(LOC[F2S],INDEX(Premises!$A$18:$F$18,1,$CH148+1)),IF(INDEX(MHR[Schichtmodell],$CI148)=3,INDEX(LOC[F3S],INDEX(Premises!$A$18:$F$18,1,$CH148+1)),0)))),
IF(OR($T148="M",$T148="U"),INDEX(Premises!$A$21:$F$21,1,$CH148),
IF(OR($T148="F",$T148="S"),INDEX(Premises!$A$22:$F$22,1,$CH148),0)))*100/INDEX(Premises!$A$16:$F$16,1,$CH148))</f>
        <v>0</v>
      </c>
      <c r="V148" s="631">
        <f t="shared" ref="V148:V157" si="386">IF($U148=0,0,IFERROR($F148/$H148/IF($G148="s",3600,IF($G148="min",60,IF($G148="h",1,0)))*$S148*$U148,0))</f>
        <v>0</v>
      </c>
      <c r="W148" s="410"/>
      <c r="X148" s="403"/>
      <c r="Y148" s="411"/>
      <c r="Z148" s="412"/>
      <c r="AA148" s="628">
        <f t="shared" ref="AA148:AA157" si="387">IFERROR($X148*$Z148/$Y148/MAX(1,$H148),0)</f>
        <v>0</v>
      </c>
      <c r="AB148" s="410"/>
      <c r="AC148" s="403"/>
      <c r="AD148" s="411"/>
      <c r="AE148" s="413"/>
      <c r="AF148" s="628">
        <f t="shared" ref="AF148:AF157" si="388">IFERROR($AC148*$AE148/$AD148,0)</f>
        <v>0</v>
      </c>
      <c r="AG148" s="629" cm="1">
        <f t="array" ref="AG148">IF(($J148+$V148+$AF148)=0,0,INDEX(Premises!$A$30:$F$30,1,$CH148)/100)</f>
        <v>0</v>
      </c>
      <c r="AH148" s="414"/>
      <c r="AI148" s="415"/>
      <c r="AJ148" s="416"/>
      <c r="AK148" s="630">
        <f t="shared" ref="AK148:AK157" si="389">IF(COUNTBLANK($AH148:$AI148),0,$AH148*$AI148*$AG148)</f>
        <v>0</v>
      </c>
      <c r="AL148" s="631">
        <f t="shared" ref="AL148:AL157" si="390">($AK148+$AJ148*$AG148*(1-$AH148)+($J148+$V148+$AF148)*$AG148*(1-$AH148))</f>
        <v>0</v>
      </c>
      <c r="AM148" s="632" cm="1">
        <f t="array" ref="AM148">IF($CI148=0,0,IFERROR(INDEX(MHR[],$CI148,MATCH($CA148,MHR!$B$4:$AY$4,0)+11),0))</f>
        <v>0</v>
      </c>
      <c r="AN148" s="633" cm="1">
        <f t="array" ref="AN148">IF(($J148+$V148)=0,0,IFERROR(IF(INDEX(Premises!$A$41:$F$41,1,$CH148)&lt;&gt;0,INDEX(Premises!$A$41:$F$41,1,$CH148)/100,(IFERROR(($J148/$I148)*$AM148,0)/($V148+$J148+$R148+$AL148))),0))</f>
        <v>0</v>
      </c>
      <c r="AO148" s="634">
        <f t="shared" ref="AO148:AO157" si="391">IF(($J148+$V148)=0,0,IF(IFERROR(($J148+$R148+$V148+$AL148)*$AN148,0)&lt;&gt;IFERROR(($J148/$I148)*$AM148,0),($J148+$R148+$V148+$AL148)*$AN148,IFERROR(($J148/$I148)*$AM148,0)))</f>
        <v>0</v>
      </c>
      <c r="AP148" s="635">
        <f t="shared" ref="AP148:AP157" si="392">$V148+$J148+$R148+$AA148+$AF148+$AL148+$AO148</f>
        <v>0</v>
      </c>
      <c r="AQ148" s="410" t="str">
        <f>VLOOKUP($B147,BOM,5,0)</f>
        <v>PE-LD Folienqualitäten</v>
      </c>
      <c r="AR148" s="409">
        <f>BOM!G19</f>
        <v>8.9999999999999998E-4</v>
      </c>
      <c r="AS148" s="636" t="str" cm="1">
        <f t="array" ref="AS148">IF($CJ148=0,0,IFERROR(INDEX(MAT[Einheit],$CJ148,1),0))</f>
        <v>kg</v>
      </c>
      <c r="AT148" s="637" cm="1">
        <f t="array" ref="AT148">IF($CJ148=0,0,IFERROR(INDEX(MAT[Preis],$CJ148,1),0))</f>
        <v>1.58</v>
      </c>
      <c r="AU148" s="638">
        <f t="shared" ref="AU148:AU157" si="393">$AR148*$AT148</f>
        <v>1.4220000000000001E-3</v>
      </c>
      <c r="AV148" s="639" cm="1">
        <f t="array" ref="AV148">IF($AU148&lt;=0,0,INDEX(Premises!$A$30:$F$30,1,$CH148)/100)</f>
        <v>0.01</v>
      </c>
      <c r="AW148" s="409"/>
      <c r="AX148" s="631">
        <f t="shared" ref="AX148:AX157" si="394">IF($AV148=0,0,($AU148+$AW148)*$AV148)</f>
        <v>1.4220000000000001E-5</v>
      </c>
      <c r="AY148" s="640" cm="1">
        <f t="array" ref="AY148">IF($AT148&lt;=0,0,IFERROR(IF(INDEX(Premises!$A$42:$F$42,1,$CH148)&lt;&gt;0,INDEX(Premises!$A$42:$F$42,1,$CH148)/100,(INDEX(MAT[],$CJ148,MATCH($CA148,MAT!$B$4:$AE$4,0))/($AR148*$CK148*INDEX(Premises!$A$13:$F$13,1,$CH148))+INDEX(MAT[],$CJ148,MATCH($CA148,MAT!$B$4:$AE$4,0)+7))/$AT148),0))</f>
        <v>3.9043820191454404</v>
      </c>
      <c r="AZ148" s="631">
        <f t="shared" ref="AZ148:AZ157" si="395">IF($AY148=0,0,($AU148+$AX148)*$AY148)</f>
        <v>5.607551543537064E-3</v>
      </c>
      <c r="BA148" s="635">
        <f t="shared" ref="BA148:BA157" si="396">$AU148+$AX148+$AZ148</f>
        <v>7.0437715435370642E-3</v>
      </c>
      <c r="BB148" s="635">
        <f t="shared" ref="BB148:BB157" si="397">$AP148+$BA148</f>
        <v>7.0437715435370642E-3</v>
      </c>
      <c r="BC148" s="639" cm="1">
        <f t="array" ref="BC148">IF($BB148&lt;=0,0,IF(BC$2=-1,0,INDEX(Premises!$A$32:$F$32,1,$CH148)/100))</f>
        <v>0</v>
      </c>
      <c r="BD148" s="631">
        <f t="shared" ref="BD148:BD157" si="398">IF($AP148&lt;=0,0,($AP148-$AA148-$AL148)*$BC148)</f>
        <v>0</v>
      </c>
      <c r="BE148" s="639" cm="1">
        <f t="array" ref="BE148">IF($BB148&lt;=0,0,IF(BE$2=-1,0,INDEX(Premises!$A$33:$F$33,1,$CH148)/100))</f>
        <v>0</v>
      </c>
      <c r="BF148" s="631">
        <f t="shared" ref="BF148:BF157" si="399">IF($BA148&lt;=0,0,$BA148*$BE148)</f>
        <v>0</v>
      </c>
      <c r="BG148" s="639" cm="1">
        <f t="array" ref="BG148">IF($BB148&lt;=0,0,IF(BG$2=-1,0,INDEX(Premises!$A$31:$F$31,1,$CH148)/100))</f>
        <v>0.125</v>
      </c>
      <c r="BH148" s="631">
        <f t="shared" ref="BH148:BH157" si="400">(($AP148-$AA148-$AL148)+$BA148)*$BG148</f>
        <v>8.8047144294213303E-4</v>
      </c>
      <c r="BI148" s="635">
        <f t="shared" ref="BI148:BI157" si="401">$BB148+$BD148+$BF148+$BH148</f>
        <v>7.9242429864791967E-3</v>
      </c>
      <c r="BJ148" s="639" cm="1">
        <f t="array" ref="BJ148">IF($BB148&lt;=0,0,IF(BJ$2=-1,0,INDEX(Premises!$A$35:$F$35,1,$CH148)/100))</f>
        <v>0</v>
      </c>
      <c r="BK148" s="631">
        <f t="shared" ref="BK148:BK157" si="402">IF($AP148&lt;=0,0,($AP148-$AL148-$AA148)*$BJ148)</f>
        <v>0</v>
      </c>
      <c r="BL148" s="639" cm="1">
        <f t="array" ref="BL148">IF($BB148&lt;=0,0,IF(BL$2=-1,0,INDEX(Premises!$A$36:$F$36,1,$CH148)/100))</f>
        <v>0</v>
      </c>
      <c r="BM148" s="631">
        <f t="shared" ref="BM148:BM157" si="403">IF($AU148&lt;=0,0,($AR148*$AT148)*$BL148)</f>
        <v>0</v>
      </c>
      <c r="BN148" s="639" cm="1">
        <f t="array" ref="BN148">IF($BB148&lt;=0,0,IF(BN$2=-1,0,INDEX(Premises!$A$34:$F$34,1,$CH148)/100))</f>
        <v>0.06</v>
      </c>
      <c r="BO148" s="631">
        <f t="shared" ref="BO148:BO157" si="404">(($AP148-$AL148-$AA148)+($AR148*$AT148))*$BN148</f>
        <v>8.5320000000000003E-5</v>
      </c>
      <c r="BP148" s="639" cm="1">
        <f t="array" ref="BP148">IF($BI148=0,0,INDEX(Premises!$A$37:$F$37,1,$CH148)/100)</f>
        <v>0</v>
      </c>
      <c r="BQ148" s="409"/>
      <c r="BR148" s="631">
        <f t="shared" ref="BR148:BR157" si="405">($BI148+$BK148+$BM148+$BO148)*$BP148+$BQ148</f>
        <v>0</v>
      </c>
      <c r="BS148" s="641">
        <f t="shared" ref="BS148:BS157" si="406">BI148+BK148+BM148+BO148+BR148</f>
        <v>8.0095629864791965E-3</v>
      </c>
      <c r="BT148" s="641">
        <f t="shared" ref="BT148:BT157" si="407">IF($BS148=0,0,$CK148*$BS148)</f>
        <v>8.0095629864791965E-3</v>
      </c>
      <c r="BU148" s="642">
        <f t="shared" ref="BU148:BU157" si="408">IF($BT148=0,0,MAX(1,$EB148/$DP148))</f>
        <v>1</v>
      </c>
      <c r="BV148" s="417"/>
      <c r="BW148" s="418"/>
      <c r="BX148" s="418"/>
      <c r="BY148" s="419"/>
      <c r="BZ148" s="968"/>
      <c r="CA148" s="280" cm="1">
        <f t="array" ref="CA148">IF($BZ148&gt;0,VALUE(LEFT($BZ148,IF(ISERROR(FIND("-",$BZ148)),LEN($BZ148),FIND("-",$BZ148)-1))),INDEX($CA$1:$CA148,MAX(1,$CD148)))</f>
        <v>1</v>
      </c>
      <c r="CB148" s="280" cm="1">
        <f t="array" ref="CB148">IF($BT148=0,0,IF(LEN($BZ148)-LEN(SUBSTITUTE($BZ148,"-",""))&gt;1,
VALUE(MID($BZ148,FIND("-",$BZ148)+1,FIND("-",$BZ148,FIND("-",$BZ148)+1)-FIND("-",$BZ148)-1)),IF($BZ148&gt;0,0,INDEX($CB$1:$CB148,MAX(1,$CD148)))))</f>
        <v>0</v>
      </c>
      <c r="CC148" s="280" cm="1">
        <f t="array" ref="CC148">IF($BT148=0,0,IF(NOT(ISERROR(FIND("-",BZ148))),
VALUE(RIGHT($BZ148,LEN($BZ148)-IF(LEN($BZ148)-LEN(SUBSTITUTE($BZ148,"-",""))=1,FIND("-",$BZ148),FIND("-",$BZ148,FIND("-",$BZ148)+1)))),
IF($BZ148&gt;0,0,INDEX($CC$1:$CC148,MAX(1,$CD148)))))</f>
        <v>0</v>
      </c>
      <c r="CD148" s="393">
        <f>MATCH(0,$CE$1:$CE148,-1)</f>
        <v>147</v>
      </c>
      <c r="CE148" s="280"/>
      <c r="CF148" s="394"/>
      <c r="CG148" s="393" cm="1">
        <f t="array" ref="CG148">INDEX($CG$1:$CG148,$CD148)</f>
        <v>19</v>
      </c>
      <c r="CH148" s="280">
        <f>MATCH($CA148,Premises!$A$10:$F$10,0)</f>
        <v>4</v>
      </c>
      <c r="CI148" s="280">
        <f>IF(ISBLANK($E148),0,IFERROR(MATCH($E148,MHR[Bezeichnung],0),0))</f>
        <v>0</v>
      </c>
      <c r="CJ148" s="394">
        <f>IF(ISBLANK($AQ148),0,IFERROR(MATCH($AQ148,MAT[Bezeichnung],0),0))</f>
        <v>10</v>
      </c>
      <c r="CK148" s="280" cm="1">
        <f t="array" ref="CK148">INDEX($D$1:$D148,$CD148)</f>
        <v>1</v>
      </c>
      <c r="CL148" s="280"/>
      <c r="CM148" s="395"/>
      <c r="CN148" s="396" cm="1">
        <f t="array" ref="CN148">IF($CB148=0,0,IF($CB148=INDEX($CB$1:$CB148,$CD148),INDEX($CN$1:$CN148,$CD148),$CP148))</f>
        <v>0</v>
      </c>
      <c r="CO148" s="395"/>
      <c r="CP148" s="396" cm="1">
        <f t="array" ref="CP148">IF($CC148=0,0,INDEX($CP$1:$CP148,$CD148))</f>
        <v>0</v>
      </c>
      <c r="CQ148" s="397"/>
      <c r="CR148" s="398"/>
      <c r="CS148" s="398"/>
      <c r="CT148" s="970"/>
      <c r="CU148" s="2"/>
      <c r="CV148" s="647">
        <f t="shared" ref="CV148:CV157" si="409">$J148*$CK148</f>
        <v>0</v>
      </c>
      <c r="CW148" s="648">
        <f t="shared" ref="CW148:CW157" si="410">$R148*$CK148</f>
        <v>0</v>
      </c>
      <c r="CX148" s="648">
        <f t="shared" ref="CX148:CX157" si="411">$V148*$CK148</f>
        <v>0</v>
      </c>
      <c r="CY148" s="648">
        <f t="shared" ref="CY148:CY157" si="412">$AA148*$CK148</f>
        <v>0</v>
      </c>
      <c r="CZ148" s="648">
        <f t="shared" ref="CZ148:CZ157" si="413">$AF148*$CK148</f>
        <v>0</v>
      </c>
      <c r="DA148" s="648">
        <f t="shared" ref="DA148:DA157" si="414">$AL148*$CK148</f>
        <v>0</v>
      </c>
      <c r="DB148" s="648">
        <f t="shared" ref="DB148:DB157" si="415">$AO148*$CK148</f>
        <v>0</v>
      </c>
      <c r="DC148" s="649">
        <f t="shared" ref="DC148:DC157" si="416">$AP148*$CK148</f>
        <v>0</v>
      </c>
      <c r="DD148" s="648">
        <f t="shared" ref="DD148:DD157" si="417">$AU148*$CK148</f>
        <v>1.4220000000000001E-3</v>
      </c>
      <c r="DE148" s="648">
        <f t="shared" ref="DE148:DE157" si="418">$AX148*$CK148</f>
        <v>1.4220000000000001E-5</v>
      </c>
      <c r="DF148" s="648">
        <f t="shared" ref="DF148:DF157" si="419">$AZ148*$CK148</f>
        <v>5.607551543537064E-3</v>
      </c>
      <c r="DG148" s="649">
        <f t="shared" ref="DG148:DG157" si="420">$BA148*$CK148</f>
        <v>7.0437715435370642E-3</v>
      </c>
      <c r="DH148" s="649">
        <f t="shared" ref="DH148:DH157" si="421">$BB148*$CK148</f>
        <v>7.0437715435370642E-3</v>
      </c>
      <c r="DI148" s="648">
        <f t="shared" ref="DI148:DI157" si="422">$BD148*$CK148</f>
        <v>0</v>
      </c>
      <c r="DJ148" s="648">
        <f t="shared" ref="DJ148:DJ157" si="423">$BF148*$CK148</f>
        <v>0</v>
      </c>
      <c r="DK148" s="648">
        <f t="shared" ref="DK148:DK157" si="424">$BH148*$CK148</f>
        <v>8.8047144294213303E-4</v>
      </c>
      <c r="DL148" s="648">
        <f t="shared" ref="DL148:DL157" si="425">$BK148*$CK148</f>
        <v>0</v>
      </c>
      <c r="DM148" s="648">
        <f t="shared" ref="DM148:DM157" si="426">$BM148*$CK148</f>
        <v>0</v>
      </c>
      <c r="DN148" s="648">
        <f t="shared" ref="DN148:DN157" si="427">$BO148*$CK148</f>
        <v>8.5320000000000003E-5</v>
      </c>
      <c r="DO148" s="648">
        <f t="shared" ref="DO148:DO157" si="428">$BR148*$CK148</f>
        <v>0</v>
      </c>
      <c r="DP148" s="651">
        <f t="shared" ref="DP148:DP157" si="429">$CK148*($BB148+$BD148+$BF148+$BH148+$BK148+$BM148+$BO148+$BR148)</f>
        <v>8.0095629864791965E-3</v>
      </c>
      <c r="DQ148" s="951">
        <f>IF($CB148=0,0,$DP148*_xlfn.XLOOKUP($CB148,Premises!$A$10:$F$10,Premises!$A$30:$F$30)/100)</f>
        <v>0</v>
      </c>
      <c r="DR148" s="650">
        <f>IFERROR(SUM($DP148:$DQ148)*IF(INDEX(Premises!$A$42:$F$42,1,MATCH($CB148,Premises!$A$10:$F$10,0))&gt;0,INDEX(Premises!$A$42:$F$42,1,MATCH($CB148,Premises!$A$10:$F$10,0))%,$CN148),0)</f>
        <v>0</v>
      </c>
      <c r="DS148" s="650" cm="1">
        <f t="array" ref="DS148">IF($CB148=0,0,SUM($DP148:$DR148)*_xlfn.XLOOKUP($CB148,Premises!$A$10:$F$10,IF(INDEX(Settings[],MATCH(3001,Settings[ID],0),2)="B",Premises!$A$33:$F$33,Premises!$A$31:$F$31))/100)</f>
        <v>0</v>
      </c>
      <c r="DT148" s="650" cm="1">
        <f t="array" ref="DT148">IF($CB148=0,0,$DP148*_xlfn.XLOOKUP($CB148,Premises!$A$10:$F$10,IF(INDEX(Settings[],MATCH(3002,Settings[ID],0),2)="B",Premises!$A$36:$F$36,Premises!$A$34:$F$34))/100)</f>
        <v>0</v>
      </c>
      <c r="DU148" s="650">
        <f>IF($CB148=0,0,SUM($DP148:$DT148)*_xlfn.XLOOKUP($CB148,Premises!$A$10:$F$10,Premises!$A$37:$F$37)/100)</f>
        <v>0</v>
      </c>
      <c r="DV148" s="954">
        <f t="shared" ref="DV148:DV157" si="430">SUM($DP148:$DU148)</f>
        <v>8.0095629864791965E-3</v>
      </c>
      <c r="DW148" s="951">
        <f>IF($CC148=0,0,$DV148*_xlfn.XLOOKUP($CC148,Premises!$A$10:$F$10,Premises!$A$30:$F$30)/100)</f>
        <v>0</v>
      </c>
      <c r="DX148" s="650">
        <f>IFERROR(SUM($DV148:$DW148)*IF(INDEX(Premises!$A$42:$F$42,1,MATCH($CC148,Premises!$A$10:$F$10,0))&gt;0,INDEX(Premises!$A$42:$F$42,1,MATCH($CC148,Premises!$A$10:$F$10,0))%,$CP148),0)</f>
        <v>0</v>
      </c>
      <c r="DY148" s="650" cm="1">
        <f t="array" ref="DY148">IF($CC148=0,0,SUM($DV148:$DX148)*_xlfn.XLOOKUP($CC148,Premises!$A$10:$F$10,IF(INDEX(Settings[],MATCH(3001,Settings[ID],0),2)="B",Premises!$A$33:$F$33,Premises!$A$31:$F$31))/100)</f>
        <v>0</v>
      </c>
      <c r="DZ148" s="650" cm="1">
        <f t="array" ref="DZ148">IF($CC148=0,0,$DV148*_xlfn.XLOOKUP($CC148,Premises!$A$10:$F$10,IF(INDEX(Settings[],MATCH(3002,Settings[ID],0),2)="B",Premises!$A$36:$F$36,Premises!$A$34:$F$34))/100)</f>
        <v>0</v>
      </c>
      <c r="EA148" s="650">
        <f>IF($CC148=0,0,SUM($DV148:$DZ148)*_xlfn.XLOOKUP($CC148,Premises!$A$10:$F$10,Premises!$A$37:$F$37)/100)</f>
        <v>0</v>
      </c>
      <c r="EB148" s="651">
        <f t="shared" ref="EB148:EB157" si="431">SUM($DV148:$EA148)</f>
        <v>8.0095629864791965E-3</v>
      </c>
      <c r="EC148" s="805"/>
      <c r="ED148" s="1104"/>
      <c r="EE148" s="650"/>
      <c r="EF148" s="1110"/>
      <c r="EG148" s="1108"/>
      <c r="EH148" s="1108"/>
      <c r="EI148" s="1108"/>
      <c r="EJ148" s="1108"/>
      <c r="EK148" s="1108"/>
      <c r="EL148" s="1108"/>
      <c r="EM148" s="1110"/>
      <c r="EN148" s="1108"/>
      <c r="EO148" s="1108"/>
      <c r="EP148" s="1108"/>
      <c r="EQ148" s="1108"/>
      <c r="ER148" s="1110"/>
      <c r="ES148" s="1108"/>
      <c r="ET148" s="1108"/>
      <c r="EU148" s="1108"/>
      <c r="EV148" s="1108"/>
      <c r="EW148" s="1108"/>
      <c r="EX148" s="1111"/>
      <c r="EY148" s="2"/>
      <c r="EZ148" s="2"/>
      <c r="FA148" s="2"/>
      <c r="FB148" s="2"/>
      <c r="FC148" s="2"/>
      <c r="FD148" s="2"/>
      <c r="FE148" s="2"/>
      <c r="FF148" s="2"/>
      <c r="FG148" s="2"/>
      <c r="FH148" s="2"/>
      <c r="FI148" s="2"/>
      <c r="FJ148" s="420"/>
      <c r="FK148" s="421"/>
      <c r="FL148" s="422"/>
      <c r="FM148" s="970"/>
    </row>
    <row r="149" spans="1:169" s="13" customFormat="1" ht="12.75" customHeight="1">
      <c r="A149" s="221"/>
      <c r="B149" s="402"/>
      <c r="C149" s="403"/>
      <c r="D149" s="646"/>
      <c r="E149" s="404"/>
      <c r="F149" s="405"/>
      <c r="G149" s="405"/>
      <c r="H149" s="405"/>
      <c r="I149" s="637" cm="1">
        <f t="array" ref="I149">IF($CI149=0,0,IFERROR(INDEX(MHR[],$CI149,MATCH($CA149,MHR!$B$4:$AY$4,0)),0))</f>
        <v>0</v>
      </c>
      <c r="J149" s="634">
        <f t="shared" si="384"/>
        <v>0</v>
      </c>
      <c r="K149" s="406"/>
      <c r="L149" s="407"/>
      <c r="M149" s="871"/>
      <c r="N149" s="407"/>
      <c r="O149" s="405"/>
      <c r="P149" s="645" cm="1">
        <f t="array" ref="P149">IF($K149=0,0,IFERROR(ROUNDUP(IF(ISNUMBER($K149),$K149,INDEX($D$1:$D149,$CD149)*INDEX(Premises!$A$13:$F$13,1,$CH149)/IF(OR($K149="T",$K149="D"),250,IF($K149="W",50,IF($K149="M",12,IF(OR($K149="HJ",$K149="HY"),2,IF(OR($K149="J",$K149="Y"),1,0)))))),0),0))</f>
        <v>0</v>
      </c>
      <c r="Q149" s="637" cm="1">
        <f t="array" ref="Q149">IF($K149=0,0,IFERROR(INDEX(Premises!$A$22:$F$22,1,$CH149)*100/INDEX(Premises!$A$16:$F$16,1,$CH149),0))</f>
        <v>0</v>
      </c>
      <c r="R149" s="634">
        <f t="shared" si="385"/>
        <v>0</v>
      </c>
      <c r="S149" s="408"/>
      <c r="T149" s="409"/>
      <c r="U149" s="637" cm="1">
        <f t="array" ref="U149">IF(COUNTBLANK($S149:$T149),0,
IF(AND(INDEX(MHR[Schichtmodell],$CI149)&lt;&gt;0,INDEX(MHR[Schichtmodell],$CI149)&lt;&gt;INDEX(Premises!$A$20:$F$20,1,$CH149)),ExchangeRate*
IF(OR($T149="M",$T149="U"),IF(INDEX(MHR[Schichtmodell],$CI149)=1,INDEX(LOC[M1S],INDEX(Premises!$A$18:$F$18,1,$CH149+1)),IF(INDEX(MHR[Schichtmodell],$CI149)=2,INDEX(LOC[M2S],INDEX(Premises!$A$18:$F$18,1,$CH149+1),IF(INDEX(MHR[Schichtmodell],$CI149)=3,INDEX(LOC[M3S],INDEX(Premises!$A$18:$F$18,1,$CH149+1)),0)))),
IF(INDEX(MHR[Schichtmodell],$CI149)=1,INDEX(LOC[F1S],INDEX(Premises!$A$18:$F$18,1,$CH149+1)),IF(INDEX(MHR[Schichtmodell],$CI149)=2,INDEX(LOC[F2S],INDEX(Premises!$A$18:$F$18,1,$CH149+1)),IF(INDEX(MHR[Schichtmodell],$CI149)=3,INDEX(LOC[F3S],INDEX(Premises!$A$18:$F$18,1,$CH149+1)),0)))),
IF(OR($T149="M",$T149="U"),INDEX(Premises!$A$21:$F$21,1,$CH149),
IF(OR($T149="F",$T149="S"),INDEX(Premises!$A$22:$F$22,1,$CH149),0)))*100/INDEX(Premises!$A$16:$F$16,1,$CH149))</f>
        <v>0</v>
      </c>
      <c r="V149" s="631">
        <f t="shared" si="386"/>
        <v>0</v>
      </c>
      <c r="W149" s="410"/>
      <c r="X149" s="403"/>
      <c r="Y149" s="411"/>
      <c r="Z149" s="412"/>
      <c r="AA149" s="628">
        <f t="shared" si="387"/>
        <v>0</v>
      </c>
      <c r="AB149" s="410"/>
      <c r="AC149" s="403"/>
      <c r="AD149" s="411"/>
      <c r="AE149" s="413"/>
      <c r="AF149" s="628">
        <f t="shared" si="388"/>
        <v>0</v>
      </c>
      <c r="AG149" s="629" cm="1">
        <f t="array" ref="AG149">IF(($J149+$V149+$AF149)=0,0,INDEX(Premises!$A$30:$F$30,1,$CH149)/100)</f>
        <v>0</v>
      </c>
      <c r="AH149" s="414"/>
      <c r="AI149" s="415"/>
      <c r="AJ149" s="416"/>
      <c r="AK149" s="630">
        <f t="shared" si="389"/>
        <v>0</v>
      </c>
      <c r="AL149" s="631">
        <f t="shared" si="390"/>
        <v>0</v>
      </c>
      <c r="AM149" s="632" cm="1">
        <f t="array" ref="AM149">IF($CI149=0,0,IFERROR(INDEX(MHR[],$CI149,MATCH($CA149,MHR!$B$4:$AY$4,0)+11),0))</f>
        <v>0</v>
      </c>
      <c r="AN149" s="633" cm="1">
        <f t="array" ref="AN149">IF(($J149+$V149)=0,0,IFERROR(IF(INDEX(Premises!$A$41:$F$41,1,$CH149)&lt;&gt;0,INDEX(Premises!$A$41:$F$41,1,$CH149)/100,(IFERROR(($J149/$I149)*$AM149,0)/($V149+$J149+$R149+$AL149))),0))</f>
        <v>0</v>
      </c>
      <c r="AO149" s="634">
        <f t="shared" si="391"/>
        <v>0</v>
      </c>
      <c r="AP149" s="635">
        <f t="shared" si="392"/>
        <v>0</v>
      </c>
      <c r="AQ149" s="410"/>
      <c r="AR149" s="409"/>
      <c r="AS149" s="636" cm="1">
        <f t="array" ref="AS149">IF($CJ149=0,0,IFERROR(INDEX(MAT[Einheit],$CJ149,1),0))</f>
        <v>0</v>
      </c>
      <c r="AT149" s="637" cm="1">
        <f t="array" ref="AT149">IF($CJ149=0,0,IFERROR(INDEX(MAT[Preis],$CJ149,1),0))</f>
        <v>0</v>
      </c>
      <c r="AU149" s="638">
        <f t="shared" si="393"/>
        <v>0</v>
      </c>
      <c r="AV149" s="639" cm="1">
        <f t="array" ref="AV149">IF($AU149&lt;=0,0,INDEX(Premises!$A$30:$F$30,1,$CH149)/100)</f>
        <v>0</v>
      </c>
      <c r="AW149" s="409"/>
      <c r="AX149" s="631">
        <f t="shared" si="394"/>
        <v>0</v>
      </c>
      <c r="AY149" s="640" cm="1">
        <f t="array" ref="AY149">IF($AT149&lt;=0,0,IFERROR(IF(INDEX(Premises!$A$42:$F$42,1,$CH149)&lt;&gt;0,INDEX(Premises!$A$42:$F$42,1,$CH149)/100,(INDEX(MAT[],$CJ149,MATCH($CA149,MAT!$B$4:$AE$4,0))/($AR149*$CK149*INDEX(Premises!$A$13:$F$13,1,$CH149))+INDEX(MAT[],$CJ149,MATCH($CA149,MAT!$B$4:$AE$4,0)+7))/$AT149),0))</f>
        <v>0</v>
      </c>
      <c r="AZ149" s="631">
        <f t="shared" si="395"/>
        <v>0</v>
      </c>
      <c r="BA149" s="635">
        <f t="shared" si="396"/>
        <v>0</v>
      </c>
      <c r="BB149" s="635">
        <f t="shared" si="397"/>
        <v>0</v>
      </c>
      <c r="BC149" s="639" cm="1">
        <f t="array" ref="BC149">IF($BB149&lt;=0,0,IF(BC$2=-1,0,INDEX(Premises!$A$32:$F$32,1,$CH149)/100))</f>
        <v>0</v>
      </c>
      <c r="BD149" s="631">
        <f t="shared" si="398"/>
        <v>0</v>
      </c>
      <c r="BE149" s="639" cm="1">
        <f t="array" ref="BE149">IF($BB149&lt;=0,0,IF(BE$2=-1,0,INDEX(Premises!$A$33:$F$33,1,$CH149)/100))</f>
        <v>0</v>
      </c>
      <c r="BF149" s="631">
        <f t="shared" si="399"/>
        <v>0</v>
      </c>
      <c r="BG149" s="639" cm="1">
        <f t="array" ref="BG149">IF($BB149&lt;=0,0,IF(BG$2=-1,0,INDEX(Premises!$A$31:$F$31,1,$CH149)/100))</f>
        <v>0</v>
      </c>
      <c r="BH149" s="631">
        <f t="shared" si="400"/>
        <v>0</v>
      </c>
      <c r="BI149" s="635">
        <f t="shared" si="401"/>
        <v>0</v>
      </c>
      <c r="BJ149" s="639" cm="1">
        <f t="array" ref="BJ149">IF($BB149&lt;=0,0,IF(BJ$2=-1,0,INDEX(Premises!$A$35:$F$35,1,$CH149)/100))</f>
        <v>0</v>
      </c>
      <c r="BK149" s="631">
        <f t="shared" si="402"/>
        <v>0</v>
      </c>
      <c r="BL149" s="639" cm="1">
        <f t="array" ref="BL149">IF($BB149&lt;=0,0,IF(BL$2=-1,0,INDEX(Premises!$A$36:$F$36,1,$CH149)/100))</f>
        <v>0</v>
      </c>
      <c r="BM149" s="631">
        <f t="shared" si="403"/>
        <v>0</v>
      </c>
      <c r="BN149" s="639" cm="1">
        <f t="array" ref="BN149">IF($BB149&lt;=0,0,IF(BN$2=-1,0,INDEX(Premises!$A$34:$F$34,1,$CH149)/100))</f>
        <v>0</v>
      </c>
      <c r="BO149" s="631">
        <f t="shared" si="404"/>
        <v>0</v>
      </c>
      <c r="BP149" s="639" cm="1">
        <f t="array" ref="BP149">IF($BI149=0,0,INDEX(Premises!$A$37:$F$37,1,$CH149)/100)</f>
        <v>0</v>
      </c>
      <c r="BQ149" s="409"/>
      <c r="BR149" s="631">
        <f t="shared" si="405"/>
        <v>0</v>
      </c>
      <c r="BS149" s="641">
        <f t="shared" si="406"/>
        <v>0</v>
      </c>
      <c r="BT149" s="641">
        <f t="shared" si="407"/>
        <v>0</v>
      </c>
      <c r="BU149" s="642">
        <f t="shared" si="408"/>
        <v>0</v>
      </c>
      <c r="BV149" s="417"/>
      <c r="BW149" s="418"/>
      <c r="BX149" s="418"/>
      <c r="BY149" s="419"/>
      <c r="BZ149" s="968"/>
      <c r="CA149" s="280" cm="1">
        <f t="array" ref="CA149">IF($BZ149&gt;0,VALUE(LEFT($BZ149,IF(ISERROR(FIND("-",$BZ149)),LEN($BZ149),FIND("-",$BZ149)-1))),INDEX($CA$1:$CA149,MAX(1,$CD149)))</f>
        <v>1</v>
      </c>
      <c r="CB149" s="280" cm="1">
        <f t="array" ref="CB149">IF($BT149=0,0,IF(LEN($BZ149)-LEN(SUBSTITUTE($BZ149,"-",""))&gt;1,
VALUE(MID($BZ149,FIND("-",$BZ149)+1,FIND("-",$BZ149,FIND("-",$BZ149)+1)-FIND("-",$BZ149)-1)),IF($BZ149&gt;0,0,INDEX($CB$1:$CB149,MAX(1,$CD149)))))</f>
        <v>0</v>
      </c>
      <c r="CC149" s="280" cm="1">
        <f t="array" ref="CC149">IF($BT149=0,0,IF(NOT(ISERROR(FIND("-",BZ149))),
VALUE(RIGHT($BZ149,LEN($BZ149)-IF(LEN($BZ149)-LEN(SUBSTITUTE($BZ149,"-",""))=1,FIND("-",$BZ149),FIND("-",$BZ149,FIND("-",$BZ149)+1)))),
IF($BZ149&gt;0,0,INDEX($CC$1:$CC149,MAX(1,$CD149)))))</f>
        <v>0</v>
      </c>
      <c r="CD149" s="393">
        <f>MATCH(0,$CE$1:$CE149,-1)</f>
        <v>147</v>
      </c>
      <c r="CE149" s="280"/>
      <c r="CF149" s="394"/>
      <c r="CG149" s="393" cm="1">
        <f t="array" ref="CG149">INDEX($CG$1:$CG149,$CD149)</f>
        <v>19</v>
      </c>
      <c r="CH149" s="280">
        <f>MATCH($CA149,Premises!$A$10:$F$10,0)</f>
        <v>4</v>
      </c>
      <c r="CI149" s="280">
        <f>IF(ISBLANK($E149),0,IFERROR(MATCH($E149,MHR[Bezeichnung],0),0))</f>
        <v>0</v>
      </c>
      <c r="CJ149" s="394">
        <f>IF(ISBLANK($AQ149),0,IFERROR(MATCH($AQ149,MAT[Bezeichnung],0),0))</f>
        <v>0</v>
      </c>
      <c r="CK149" s="280" cm="1">
        <f t="array" ref="CK149">INDEX($D$1:$D149,$CD149)</f>
        <v>1</v>
      </c>
      <c r="CL149" s="280"/>
      <c r="CM149" s="395"/>
      <c r="CN149" s="396" cm="1">
        <f t="array" ref="CN149">IF($CB149=0,0,IF($CB149=INDEX($CB$1:$CB149,$CD149),INDEX($CN$1:$CN149,$CD149),$CP149))</f>
        <v>0</v>
      </c>
      <c r="CO149" s="395"/>
      <c r="CP149" s="396" cm="1">
        <f t="array" ref="CP149">IF($CC149=0,0,INDEX($CP$1:$CP149,$CD149))</f>
        <v>0</v>
      </c>
      <c r="CQ149" s="397"/>
      <c r="CR149" s="398"/>
      <c r="CS149" s="398"/>
      <c r="CT149" s="970"/>
      <c r="CU149" s="2"/>
      <c r="CV149" s="647">
        <f t="shared" si="409"/>
        <v>0</v>
      </c>
      <c r="CW149" s="648">
        <f t="shared" si="410"/>
        <v>0</v>
      </c>
      <c r="CX149" s="648">
        <f t="shared" si="411"/>
        <v>0</v>
      </c>
      <c r="CY149" s="648">
        <f t="shared" si="412"/>
        <v>0</v>
      </c>
      <c r="CZ149" s="648">
        <f t="shared" si="413"/>
        <v>0</v>
      </c>
      <c r="DA149" s="648">
        <f t="shared" si="414"/>
        <v>0</v>
      </c>
      <c r="DB149" s="648">
        <f t="shared" si="415"/>
        <v>0</v>
      </c>
      <c r="DC149" s="649">
        <f t="shared" si="416"/>
        <v>0</v>
      </c>
      <c r="DD149" s="648">
        <f t="shared" si="417"/>
        <v>0</v>
      </c>
      <c r="DE149" s="648">
        <f t="shared" si="418"/>
        <v>0</v>
      </c>
      <c r="DF149" s="648">
        <f t="shared" si="419"/>
        <v>0</v>
      </c>
      <c r="DG149" s="649">
        <f t="shared" si="420"/>
        <v>0</v>
      </c>
      <c r="DH149" s="649">
        <f t="shared" si="421"/>
        <v>0</v>
      </c>
      <c r="DI149" s="648">
        <f t="shared" si="422"/>
        <v>0</v>
      </c>
      <c r="DJ149" s="648">
        <f t="shared" si="423"/>
        <v>0</v>
      </c>
      <c r="DK149" s="648">
        <f t="shared" si="424"/>
        <v>0</v>
      </c>
      <c r="DL149" s="648">
        <f t="shared" si="425"/>
        <v>0</v>
      </c>
      <c r="DM149" s="648">
        <f t="shared" si="426"/>
        <v>0</v>
      </c>
      <c r="DN149" s="648">
        <f t="shared" si="427"/>
        <v>0</v>
      </c>
      <c r="DO149" s="648">
        <f t="shared" si="428"/>
        <v>0</v>
      </c>
      <c r="DP149" s="651">
        <f t="shared" si="429"/>
        <v>0</v>
      </c>
      <c r="DQ149" s="951">
        <f>IF($CB149=0,0,$DP149*_xlfn.XLOOKUP($CB149,Premises!$A$10:$F$10,Premises!$A$30:$F$30)/100)</f>
        <v>0</v>
      </c>
      <c r="DR149" s="650">
        <f>IFERROR(SUM($DP149:$DQ149)*IF(INDEX(Premises!$A$42:$F$42,1,MATCH($CB149,Premises!$A$10:$F$10,0))&gt;0,INDEX(Premises!$A$42:$F$42,1,MATCH($CB149,Premises!$A$10:$F$10,0))%,$CN149),0)</f>
        <v>0</v>
      </c>
      <c r="DS149" s="650" cm="1">
        <f t="array" ref="DS149">IF($CB149=0,0,SUM($DP149:$DR149)*_xlfn.XLOOKUP($CB149,Premises!$A$10:$F$10,IF(INDEX(Settings[],MATCH(3001,Settings[ID],0),2)="B",Premises!$A$33:$F$33,Premises!$A$31:$F$31))/100)</f>
        <v>0</v>
      </c>
      <c r="DT149" s="650" cm="1">
        <f t="array" ref="DT149">IF($CB149=0,0,$DP149*_xlfn.XLOOKUP($CB149,Premises!$A$10:$F$10,IF(INDEX(Settings[],MATCH(3002,Settings[ID],0),2)="B",Premises!$A$36:$F$36,Premises!$A$34:$F$34))/100)</f>
        <v>0</v>
      </c>
      <c r="DU149" s="650">
        <f>IF($CB149=0,0,SUM($DP149:$DT149)*_xlfn.XLOOKUP($CB149,Premises!$A$10:$F$10,Premises!$A$37:$F$37)/100)</f>
        <v>0</v>
      </c>
      <c r="DV149" s="954">
        <f t="shared" si="430"/>
        <v>0</v>
      </c>
      <c r="DW149" s="951">
        <f>IF($CC149=0,0,$DV149*_xlfn.XLOOKUP($CC149,Premises!$A$10:$F$10,Premises!$A$30:$F$30)/100)</f>
        <v>0</v>
      </c>
      <c r="DX149" s="650">
        <f>IFERROR(SUM($DV149:$DW149)*IF(INDEX(Premises!$A$42:$F$42,1,MATCH($CC149,Premises!$A$10:$F$10,0))&gt;0,INDEX(Premises!$A$42:$F$42,1,MATCH($CC149,Premises!$A$10:$F$10,0))%,$CP149),0)</f>
        <v>0</v>
      </c>
      <c r="DY149" s="650" cm="1">
        <f t="array" ref="DY149">IF($CC149=0,0,SUM($DV149:$DX149)*_xlfn.XLOOKUP($CC149,Premises!$A$10:$F$10,IF(INDEX(Settings[],MATCH(3001,Settings[ID],0),2)="B",Premises!$A$33:$F$33,Premises!$A$31:$F$31))/100)</f>
        <v>0</v>
      </c>
      <c r="DZ149" s="650" cm="1">
        <f t="array" ref="DZ149">IF($CC149=0,0,$DV149*_xlfn.XLOOKUP($CC149,Premises!$A$10:$F$10,IF(INDEX(Settings[],MATCH(3002,Settings[ID],0),2)="B",Premises!$A$36:$F$36,Premises!$A$34:$F$34))/100)</f>
        <v>0</v>
      </c>
      <c r="EA149" s="650">
        <f>IF($CC149=0,0,SUM($DV149:$DZ149)*_xlfn.XLOOKUP($CC149,Premises!$A$10:$F$10,Premises!$A$37:$F$37)/100)</f>
        <v>0</v>
      </c>
      <c r="EB149" s="651">
        <f t="shared" si="431"/>
        <v>0</v>
      </c>
      <c r="EC149" s="805"/>
      <c r="ED149" s="1104"/>
      <c r="EE149" s="650"/>
      <c r="EF149" s="1110"/>
      <c r="EG149" s="1108"/>
      <c r="EH149" s="1108"/>
      <c r="EI149" s="1108"/>
      <c r="EJ149" s="1108"/>
      <c r="EK149" s="1108"/>
      <c r="EL149" s="1108"/>
      <c r="EM149" s="1110"/>
      <c r="EN149" s="1108"/>
      <c r="EO149" s="1108"/>
      <c r="EP149" s="1108"/>
      <c r="EQ149" s="1108"/>
      <c r="ER149" s="1110"/>
      <c r="ES149" s="1108"/>
      <c r="ET149" s="1108"/>
      <c r="EU149" s="1108"/>
      <c r="EV149" s="1108"/>
      <c r="EW149" s="1108"/>
      <c r="EX149" s="1111"/>
      <c r="EY149" s="2"/>
      <c r="EZ149" s="2"/>
      <c r="FA149" s="2"/>
      <c r="FB149" s="2"/>
      <c r="FC149" s="2"/>
      <c r="FD149" s="2"/>
      <c r="FE149" s="2"/>
      <c r="FF149" s="2"/>
      <c r="FG149" s="2"/>
      <c r="FH149" s="2"/>
      <c r="FI149" s="2"/>
      <c r="FJ149" s="420"/>
      <c r="FK149" s="421"/>
      <c r="FL149" s="422"/>
      <c r="FM149" s="970"/>
    </row>
    <row r="150" spans="1:169" s="13" customFormat="1" ht="12.75" customHeight="1">
      <c r="A150" s="221"/>
      <c r="B150" s="1329" t="s">
        <v>4338</v>
      </c>
      <c r="C150" s="403" t="s">
        <v>4347</v>
      </c>
      <c r="D150" s="646"/>
      <c r="E150" s="404" t="s">
        <v>4345</v>
      </c>
      <c r="F150" s="405">
        <v>1</v>
      </c>
      <c r="G150" s="405" t="s">
        <v>93</v>
      </c>
      <c r="H150" s="405">
        <v>92.5</v>
      </c>
      <c r="I150" s="637" cm="1">
        <f t="array" ref="I150">IF($CI150=0,0,IFERROR(INDEX(MHR[],$CI150,MATCH($CA150,MHR!$B$4:$AY$4,0)),0))</f>
        <v>50.88640625</v>
      </c>
      <c r="J150" s="634">
        <f t="shared" si="384"/>
        <v>1.5281203078078078E-4</v>
      </c>
      <c r="K150" s="406" t="s">
        <v>49</v>
      </c>
      <c r="L150" s="407">
        <v>30</v>
      </c>
      <c r="M150" s="871">
        <v>2</v>
      </c>
      <c r="N150" s="407"/>
      <c r="O150" s="405"/>
      <c r="P150" s="645" cm="1">
        <f t="array" ref="P150">IF($K150=0,0,IFERROR(ROUNDUP(IF(ISNUMBER($K150),$K150,INDEX($D$1:$D150,$CD150)*INDEX(Premises!$A$13:$F$13,1,$CH150)/IF(OR($K150="T",$K150="D"),250,IF($K150="W",50,IF($K150="M",12,IF(OR($K150="HJ",$K150="HY"),2,IF(OR($K150="J",$K150="Y"),1,0)))))),0),0))</f>
        <v>3334</v>
      </c>
      <c r="Q150" s="637" cm="1">
        <f t="array" ref="Q150">IF($K150=0,0,IFERROR(INDEX(Premises!$A$22:$F$22,1,$CH150)*100/INDEX(Premises!$A$16:$F$16,1,$CH150),0))</f>
        <v>16.925000000000001</v>
      </c>
      <c r="R150" s="634">
        <f t="shared" si="385"/>
        <v>1.2707919353629275E-2</v>
      </c>
      <c r="S150" s="408">
        <v>1</v>
      </c>
      <c r="T150" s="409" t="s">
        <v>275</v>
      </c>
      <c r="U150" s="637" cm="1">
        <f t="array" ref="U150">IF(COUNTBLANK($S150:$T150),0,
IF(AND(INDEX(MHR[Schichtmodell],$CI150)&lt;&gt;0,INDEX(MHR[Schichtmodell],$CI150)&lt;&gt;INDEX(Premises!$A$20:$F$20,1,$CH150)),ExchangeRate*
IF(OR($T150="M",$T150="U"),IF(INDEX(MHR[Schichtmodell],$CI150)=1,INDEX(LOC[M1S],INDEX(Premises!$A$18:$F$18,1,$CH150+1)),IF(INDEX(MHR[Schichtmodell],$CI150)=2,INDEX(LOC[M2S],INDEX(Premises!$A$18:$F$18,1,$CH150+1),IF(INDEX(MHR[Schichtmodell],$CI150)=3,INDEX(LOC[M3S],INDEX(Premises!$A$18:$F$18,1,$CH150+1)),0)))),
IF(INDEX(MHR[Schichtmodell],$CI150)=1,INDEX(LOC[F1S],INDEX(Premises!$A$18:$F$18,1,$CH150+1)),IF(INDEX(MHR[Schichtmodell],$CI150)=2,INDEX(LOC[F2S],INDEX(Premises!$A$18:$F$18,1,$CH150+1)),IF(INDEX(MHR[Schichtmodell],$CI150)=3,INDEX(LOC[F3S],INDEX(Premises!$A$18:$F$18,1,$CH150+1)),0)))),
IF(OR($T150="M",$T150="U"),INDEX(Premises!$A$21:$F$21,1,$CH150),
IF(OR($T150="F",$T150="S"),INDEX(Premises!$A$22:$F$22,1,$CH150),0)))*100/INDEX(Premises!$A$16:$F$16,1,$CH150))</f>
        <v>12.037500000000001</v>
      </c>
      <c r="V150" s="631">
        <f t="shared" si="386"/>
        <v>3.6148648648648655E-5</v>
      </c>
      <c r="W150" s="410"/>
      <c r="X150" s="403"/>
      <c r="Y150" s="411"/>
      <c r="Z150" s="412"/>
      <c r="AA150" s="628">
        <f t="shared" si="387"/>
        <v>0</v>
      </c>
      <c r="AB150" s="410"/>
      <c r="AC150" s="403"/>
      <c r="AD150" s="411"/>
      <c r="AE150" s="413"/>
      <c r="AF150" s="628">
        <f t="shared" si="388"/>
        <v>0</v>
      </c>
      <c r="AG150" s="629" cm="1">
        <f t="array" ref="AG150">IF(($J150+$V150+$AF150)=0,0,INDEX(Premises!$A$30:$F$30,1,$CH150)/100)</f>
        <v>0.01</v>
      </c>
      <c r="AH150" s="414"/>
      <c r="AI150" s="415"/>
      <c r="AJ150" s="416"/>
      <c r="AK150" s="630">
        <f t="shared" si="389"/>
        <v>0</v>
      </c>
      <c r="AL150" s="631">
        <f t="shared" si="390"/>
        <v>1.8896067942942946E-6</v>
      </c>
      <c r="AM150" s="632" cm="1">
        <f t="array" ref="AM150">IF($CI150=0,0,IFERROR(INDEX(MHR[],$CI150,MATCH($CA150,MHR!$B$4:$AY$4,0)+11),0))</f>
        <v>4.2450010155189757</v>
      </c>
      <c r="AN150" s="633" cm="1">
        <f t="array" ref="AN150">IF(($J150+$V150)=0,0,IFERROR(IF(INDEX(Premises!$A$41:$F$41,1,$CH150)&lt;&gt;0,INDEX(Premises!$A$41:$F$41,1,$CH150)/100,(IFERROR(($J150/$I150)*$AM150,0)/($V150+$J150+$R150+$AL150))),0))</f>
        <v>9.8829199631318958E-4</v>
      </c>
      <c r="AO150" s="634">
        <f t="shared" si="391"/>
        <v>1.2747750797354282E-5</v>
      </c>
      <c r="AP150" s="635">
        <f t="shared" si="392"/>
        <v>1.2911517390650353E-2</v>
      </c>
      <c r="AQ150" s="410"/>
      <c r="AR150" s="409"/>
      <c r="AS150" s="636" cm="1">
        <f t="array" ref="AS150">IF($CJ150=0,0,IFERROR(INDEX(MAT[Einheit],$CJ150,1),0))</f>
        <v>0</v>
      </c>
      <c r="AT150" s="637" cm="1">
        <f t="array" ref="AT150">IF($CJ150=0,0,IFERROR(INDEX(MAT[Preis],$CJ150,1),0))</f>
        <v>0</v>
      </c>
      <c r="AU150" s="638">
        <f t="shared" si="393"/>
        <v>0</v>
      </c>
      <c r="AV150" s="639" cm="1">
        <f t="array" ref="AV150">IF($AU150&lt;=0,0,INDEX(Premises!$A$30:$F$30,1,$CH150)/100)</f>
        <v>0</v>
      </c>
      <c r="AW150" s="409"/>
      <c r="AX150" s="631">
        <f t="shared" si="394"/>
        <v>0</v>
      </c>
      <c r="AY150" s="640" cm="1">
        <f t="array" ref="AY150">IF($AT150&lt;=0,0,IFERROR(IF(INDEX(Premises!$A$42:$F$42,1,$CH150)&lt;&gt;0,INDEX(Premises!$A$42:$F$42,1,$CH150)/100,(INDEX(MAT[],$CJ150,MATCH($CA150,MAT!$B$4:$AE$4,0))/($AR150*$CK150*INDEX(Premises!$A$13:$F$13,1,$CH150))+INDEX(MAT[],$CJ150,MATCH($CA150,MAT!$B$4:$AE$4,0)+7))/$AT150),0))</f>
        <v>0</v>
      </c>
      <c r="AZ150" s="631">
        <f t="shared" si="395"/>
        <v>0</v>
      </c>
      <c r="BA150" s="635">
        <f t="shared" si="396"/>
        <v>0</v>
      </c>
      <c r="BB150" s="635">
        <f t="shared" si="397"/>
        <v>1.2911517390650353E-2</v>
      </c>
      <c r="BC150" s="639" cm="1">
        <f t="array" ref="BC150">IF($BB150&lt;=0,0,IF(BC$2=-1,0,INDEX(Premises!$A$32:$F$32,1,$CH150)/100))</f>
        <v>0</v>
      </c>
      <c r="BD150" s="631">
        <f t="shared" si="398"/>
        <v>0</v>
      </c>
      <c r="BE150" s="639" cm="1">
        <f t="array" ref="BE150">IF($BB150&lt;=0,0,IF(BE$2=-1,0,INDEX(Premises!$A$33:$F$33,1,$CH150)/100))</f>
        <v>0</v>
      </c>
      <c r="BF150" s="631">
        <f t="shared" si="399"/>
        <v>0</v>
      </c>
      <c r="BG150" s="639" cm="1">
        <f t="array" ref="BG150">IF($BB150&lt;=0,0,IF(BG$2=-1,0,INDEX(Premises!$A$31:$F$31,1,$CH150)/100))</f>
        <v>0.125</v>
      </c>
      <c r="BH150" s="631">
        <f t="shared" si="400"/>
        <v>1.6137034729820073E-3</v>
      </c>
      <c r="BI150" s="635">
        <f t="shared" si="401"/>
        <v>1.452522086363236E-2</v>
      </c>
      <c r="BJ150" s="639" cm="1">
        <f t="array" ref="BJ150">IF($BB150&lt;=0,0,IF(BJ$2=-1,0,INDEX(Premises!$A$35:$F$35,1,$CH150)/100))</f>
        <v>0</v>
      </c>
      <c r="BK150" s="631">
        <f t="shared" si="402"/>
        <v>0</v>
      </c>
      <c r="BL150" s="639" cm="1">
        <f t="array" ref="BL150">IF($BB150&lt;=0,0,IF(BL$2=-1,0,INDEX(Premises!$A$36:$F$36,1,$CH150)/100))</f>
        <v>0</v>
      </c>
      <c r="BM150" s="631">
        <f t="shared" si="403"/>
        <v>0</v>
      </c>
      <c r="BN150" s="639" cm="1">
        <f t="array" ref="BN150">IF($BB150&lt;=0,0,IF(BN$2=-1,0,INDEX(Premises!$A$34:$F$34,1,$CH150)/100))</f>
        <v>0.06</v>
      </c>
      <c r="BO150" s="631">
        <f t="shared" si="404"/>
        <v>7.7457766703136345E-4</v>
      </c>
      <c r="BP150" s="639" cm="1">
        <f t="array" ref="BP150">IF($BI150=0,0,INDEX(Premises!$A$37:$F$37,1,$CH150)/100)</f>
        <v>0</v>
      </c>
      <c r="BQ150" s="409"/>
      <c r="BR150" s="631">
        <f t="shared" si="405"/>
        <v>0</v>
      </c>
      <c r="BS150" s="641">
        <f t="shared" si="406"/>
        <v>1.5299798530663723E-2</v>
      </c>
      <c r="BT150" s="641">
        <f t="shared" si="407"/>
        <v>1.5299798530663723E-2</v>
      </c>
      <c r="BU150" s="642">
        <f t="shared" si="408"/>
        <v>1</v>
      </c>
      <c r="BV150" s="1147"/>
      <c r="BW150" s="418"/>
      <c r="BX150" s="418"/>
      <c r="BY150" s="419"/>
      <c r="BZ150" s="968"/>
      <c r="CA150" s="280" cm="1">
        <f t="array" ref="CA150">IF($BZ150&gt;0,VALUE(LEFT($BZ150,IF(ISERROR(FIND("-",$BZ150)),LEN($BZ150),FIND("-",$BZ150)-1))),INDEX($CA$1:$CA150,MAX(1,$CD150)))</f>
        <v>1</v>
      </c>
      <c r="CB150" s="280" cm="1">
        <f t="array" ref="CB150">IF($BT150=0,0,IF(LEN($BZ150)-LEN(SUBSTITUTE($BZ150,"-",""))&gt;1,
VALUE(MID($BZ150,FIND("-",$BZ150)+1,FIND("-",$BZ150,FIND("-",$BZ150)+1)-FIND("-",$BZ150)-1)),IF($BZ150&gt;0,0,INDEX($CB$1:$CB150,MAX(1,$CD150)))))</f>
        <v>0</v>
      </c>
      <c r="CC150" s="280" cm="1">
        <f t="array" ref="CC150">IF($BT150=0,0,IF(NOT(ISERROR(FIND("-",BZ150))),
VALUE(RIGHT($BZ150,LEN($BZ150)-IF(LEN($BZ150)-LEN(SUBSTITUTE($BZ150,"-",""))=1,FIND("-",$BZ150),FIND("-",$BZ150,FIND("-",$BZ150)+1)))),
IF($BZ150&gt;0,0,INDEX($CC$1:$CC150,MAX(1,$CD150)))))</f>
        <v>0</v>
      </c>
      <c r="CD150" s="393">
        <f>MATCH(0,$CE$1:$CE150,-1)</f>
        <v>147</v>
      </c>
      <c r="CE150" s="280"/>
      <c r="CF150" s="394"/>
      <c r="CG150" s="393" cm="1">
        <f t="array" ref="CG150">INDEX($CG$1:$CG150,$CD150)</f>
        <v>19</v>
      </c>
      <c r="CH150" s="280">
        <f>MATCH($CA150,Premises!$A$10:$F$10,0)</f>
        <v>4</v>
      </c>
      <c r="CI150" s="280">
        <f>IF(ISBLANK($E150),0,IFERROR(MATCH($E150,MHR[Bezeichnung],0),0))</f>
        <v>6</v>
      </c>
      <c r="CJ150" s="394">
        <f>IF(ISBLANK($AQ150),0,IFERROR(MATCH($AQ150,MAT[Bezeichnung],0),0))</f>
        <v>0</v>
      </c>
      <c r="CK150" s="280" cm="1">
        <f t="array" ref="CK150">INDEX($D$1:$D150,$CD150)</f>
        <v>1</v>
      </c>
      <c r="CL150" s="280"/>
      <c r="CM150" s="395"/>
      <c r="CN150" s="396" cm="1">
        <f t="array" ref="CN150">IF($CB150=0,0,IF($CB150=INDEX($CB$1:$CB150,$CD150),INDEX($CN$1:$CN150,$CD150),$CP150))</f>
        <v>0</v>
      </c>
      <c r="CO150" s="395"/>
      <c r="CP150" s="396" cm="1">
        <f t="array" ref="CP150">IF($CC150=0,0,INDEX($CP$1:$CP150,$CD150))</f>
        <v>0</v>
      </c>
      <c r="CQ150" s="397"/>
      <c r="CR150" s="398"/>
      <c r="CS150" s="398"/>
      <c r="CT150" s="1152"/>
      <c r="CU150" s="1149"/>
      <c r="CV150" s="647">
        <f t="shared" si="409"/>
        <v>1.5281203078078078E-4</v>
      </c>
      <c r="CW150" s="648">
        <f t="shared" si="410"/>
        <v>1.2707919353629275E-2</v>
      </c>
      <c r="CX150" s="648">
        <f t="shared" si="411"/>
        <v>3.6148648648648655E-5</v>
      </c>
      <c r="CY150" s="648">
        <f t="shared" si="412"/>
        <v>0</v>
      </c>
      <c r="CZ150" s="648">
        <f t="shared" si="413"/>
        <v>0</v>
      </c>
      <c r="DA150" s="648">
        <f t="shared" si="414"/>
        <v>1.8896067942942946E-6</v>
      </c>
      <c r="DB150" s="648">
        <f t="shared" si="415"/>
        <v>1.2747750797354282E-5</v>
      </c>
      <c r="DC150" s="649">
        <f t="shared" si="416"/>
        <v>1.2911517390650353E-2</v>
      </c>
      <c r="DD150" s="648">
        <f t="shared" si="417"/>
        <v>0</v>
      </c>
      <c r="DE150" s="648">
        <f t="shared" si="418"/>
        <v>0</v>
      </c>
      <c r="DF150" s="648">
        <f t="shared" si="419"/>
        <v>0</v>
      </c>
      <c r="DG150" s="649">
        <f t="shared" si="420"/>
        <v>0</v>
      </c>
      <c r="DH150" s="649">
        <f t="shared" si="421"/>
        <v>1.2911517390650353E-2</v>
      </c>
      <c r="DI150" s="648">
        <f t="shared" si="422"/>
        <v>0</v>
      </c>
      <c r="DJ150" s="648">
        <f t="shared" si="423"/>
        <v>0</v>
      </c>
      <c r="DK150" s="648">
        <f t="shared" si="424"/>
        <v>1.6137034729820073E-3</v>
      </c>
      <c r="DL150" s="648">
        <f t="shared" si="425"/>
        <v>0</v>
      </c>
      <c r="DM150" s="648">
        <f t="shared" si="426"/>
        <v>0</v>
      </c>
      <c r="DN150" s="648">
        <f t="shared" si="427"/>
        <v>7.7457766703136345E-4</v>
      </c>
      <c r="DO150" s="648">
        <f t="shared" si="428"/>
        <v>0</v>
      </c>
      <c r="DP150" s="651">
        <f t="shared" si="429"/>
        <v>1.5299798530663723E-2</v>
      </c>
      <c r="DQ150" s="951">
        <f>IF($CB150=0,0,$DP150*_xlfn.XLOOKUP($CB150,Premises!$A$10:$F$10,Premises!$A$30:$F$30)/100)</f>
        <v>0</v>
      </c>
      <c r="DR150" s="650">
        <f>IFERROR(SUM($DP150:$DQ150)*IF(INDEX(Premises!$A$42:$F$42,1,MATCH($CB150,Premises!$A$10:$F$10,0))&gt;0,INDEX(Premises!$A$42:$F$42,1,MATCH($CB150,Premises!$A$10:$F$10,0))%,$CN150),0)</f>
        <v>0</v>
      </c>
      <c r="DS150" s="650" cm="1">
        <f t="array" ref="DS150">IF($CB150=0,0,SUM($DP150:$DR150)*_xlfn.XLOOKUP($CB150,Premises!$A$10:$F$10,IF(INDEX(Settings[],MATCH(3001,Settings[ID],0),2)="B",Premises!$A$33:$F$33,Premises!$A$31:$F$31))/100)</f>
        <v>0</v>
      </c>
      <c r="DT150" s="650" cm="1">
        <f t="array" ref="DT150">IF($CB150=0,0,$DP150*_xlfn.XLOOKUP($CB150,Premises!$A$10:$F$10,IF(INDEX(Settings[],MATCH(3002,Settings[ID],0),2)="B",Premises!$A$36:$F$36,Premises!$A$34:$F$34))/100)</f>
        <v>0</v>
      </c>
      <c r="DU150" s="650">
        <f>IF($CB150=0,0,SUM($DP150:$DT150)*_xlfn.XLOOKUP($CB150,Premises!$A$10:$F$10,Premises!$A$37:$F$37)/100)</f>
        <v>0</v>
      </c>
      <c r="DV150" s="954">
        <f t="shared" si="430"/>
        <v>1.5299798530663723E-2</v>
      </c>
      <c r="DW150" s="951">
        <f>IF($CC150=0,0,$DV150*_xlfn.XLOOKUP($CC150,Premises!$A$10:$F$10,Premises!$A$30:$F$30)/100)</f>
        <v>0</v>
      </c>
      <c r="DX150" s="650">
        <f>IFERROR(SUM($DV150:$DW150)*IF(INDEX(Premises!$A$42:$F$42,1,MATCH($CC150,Premises!$A$10:$F$10,0))&gt;0,INDEX(Premises!$A$42:$F$42,1,MATCH($CC150,Premises!$A$10:$F$10,0))%,$CP150),0)</f>
        <v>0</v>
      </c>
      <c r="DY150" s="650" cm="1">
        <f t="array" ref="DY150">IF($CC150=0,0,SUM($DV150:$DX150)*_xlfn.XLOOKUP($CC150,Premises!$A$10:$F$10,IF(INDEX(Settings[],MATCH(3001,Settings[ID],0),2)="B",Premises!$A$33:$F$33,Premises!$A$31:$F$31))/100)</f>
        <v>0</v>
      </c>
      <c r="DZ150" s="650" cm="1">
        <f t="array" ref="DZ150">IF($CC150=0,0,$DV150*_xlfn.XLOOKUP($CC150,Premises!$A$10:$F$10,IF(INDEX(Settings[],MATCH(3002,Settings[ID],0),2)="B",Premises!$A$36:$F$36,Premises!$A$34:$F$34))/100)</f>
        <v>0</v>
      </c>
      <c r="EA150" s="650">
        <f>IF($CC150=0,0,SUM($DV150:$DZ150)*_xlfn.XLOOKUP($CC150,Premises!$A$10:$F$10,Premises!$A$37:$F$37)/100)</f>
        <v>0</v>
      </c>
      <c r="EB150" s="651">
        <f t="shared" si="431"/>
        <v>1.5299798530663723E-2</v>
      </c>
      <c r="EC150" s="805"/>
      <c r="ED150" s="1104"/>
      <c r="EE150" s="650"/>
      <c r="EF150" s="1110"/>
      <c r="EG150" s="1108"/>
      <c r="EH150" s="1108"/>
      <c r="EI150" s="1108"/>
      <c r="EJ150" s="1108"/>
      <c r="EK150" s="1108"/>
      <c r="EL150" s="1108"/>
      <c r="EM150" s="1110"/>
      <c r="EN150" s="1108"/>
      <c r="EO150" s="1108"/>
      <c r="EP150" s="1108"/>
      <c r="EQ150" s="1108"/>
      <c r="ER150" s="1110"/>
      <c r="ES150" s="1108"/>
      <c r="ET150" s="1108"/>
      <c r="EU150" s="1108"/>
      <c r="EV150" s="1108"/>
      <c r="EW150" s="1108"/>
      <c r="EX150" s="1111"/>
      <c r="EY150" s="2"/>
      <c r="EZ150" s="2"/>
      <c r="FA150" s="2"/>
      <c r="FB150" s="2"/>
      <c r="FC150" s="2"/>
      <c r="FD150" s="2"/>
      <c r="FE150" s="2"/>
      <c r="FF150" s="2"/>
      <c r="FG150" s="2"/>
      <c r="FH150" s="2"/>
      <c r="FI150" s="2"/>
      <c r="FJ150" s="420"/>
      <c r="FK150" s="421"/>
      <c r="FL150" s="422"/>
      <c r="FM150" s="1153"/>
    </row>
    <row r="151" spans="1:169" s="13" customFormat="1" ht="12.75" customHeight="1">
      <c r="A151" s="221"/>
      <c r="B151" s="1329"/>
      <c r="C151" s="403"/>
      <c r="D151" s="646"/>
      <c r="E151" s="404"/>
      <c r="F151" s="405"/>
      <c r="G151" s="405"/>
      <c r="H151" s="405"/>
      <c r="I151" s="637" cm="1">
        <f t="array" ref="I151">IF($CI151=0,0,IFERROR(INDEX(MHR[],$CI151,MATCH($CA151,MHR!$B$4:$AY$4,0)),0))</f>
        <v>0</v>
      </c>
      <c r="J151" s="634">
        <f t="shared" si="384"/>
        <v>0</v>
      </c>
      <c r="K151" s="406"/>
      <c r="L151" s="407"/>
      <c r="M151" s="871"/>
      <c r="N151" s="407"/>
      <c r="O151" s="405"/>
      <c r="P151" s="645" cm="1">
        <f t="array" ref="P151">IF($K151=0,0,IFERROR(ROUNDUP(IF(ISNUMBER($K151),$K151,INDEX($D$1:$D151,$CD151)*INDEX(Premises!$A$13:$F$13,1,$CH151)/IF(OR($K151="T",$K151="D"),250,IF($K151="W",50,IF($K151="M",12,IF(OR($K151="HJ",$K151="HY"),2,IF(OR($K151="J",$K151="Y"),1,0)))))),0),0))</f>
        <v>0</v>
      </c>
      <c r="Q151" s="637" cm="1">
        <f t="array" ref="Q151">IF($K151=0,0,IFERROR(INDEX(Premises!$A$22:$F$22,1,$CH151)*100/INDEX(Premises!$A$16:$F$16,1,$CH151),0))</f>
        <v>0</v>
      </c>
      <c r="R151" s="634">
        <f t="shared" si="385"/>
        <v>0</v>
      </c>
      <c r="S151" s="408"/>
      <c r="T151" s="409"/>
      <c r="U151" s="637" cm="1">
        <f t="array" ref="U151">IF(COUNTBLANK($S151:$T151),0,
IF(AND(INDEX(MHR[Schichtmodell],$CI151)&lt;&gt;0,INDEX(MHR[Schichtmodell],$CI151)&lt;&gt;INDEX(Premises!$A$20:$F$20,1,$CH151)),ExchangeRate*
IF(OR($T151="M",$T151="U"),IF(INDEX(MHR[Schichtmodell],$CI151)=1,INDEX(LOC[M1S],INDEX(Premises!$A$18:$F$18,1,$CH151+1)),IF(INDEX(MHR[Schichtmodell],$CI151)=2,INDEX(LOC[M2S],INDEX(Premises!$A$18:$F$18,1,$CH151+1),IF(INDEX(MHR[Schichtmodell],$CI151)=3,INDEX(LOC[M3S],INDEX(Premises!$A$18:$F$18,1,$CH151+1)),0)))),
IF(INDEX(MHR[Schichtmodell],$CI151)=1,INDEX(LOC[F1S],INDEX(Premises!$A$18:$F$18,1,$CH151+1)),IF(INDEX(MHR[Schichtmodell],$CI151)=2,INDEX(LOC[F2S],INDEX(Premises!$A$18:$F$18,1,$CH151+1)),IF(INDEX(MHR[Schichtmodell],$CI151)=3,INDEX(LOC[F3S],INDEX(Premises!$A$18:$F$18,1,$CH151+1)),0)))),
IF(OR($T151="M",$T151="U"),INDEX(Premises!$A$21:$F$21,1,$CH151),
IF(OR($T151="F",$T151="S"),INDEX(Premises!$A$22:$F$22,1,$CH151),0)))*100/INDEX(Premises!$A$16:$F$16,1,$CH151))</f>
        <v>0</v>
      </c>
      <c r="V151" s="631">
        <f t="shared" si="386"/>
        <v>0</v>
      </c>
      <c r="W151" s="410"/>
      <c r="X151" s="403"/>
      <c r="Y151" s="411"/>
      <c r="Z151" s="412"/>
      <c r="AA151" s="628">
        <f t="shared" si="387"/>
        <v>0</v>
      </c>
      <c r="AB151" s="410"/>
      <c r="AC151" s="403"/>
      <c r="AD151" s="411"/>
      <c r="AE151" s="413"/>
      <c r="AF151" s="628">
        <f t="shared" si="388"/>
        <v>0</v>
      </c>
      <c r="AG151" s="629" cm="1">
        <f t="array" ref="AG151">IF(($J151+$V151+$AF151)=0,0,INDEX(Premises!$A$30:$F$30,1,$CH151)/100)</f>
        <v>0</v>
      </c>
      <c r="AH151" s="414"/>
      <c r="AI151" s="415"/>
      <c r="AJ151" s="416"/>
      <c r="AK151" s="630">
        <f t="shared" si="389"/>
        <v>0</v>
      </c>
      <c r="AL151" s="631">
        <f t="shared" si="390"/>
        <v>0</v>
      </c>
      <c r="AM151" s="632" cm="1">
        <f t="array" ref="AM151">IF($CI151=0,0,IFERROR(INDEX(MHR[],$CI151,MATCH($CA151,MHR!$B$4:$AY$4,0)+11),0))</f>
        <v>0</v>
      </c>
      <c r="AN151" s="633" cm="1">
        <f t="array" ref="AN151">IF(($J151+$V151)=0,0,IFERROR(IF(INDEX(Premises!$A$41:$F$41,1,$CH151)&lt;&gt;0,INDEX(Premises!$A$41:$F$41,1,$CH151)/100,(IFERROR(($J151/$I151)*$AM151,0)/($V151+$J151+$R151+$AL151))),0))</f>
        <v>0</v>
      </c>
      <c r="AO151" s="634">
        <f t="shared" si="391"/>
        <v>0</v>
      </c>
      <c r="AP151" s="635">
        <f t="shared" si="392"/>
        <v>0</v>
      </c>
      <c r="AQ151" s="410"/>
      <c r="AR151" s="409"/>
      <c r="AS151" s="636" cm="1">
        <f t="array" ref="AS151">IF($CJ151=0,0,IFERROR(INDEX(MAT[Einheit],$CJ151,1),0))</f>
        <v>0</v>
      </c>
      <c r="AT151" s="637" cm="1">
        <f t="array" ref="AT151">IF($CJ151=0,0,IFERROR(INDEX(MAT[Preis],$CJ151,1),0))</f>
        <v>0</v>
      </c>
      <c r="AU151" s="638">
        <f t="shared" si="393"/>
        <v>0</v>
      </c>
      <c r="AV151" s="639" cm="1">
        <f t="array" ref="AV151">IF($AU151&lt;=0,0,INDEX(Premises!$A$30:$F$30,1,$CH151)/100)</f>
        <v>0</v>
      </c>
      <c r="AW151" s="409"/>
      <c r="AX151" s="631">
        <f t="shared" si="394"/>
        <v>0</v>
      </c>
      <c r="AY151" s="640" cm="1">
        <f t="array" ref="AY151">IF($AT151&lt;=0,0,IFERROR(IF(INDEX(Premises!$A$42:$F$42,1,$CH151)&lt;&gt;0,INDEX(Premises!$A$42:$F$42,1,$CH151)/100,(INDEX(MAT[],$CJ151,MATCH($CA151,MAT!$B$4:$AE$4,0))/($AR151*$CK151*INDEX(Premises!$A$13:$F$13,1,$CH151))+INDEX(MAT[],$CJ151,MATCH($CA151,MAT!$B$4:$AE$4,0)+7))/$AT151),0))</f>
        <v>0</v>
      </c>
      <c r="AZ151" s="631">
        <f t="shared" si="395"/>
        <v>0</v>
      </c>
      <c r="BA151" s="635">
        <f t="shared" si="396"/>
        <v>0</v>
      </c>
      <c r="BB151" s="635">
        <f t="shared" si="397"/>
        <v>0</v>
      </c>
      <c r="BC151" s="639" cm="1">
        <f t="array" ref="BC151">IF($BB151&lt;=0,0,IF(BC$2=-1,0,INDEX(Premises!$A$32:$F$32,1,$CH151)/100))</f>
        <v>0</v>
      </c>
      <c r="BD151" s="631">
        <f t="shared" si="398"/>
        <v>0</v>
      </c>
      <c r="BE151" s="639" cm="1">
        <f t="array" ref="BE151">IF($BB151&lt;=0,0,IF(BE$2=-1,0,INDEX(Premises!$A$33:$F$33,1,$CH151)/100))</f>
        <v>0</v>
      </c>
      <c r="BF151" s="631">
        <f t="shared" si="399"/>
        <v>0</v>
      </c>
      <c r="BG151" s="639" cm="1">
        <f t="array" ref="BG151">IF($BB151&lt;=0,0,IF(BG$2=-1,0,INDEX(Premises!$A$31:$F$31,1,$CH151)/100))</f>
        <v>0</v>
      </c>
      <c r="BH151" s="631">
        <f t="shared" si="400"/>
        <v>0</v>
      </c>
      <c r="BI151" s="635">
        <f t="shared" si="401"/>
        <v>0</v>
      </c>
      <c r="BJ151" s="639" cm="1">
        <f t="array" ref="BJ151">IF($BB151&lt;=0,0,IF(BJ$2=-1,0,INDEX(Premises!$A$35:$F$35,1,$CH151)/100))</f>
        <v>0</v>
      </c>
      <c r="BK151" s="631">
        <f t="shared" si="402"/>
        <v>0</v>
      </c>
      <c r="BL151" s="639" cm="1">
        <f t="array" ref="BL151">IF($BB151&lt;=0,0,IF(BL$2=-1,0,INDEX(Premises!$A$36:$F$36,1,$CH151)/100))</f>
        <v>0</v>
      </c>
      <c r="BM151" s="631">
        <f t="shared" si="403"/>
        <v>0</v>
      </c>
      <c r="BN151" s="639" cm="1">
        <f t="array" ref="BN151">IF($BB151&lt;=0,0,IF(BN$2=-1,0,INDEX(Premises!$A$34:$F$34,1,$CH151)/100))</f>
        <v>0</v>
      </c>
      <c r="BO151" s="631">
        <f t="shared" si="404"/>
        <v>0</v>
      </c>
      <c r="BP151" s="639" cm="1">
        <f t="array" ref="BP151">IF($BI151=0,0,INDEX(Premises!$A$37:$F$37,1,$CH151)/100)</f>
        <v>0</v>
      </c>
      <c r="BQ151" s="409"/>
      <c r="BR151" s="631">
        <f t="shared" si="405"/>
        <v>0</v>
      </c>
      <c r="BS151" s="641">
        <f t="shared" si="406"/>
        <v>0</v>
      </c>
      <c r="BT151" s="641">
        <f t="shared" si="407"/>
        <v>0</v>
      </c>
      <c r="BU151" s="642">
        <f t="shared" si="408"/>
        <v>0</v>
      </c>
      <c r="BV151" s="1147"/>
      <c r="BW151" s="418"/>
      <c r="BX151" s="418"/>
      <c r="BY151" s="419"/>
      <c r="BZ151" s="968"/>
      <c r="CA151" s="280" cm="1">
        <f t="array" ref="CA151">IF($BZ151&gt;0,VALUE(LEFT($BZ151,IF(ISERROR(FIND("-",$BZ151)),LEN($BZ151),FIND("-",$BZ151)-1))),INDEX($CA$1:$CA151,MAX(1,$CD151)))</f>
        <v>1</v>
      </c>
      <c r="CB151" s="280" cm="1">
        <f t="array" ref="CB151">IF($BT151=0,0,IF(LEN($BZ151)-LEN(SUBSTITUTE($BZ151,"-",""))&gt;1,
VALUE(MID($BZ151,FIND("-",$BZ151)+1,FIND("-",$BZ151,FIND("-",$BZ151)+1)-FIND("-",$BZ151)-1)),IF($BZ151&gt;0,0,INDEX($CB$1:$CB151,MAX(1,$CD151)))))</f>
        <v>0</v>
      </c>
      <c r="CC151" s="280" cm="1">
        <f t="array" ref="CC151">IF($BT151=0,0,IF(NOT(ISERROR(FIND("-",BZ151))),
VALUE(RIGHT($BZ151,LEN($BZ151)-IF(LEN($BZ151)-LEN(SUBSTITUTE($BZ151,"-",""))=1,FIND("-",$BZ151),FIND("-",$BZ151,FIND("-",$BZ151)+1)))),
IF($BZ151&gt;0,0,INDEX($CC$1:$CC151,MAX(1,$CD151)))))</f>
        <v>0</v>
      </c>
      <c r="CD151" s="393">
        <f>MATCH(0,$CE$1:$CE151,-1)</f>
        <v>147</v>
      </c>
      <c r="CE151" s="280"/>
      <c r="CF151" s="394"/>
      <c r="CG151" s="393" cm="1">
        <f t="array" ref="CG151">INDEX($CG$1:$CG151,$CD151)</f>
        <v>19</v>
      </c>
      <c r="CH151" s="280">
        <f>MATCH($CA151,Premises!$A$10:$F$10,0)</f>
        <v>4</v>
      </c>
      <c r="CI151" s="280">
        <f>IF(ISBLANK($E151),0,IFERROR(MATCH($E151,MHR[Bezeichnung],0),0))</f>
        <v>0</v>
      </c>
      <c r="CJ151" s="394">
        <f>IF(ISBLANK($AQ151),0,IFERROR(MATCH($AQ151,MAT[Bezeichnung],0),0))</f>
        <v>0</v>
      </c>
      <c r="CK151" s="280" cm="1">
        <f t="array" ref="CK151">INDEX($D$1:$D151,$CD151)</f>
        <v>1</v>
      </c>
      <c r="CL151" s="280"/>
      <c r="CM151" s="395"/>
      <c r="CN151" s="396" cm="1">
        <f t="array" ref="CN151">IF($CB151=0,0,IF($CB151=INDEX($CB$1:$CB151,$CD151),INDEX($CN$1:$CN151,$CD151),$CP151))</f>
        <v>0</v>
      </c>
      <c r="CO151" s="395"/>
      <c r="CP151" s="396" cm="1">
        <f t="array" ref="CP151">IF($CC151=0,0,INDEX($CP$1:$CP151,$CD151))</f>
        <v>0</v>
      </c>
      <c r="CQ151" s="397"/>
      <c r="CR151" s="398"/>
      <c r="CS151" s="398"/>
      <c r="CT151" s="1152"/>
      <c r="CU151" s="1149"/>
      <c r="CV151" s="647">
        <f t="shared" si="409"/>
        <v>0</v>
      </c>
      <c r="CW151" s="648">
        <f t="shared" si="410"/>
        <v>0</v>
      </c>
      <c r="CX151" s="648">
        <f t="shared" si="411"/>
        <v>0</v>
      </c>
      <c r="CY151" s="648">
        <f t="shared" si="412"/>
        <v>0</v>
      </c>
      <c r="CZ151" s="648">
        <f t="shared" si="413"/>
        <v>0</v>
      </c>
      <c r="DA151" s="648">
        <f t="shared" si="414"/>
        <v>0</v>
      </c>
      <c r="DB151" s="648">
        <f t="shared" si="415"/>
        <v>0</v>
      </c>
      <c r="DC151" s="649">
        <f t="shared" si="416"/>
        <v>0</v>
      </c>
      <c r="DD151" s="648">
        <f t="shared" si="417"/>
        <v>0</v>
      </c>
      <c r="DE151" s="648">
        <f t="shared" si="418"/>
        <v>0</v>
      </c>
      <c r="DF151" s="648">
        <f t="shared" si="419"/>
        <v>0</v>
      </c>
      <c r="DG151" s="649">
        <f t="shared" si="420"/>
        <v>0</v>
      </c>
      <c r="DH151" s="649">
        <f t="shared" si="421"/>
        <v>0</v>
      </c>
      <c r="DI151" s="648">
        <f t="shared" si="422"/>
        <v>0</v>
      </c>
      <c r="DJ151" s="648">
        <f t="shared" si="423"/>
        <v>0</v>
      </c>
      <c r="DK151" s="648">
        <f t="shared" si="424"/>
        <v>0</v>
      </c>
      <c r="DL151" s="648">
        <f t="shared" si="425"/>
        <v>0</v>
      </c>
      <c r="DM151" s="648">
        <f t="shared" si="426"/>
        <v>0</v>
      </c>
      <c r="DN151" s="648">
        <f t="shared" si="427"/>
        <v>0</v>
      </c>
      <c r="DO151" s="648">
        <f t="shared" si="428"/>
        <v>0</v>
      </c>
      <c r="DP151" s="651">
        <f t="shared" si="429"/>
        <v>0</v>
      </c>
      <c r="DQ151" s="951">
        <f>IF($CB151=0,0,$DP151*_xlfn.XLOOKUP($CB151,Premises!$A$10:$F$10,Premises!$A$30:$F$30)/100)</f>
        <v>0</v>
      </c>
      <c r="DR151" s="650">
        <f>IFERROR(SUM($DP151:$DQ151)*IF(INDEX(Premises!$A$42:$F$42,1,MATCH($CB151,Premises!$A$10:$F$10,0))&gt;0,INDEX(Premises!$A$42:$F$42,1,MATCH($CB151,Premises!$A$10:$F$10,0))%,$CN151),0)</f>
        <v>0</v>
      </c>
      <c r="DS151" s="650" cm="1">
        <f t="array" ref="DS151">IF($CB151=0,0,SUM($DP151:$DR151)*_xlfn.XLOOKUP($CB151,Premises!$A$10:$F$10,IF(INDEX(Settings[],MATCH(3001,Settings[ID],0),2)="B",Premises!$A$33:$F$33,Premises!$A$31:$F$31))/100)</f>
        <v>0</v>
      </c>
      <c r="DT151" s="650" cm="1">
        <f t="array" ref="DT151">IF($CB151=0,0,$DP151*_xlfn.XLOOKUP($CB151,Premises!$A$10:$F$10,IF(INDEX(Settings[],MATCH(3002,Settings[ID],0),2)="B",Premises!$A$36:$F$36,Premises!$A$34:$F$34))/100)</f>
        <v>0</v>
      </c>
      <c r="DU151" s="650">
        <f>IF($CB151=0,0,SUM($DP151:$DT151)*_xlfn.XLOOKUP($CB151,Premises!$A$10:$F$10,Premises!$A$37:$F$37)/100)</f>
        <v>0</v>
      </c>
      <c r="DV151" s="954">
        <f t="shared" si="430"/>
        <v>0</v>
      </c>
      <c r="DW151" s="951">
        <f>IF($CC151=0,0,$DV151*_xlfn.XLOOKUP($CC151,Premises!$A$10:$F$10,Premises!$A$30:$F$30)/100)</f>
        <v>0</v>
      </c>
      <c r="DX151" s="650">
        <f>IFERROR(SUM($DV151:$DW151)*IF(INDEX(Premises!$A$42:$F$42,1,MATCH($CC151,Premises!$A$10:$F$10,0))&gt;0,INDEX(Premises!$A$42:$F$42,1,MATCH($CC151,Premises!$A$10:$F$10,0))%,$CP151),0)</f>
        <v>0</v>
      </c>
      <c r="DY151" s="650" cm="1">
        <f t="array" ref="DY151">IF($CC151=0,0,SUM($DV151:$DX151)*_xlfn.XLOOKUP($CC151,Premises!$A$10:$F$10,IF(INDEX(Settings[],MATCH(3001,Settings[ID],0),2)="B",Premises!$A$33:$F$33,Premises!$A$31:$F$31))/100)</f>
        <v>0</v>
      </c>
      <c r="DZ151" s="650" cm="1">
        <f t="array" ref="DZ151">IF($CC151=0,0,$DV151*_xlfn.XLOOKUP($CC151,Premises!$A$10:$F$10,IF(INDEX(Settings[],MATCH(3002,Settings[ID],0),2)="B",Premises!$A$36:$F$36,Premises!$A$34:$F$34))/100)</f>
        <v>0</v>
      </c>
      <c r="EA151" s="650">
        <f>IF($CC151=0,0,SUM($DV151:$DZ151)*_xlfn.XLOOKUP($CC151,Premises!$A$10:$F$10,Premises!$A$37:$F$37)/100)</f>
        <v>0</v>
      </c>
      <c r="EB151" s="651">
        <f t="shared" si="431"/>
        <v>0</v>
      </c>
      <c r="EC151" s="805"/>
      <c r="ED151" s="1104"/>
      <c r="EE151" s="650"/>
      <c r="EF151" s="1110"/>
      <c r="EG151" s="1108"/>
      <c r="EH151" s="1108"/>
      <c r="EI151" s="1108"/>
      <c r="EJ151" s="1108"/>
      <c r="EK151" s="1108"/>
      <c r="EL151" s="1108"/>
      <c r="EM151" s="1110"/>
      <c r="EN151" s="1108"/>
      <c r="EO151" s="1108"/>
      <c r="EP151" s="1108"/>
      <c r="EQ151" s="1108"/>
      <c r="ER151" s="1110"/>
      <c r="ES151" s="1108"/>
      <c r="ET151" s="1108"/>
      <c r="EU151" s="1108"/>
      <c r="EV151" s="1108"/>
      <c r="EW151" s="1108"/>
      <c r="EX151" s="1111"/>
      <c r="EY151" s="2"/>
      <c r="EZ151" s="2"/>
      <c r="FA151" s="2"/>
      <c r="FB151" s="2"/>
      <c r="FC151" s="2"/>
      <c r="FD151" s="2"/>
      <c r="FE151" s="2"/>
      <c r="FF151" s="2"/>
      <c r="FG151" s="2"/>
      <c r="FH151" s="2"/>
      <c r="FI151" s="2"/>
      <c r="FJ151" s="420"/>
      <c r="FK151" s="421"/>
      <c r="FL151" s="422"/>
      <c r="FM151" s="1153"/>
    </row>
    <row r="152" spans="1:169" s="13" customFormat="1" ht="12.75" customHeight="1">
      <c r="A152" s="221"/>
      <c r="B152" s="1329" t="s">
        <v>4339</v>
      </c>
      <c r="C152" s="403" t="s">
        <v>4347</v>
      </c>
      <c r="D152" s="646"/>
      <c r="E152" s="404" t="s">
        <v>4345</v>
      </c>
      <c r="F152" s="405">
        <v>1</v>
      </c>
      <c r="G152" s="405" t="s">
        <v>93</v>
      </c>
      <c r="H152" s="405">
        <v>92.5</v>
      </c>
      <c r="I152" s="637" cm="1">
        <f t="array" ref="I152">IF($CI152=0,0,IFERROR(INDEX(MHR[],$CI152,MATCH($CA152,MHR!$B$4:$AY$4,0)),0))</f>
        <v>50.88640625</v>
      </c>
      <c r="J152" s="634">
        <f t="shared" si="384"/>
        <v>1.5281203078078078E-4</v>
      </c>
      <c r="K152" s="406" t="s">
        <v>49</v>
      </c>
      <c r="L152" s="407">
        <v>30</v>
      </c>
      <c r="M152" s="871">
        <v>2</v>
      </c>
      <c r="N152" s="407"/>
      <c r="O152" s="405"/>
      <c r="P152" s="645" cm="1">
        <f t="array" ref="P152">IF($K152=0,0,IFERROR(ROUNDUP(IF(ISNUMBER($K152),$K152,INDEX($D$1:$D152,$CD152)*INDEX(Premises!$A$13:$F$13,1,$CH152)/IF(OR($K152="T",$K152="D"),250,IF($K152="W",50,IF($K152="M",12,IF(OR($K152="HJ",$K152="HY"),2,IF(OR($K152="J",$K152="Y"),1,0)))))),0),0))</f>
        <v>3334</v>
      </c>
      <c r="Q152" s="637" cm="1">
        <f t="array" ref="Q152">IF($K152=0,0,IFERROR(INDEX(Premises!$A$22:$F$22,1,$CH152)*100/INDEX(Premises!$A$16:$F$16,1,$CH152),0))</f>
        <v>16.925000000000001</v>
      </c>
      <c r="R152" s="634">
        <f t="shared" si="385"/>
        <v>1.2707919353629275E-2</v>
      </c>
      <c r="S152" s="408">
        <v>1</v>
      </c>
      <c r="T152" s="409" t="s">
        <v>275</v>
      </c>
      <c r="U152" s="637" cm="1">
        <f t="array" ref="U152">IF(COUNTBLANK($S152:$T152),0,
IF(AND(INDEX(MHR[Schichtmodell],$CI152)&lt;&gt;0,INDEX(MHR[Schichtmodell],$CI152)&lt;&gt;INDEX(Premises!$A$20:$F$20,1,$CH152)),ExchangeRate*
IF(OR($T152="M",$T152="U"),IF(INDEX(MHR[Schichtmodell],$CI152)=1,INDEX(LOC[M1S],INDEX(Premises!$A$18:$F$18,1,$CH152+1)),IF(INDEX(MHR[Schichtmodell],$CI152)=2,INDEX(LOC[M2S],INDEX(Premises!$A$18:$F$18,1,$CH152+1),IF(INDEX(MHR[Schichtmodell],$CI152)=3,INDEX(LOC[M3S],INDEX(Premises!$A$18:$F$18,1,$CH152+1)),0)))),
IF(INDEX(MHR[Schichtmodell],$CI152)=1,INDEX(LOC[F1S],INDEX(Premises!$A$18:$F$18,1,$CH152+1)),IF(INDEX(MHR[Schichtmodell],$CI152)=2,INDEX(LOC[F2S],INDEX(Premises!$A$18:$F$18,1,$CH152+1)),IF(INDEX(MHR[Schichtmodell],$CI152)=3,INDEX(LOC[F3S],INDEX(Premises!$A$18:$F$18,1,$CH152+1)),0)))),
IF(OR($T152="M",$T152="U"),INDEX(Premises!$A$21:$F$21,1,$CH152),
IF(OR($T152="F",$T152="S"),INDEX(Premises!$A$22:$F$22,1,$CH152),0)))*100/INDEX(Premises!$A$16:$F$16,1,$CH152))</f>
        <v>12.037500000000001</v>
      </c>
      <c r="V152" s="631">
        <f t="shared" si="386"/>
        <v>3.6148648648648655E-5</v>
      </c>
      <c r="W152" s="410"/>
      <c r="X152" s="403"/>
      <c r="Y152" s="411"/>
      <c r="Z152" s="412"/>
      <c r="AA152" s="628">
        <f t="shared" si="387"/>
        <v>0</v>
      </c>
      <c r="AB152" s="410"/>
      <c r="AC152" s="403"/>
      <c r="AD152" s="411"/>
      <c r="AE152" s="413"/>
      <c r="AF152" s="628">
        <f t="shared" si="388"/>
        <v>0</v>
      </c>
      <c r="AG152" s="629" cm="1">
        <f t="array" ref="AG152">IF(($J152+$V152+$AF152)=0,0,INDEX(Premises!$A$30:$F$30,1,$CH152)/100)</f>
        <v>0.01</v>
      </c>
      <c r="AH152" s="414"/>
      <c r="AI152" s="415"/>
      <c r="AJ152" s="416"/>
      <c r="AK152" s="630">
        <f t="shared" si="389"/>
        <v>0</v>
      </c>
      <c r="AL152" s="631">
        <f t="shared" si="390"/>
        <v>1.8896067942942946E-6</v>
      </c>
      <c r="AM152" s="632" cm="1">
        <f t="array" ref="AM152">IF($CI152=0,0,IFERROR(INDEX(MHR[],$CI152,MATCH($CA152,MHR!$B$4:$AY$4,0)+11),0))</f>
        <v>4.2450010155189757</v>
      </c>
      <c r="AN152" s="633" cm="1">
        <f t="array" ref="AN152">IF(($J152+$V152)=0,0,IFERROR(IF(INDEX(Premises!$A$41:$F$41,1,$CH152)&lt;&gt;0,INDEX(Premises!$A$41:$F$41,1,$CH152)/100,(IFERROR(($J152/$I152)*$AM152,0)/($V152+$J152+$R152+$AL152))),0))</f>
        <v>9.8829199631318958E-4</v>
      </c>
      <c r="AO152" s="634">
        <f t="shared" si="391"/>
        <v>1.2747750797354282E-5</v>
      </c>
      <c r="AP152" s="635">
        <f t="shared" si="392"/>
        <v>1.2911517390650353E-2</v>
      </c>
      <c r="AQ152" s="410"/>
      <c r="AR152" s="409"/>
      <c r="AS152" s="636" cm="1">
        <f t="array" ref="AS152">IF($CJ152=0,0,IFERROR(INDEX(MAT[Einheit],$CJ152,1),0))</f>
        <v>0</v>
      </c>
      <c r="AT152" s="637" cm="1">
        <f t="array" ref="AT152">IF($CJ152=0,0,IFERROR(INDEX(MAT[Preis],$CJ152,1),0))</f>
        <v>0</v>
      </c>
      <c r="AU152" s="638">
        <f t="shared" si="393"/>
        <v>0</v>
      </c>
      <c r="AV152" s="639" cm="1">
        <f t="array" ref="AV152">IF($AU152&lt;=0,0,INDEX(Premises!$A$30:$F$30,1,$CH152)/100)</f>
        <v>0</v>
      </c>
      <c r="AW152" s="409"/>
      <c r="AX152" s="631">
        <f t="shared" si="394"/>
        <v>0</v>
      </c>
      <c r="AY152" s="640" cm="1">
        <f t="array" ref="AY152">IF($AT152&lt;=0,0,IFERROR(IF(INDEX(Premises!$A$42:$F$42,1,$CH152)&lt;&gt;0,INDEX(Premises!$A$42:$F$42,1,$CH152)/100,(INDEX(MAT[],$CJ152,MATCH($CA152,MAT!$B$4:$AE$4,0))/($AR152*$CK152*INDEX(Premises!$A$13:$F$13,1,$CH152))+INDEX(MAT[],$CJ152,MATCH($CA152,MAT!$B$4:$AE$4,0)+7))/$AT152),0))</f>
        <v>0</v>
      </c>
      <c r="AZ152" s="631">
        <f t="shared" si="395"/>
        <v>0</v>
      </c>
      <c r="BA152" s="635">
        <f t="shared" si="396"/>
        <v>0</v>
      </c>
      <c r="BB152" s="635">
        <f t="shared" si="397"/>
        <v>1.2911517390650353E-2</v>
      </c>
      <c r="BC152" s="639" cm="1">
        <f t="array" ref="BC152">IF($BB152&lt;=0,0,IF(BC$2=-1,0,INDEX(Premises!$A$32:$F$32,1,$CH152)/100))</f>
        <v>0</v>
      </c>
      <c r="BD152" s="631">
        <f t="shared" si="398"/>
        <v>0</v>
      </c>
      <c r="BE152" s="639" cm="1">
        <f t="array" ref="BE152">IF($BB152&lt;=0,0,IF(BE$2=-1,0,INDEX(Premises!$A$33:$F$33,1,$CH152)/100))</f>
        <v>0</v>
      </c>
      <c r="BF152" s="631">
        <f t="shared" si="399"/>
        <v>0</v>
      </c>
      <c r="BG152" s="639" cm="1">
        <f t="array" ref="BG152">IF($BB152&lt;=0,0,IF(BG$2=-1,0,INDEX(Premises!$A$31:$F$31,1,$CH152)/100))</f>
        <v>0.125</v>
      </c>
      <c r="BH152" s="631">
        <f t="shared" si="400"/>
        <v>1.6137034729820073E-3</v>
      </c>
      <c r="BI152" s="635">
        <f t="shared" si="401"/>
        <v>1.452522086363236E-2</v>
      </c>
      <c r="BJ152" s="639" cm="1">
        <f t="array" ref="BJ152">IF($BB152&lt;=0,0,IF(BJ$2=-1,0,INDEX(Premises!$A$35:$F$35,1,$CH152)/100))</f>
        <v>0</v>
      </c>
      <c r="BK152" s="631">
        <f t="shared" si="402"/>
        <v>0</v>
      </c>
      <c r="BL152" s="639" cm="1">
        <f t="array" ref="BL152">IF($BB152&lt;=0,0,IF(BL$2=-1,0,INDEX(Premises!$A$36:$F$36,1,$CH152)/100))</f>
        <v>0</v>
      </c>
      <c r="BM152" s="631">
        <f t="shared" si="403"/>
        <v>0</v>
      </c>
      <c r="BN152" s="639" cm="1">
        <f t="array" ref="BN152">IF($BB152&lt;=0,0,IF(BN$2=-1,0,INDEX(Premises!$A$34:$F$34,1,$CH152)/100))</f>
        <v>0.06</v>
      </c>
      <c r="BO152" s="631">
        <f t="shared" si="404"/>
        <v>7.7457766703136345E-4</v>
      </c>
      <c r="BP152" s="639" cm="1">
        <f t="array" ref="BP152">IF($BI152=0,0,INDEX(Premises!$A$37:$F$37,1,$CH152)/100)</f>
        <v>0</v>
      </c>
      <c r="BQ152" s="409"/>
      <c r="BR152" s="631">
        <f t="shared" si="405"/>
        <v>0</v>
      </c>
      <c r="BS152" s="641">
        <f t="shared" si="406"/>
        <v>1.5299798530663723E-2</v>
      </c>
      <c r="BT152" s="641">
        <f t="shared" si="407"/>
        <v>1.5299798530663723E-2</v>
      </c>
      <c r="BU152" s="642">
        <f t="shared" si="408"/>
        <v>1</v>
      </c>
      <c r="BV152" s="1147"/>
      <c r="BW152" s="418"/>
      <c r="BX152" s="418"/>
      <c r="BY152" s="419"/>
      <c r="BZ152" s="968"/>
      <c r="CA152" s="280" cm="1">
        <f t="array" ref="CA152">IF($BZ152&gt;0,VALUE(LEFT($BZ152,IF(ISERROR(FIND("-",$BZ152)),LEN($BZ152),FIND("-",$BZ152)-1))),INDEX($CA$1:$CA152,MAX(1,$CD152)))</f>
        <v>1</v>
      </c>
      <c r="CB152" s="280" cm="1">
        <f t="array" ref="CB152">IF($BT152=0,0,IF(LEN($BZ152)-LEN(SUBSTITUTE($BZ152,"-",""))&gt;1,
VALUE(MID($BZ152,FIND("-",$BZ152)+1,FIND("-",$BZ152,FIND("-",$BZ152)+1)-FIND("-",$BZ152)-1)),IF($BZ152&gt;0,0,INDEX($CB$1:$CB152,MAX(1,$CD152)))))</f>
        <v>0</v>
      </c>
      <c r="CC152" s="280" cm="1">
        <f t="array" ref="CC152">IF($BT152=0,0,IF(NOT(ISERROR(FIND("-",BZ152))),
VALUE(RIGHT($BZ152,LEN($BZ152)-IF(LEN($BZ152)-LEN(SUBSTITUTE($BZ152,"-",""))=1,FIND("-",$BZ152),FIND("-",$BZ152,FIND("-",$BZ152)+1)))),
IF($BZ152&gt;0,0,INDEX($CC$1:$CC152,MAX(1,$CD152)))))</f>
        <v>0</v>
      </c>
      <c r="CD152" s="393">
        <f>MATCH(0,$CE$1:$CE152,-1)</f>
        <v>147</v>
      </c>
      <c r="CE152" s="280"/>
      <c r="CF152" s="394"/>
      <c r="CG152" s="393" cm="1">
        <f t="array" ref="CG152">INDEX($CG$1:$CG152,$CD152)</f>
        <v>19</v>
      </c>
      <c r="CH152" s="280">
        <f>MATCH($CA152,Premises!$A$10:$F$10,0)</f>
        <v>4</v>
      </c>
      <c r="CI152" s="280">
        <f>IF(ISBLANK($E152),0,IFERROR(MATCH($E152,MHR[Bezeichnung],0),0))</f>
        <v>6</v>
      </c>
      <c r="CJ152" s="394">
        <f>IF(ISBLANK($AQ152),0,IFERROR(MATCH($AQ152,MAT[Bezeichnung],0),0))</f>
        <v>0</v>
      </c>
      <c r="CK152" s="280" cm="1">
        <f t="array" ref="CK152">INDEX($D$1:$D152,$CD152)</f>
        <v>1</v>
      </c>
      <c r="CL152" s="280"/>
      <c r="CM152" s="395"/>
      <c r="CN152" s="396" cm="1">
        <f t="array" ref="CN152">IF($CB152=0,0,IF($CB152=INDEX($CB$1:$CB152,$CD152),INDEX($CN$1:$CN152,$CD152),$CP152))</f>
        <v>0</v>
      </c>
      <c r="CO152" s="395"/>
      <c r="CP152" s="396" cm="1">
        <f t="array" ref="CP152">IF($CC152=0,0,INDEX($CP$1:$CP152,$CD152))</f>
        <v>0</v>
      </c>
      <c r="CQ152" s="397"/>
      <c r="CR152" s="398"/>
      <c r="CS152" s="398"/>
      <c r="CT152" s="1152"/>
      <c r="CU152" s="1149"/>
      <c r="CV152" s="647">
        <f t="shared" si="409"/>
        <v>1.5281203078078078E-4</v>
      </c>
      <c r="CW152" s="648">
        <f t="shared" si="410"/>
        <v>1.2707919353629275E-2</v>
      </c>
      <c r="CX152" s="648">
        <f t="shared" si="411"/>
        <v>3.6148648648648655E-5</v>
      </c>
      <c r="CY152" s="648">
        <f t="shared" si="412"/>
        <v>0</v>
      </c>
      <c r="CZ152" s="648">
        <f t="shared" si="413"/>
        <v>0</v>
      </c>
      <c r="DA152" s="648">
        <f t="shared" si="414"/>
        <v>1.8896067942942946E-6</v>
      </c>
      <c r="DB152" s="648">
        <f t="shared" si="415"/>
        <v>1.2747750797354282E-5</v>
      </c>
      <c r="DC152" s="649">
        <f t="shared" si="416"/>
        <v>1.2911517390650353E-2</v>
      </c>
      <c r="DD152" s="648">
        <f t="shared" si="417"/>
        <v>0</v>
      </c>
      <c r="DE152" s="648">
        <f t="shared" si="418"/>
        <v>0</v>
      </c>
      <c r="DF152" s="648">
        <f t="shared" si="419"/>
        <v>0</v>
      </c>
      <c r="DG152" s="649">
        <f t="shared" si="420"/>
        <v>0</v>
      </c>
      <c r="DH152" s="649">
        <f t="shared" si="421"/>
        <v>1.2911517390650353E-2</v>
      </c>
      <c r="DI152" s="648">
        <f t="shared" si="422"/>
        <v>0</v>
      </c>
      <c r="DJ152" s="648">
        <f t="shared" si="423"/>
        <v>0</v>
      </c>
      <c r="DK152" s="648">
        <f t="shared" si="424"/>
        <v>1.6137034729820073E-3</v>
      </c>
      <c r="DL152" s="648">
        <f t="shared" si="425"/>
        <v>0</v>
      </c>
      <c r="DM152" s="648">
        <f t="shared" si="426"/>
        <v>0</v>
      </c>
      <c r="DN152" s="648">
        <f t="shared" si="427"/>
        <v>7.7457766703136345E-4</v>
      </c>
      <c r="DO152" s="648">
        <f t="shared" si="428"/>
        <v>0</v>
      </c>
      <c r="DP152" s="651">
        <f t="shared" si="429"/>
        <v>1.5299798530663723E-2</v>
      </c>
      <c r="DQ152" s="951">
        <f>IF($CB152=0,0,$DP152*_xlfn.XLOOKUP($CB152,Premises!$A$10:$F$10,Premises!$A$30:$F$30)/100)</f>
        <v>0</v>
      </c>
      <c r="DR152" s="650">
        <f>IFERROR(SUM($DP152:$DQ152)*IF(INDEX(Premises!$A$42:$F$42,1,MATCH($CB152,Premises!$A$10:$F$10,0))&gt;0,INDEX(Premises!$A$42:$F$42,1,MATCH($CB152,Premises!$A$10:$F$10,0))%,$CN152),0)</f>
        <v>0</v>
      </c>
      <c r="DS152" s="650" cm="1">
        <f t="array" ref="DS152">IF($CB152=0,0,SUM($DP152:$DR152)*_xlfn.XLOOKUP($CB152,Premises!$A$10:$F$10,IF(INDEX(Settings[],MATCH(3001,Settings[ID],0),2)="B",Premises!$A$33:$F$33,Premises!$A$31:$F$31))/100)</f>
        <v>0</v>
      </c>
      <c r="DT152" s="650" cm="1">
        <f t="array" ref="DT152">IF($CB152=0,0,$DP152*_xlfn.XLOOKUP($CB152,Premises!$A$10:$F$10,IF(INDEX(Settings[],MATCH(3002,Settings[ID],0),2)="B",Premises!$A$36:$F$36,Premises!$A$34:$F$34))/100)</f>
        <v>0</v>
      </c>
      <c r="DU152" s="650">
        <f>IF($CB152=0,0,SUM($DP152:$DT152)*_xlfn.XLOOKUP($CB152,Premises!$A$10:$F$10,Premises!$A$37:$F$37)/100)</f>
        <v>0</v>
      </c>
      <c r="DV152" s="954">
        <f t="shared" si="430"/>
        <v>1.5299798530663723E-2</v>
      </c>
      <c r="DW152" s="951">
        <f>IF($CC152=0,0,$DV152*_xlfn.XLOOKUP($CC152,Premises!$A$10:$F$10,Premises!$A$30:$F$30)/100)</f>
        <v>0</v>
      </c>
      <c r="DX152" s="650">
        <f>IFERROR(SUM($DV152:$DW152)*IF(INDEX(Premises!$A$42:$F$42,1,MATCH($CC152,Premises!$A$10:$F$10,0))&gt;0,INDEX(Premises!$A$42:$F$42,1,MATCH($CC152,Premises!$A$10:$F$10,0))%,$CP152),0)</f>
        <v>0</v>
      </c>
      <c r="DY152" s="650" cm="1">
        <f t="array" ref="DY152">IF($CC152=0,0,SUM($DV152:$DX152)*_xlfn.XLOOKUP($CC152,Premises!$A$10:$F$10,IF(INDEX(Settings[],MATCH(3001,Settings[ID],0),2)="B",Premises!$A$33:$F$33,Premises!$A$31:$F$31))/100)</f>
        <v>0</v>
      </c>
      <c r="DZ152" s="650" cm="1">
        <f t="array" ref="DZ152">IF($CC152=0,0,$DV152*_xlfn.XLOOKUP($CC152,Premises!$A$10:$F$10,IF(INDEX(Settings[],MATCH(3002,Settings[ID],0),2)="B",Premises!$A$36:$F$36,Premises!$A$34:$F$34))/100)</f>
        <v>0</v>
      </c>
      <c r="EA152" s="650">
        <f>IF($CC152=0,0,SUM($DV152:$DZ152)*_xlfn.XLOOKUP($CC152,Premises!$A$10:$F$10,Premises!$A$37:$F$37)/100)</f>
        <v>0</v>
      </c>
      <c r="EB152" s="651">
        <f t="shared" si="431"/>
        <v>1.5299798530663723E-2</v>
      </c>
      <c r="EC152" s="805"/>
      <c r="ED152" s="1104"/>
      <c r="EE152" s="650"/>
      <c r="EF152" s="1110"/>
      <c r="EG152" s="1108"/>
      <c r="EH152" s="1108"/>
      <c r="EI152" s="1108"/>
      <c r="EJ152" s="1108"/>
      <c r="EK152" s="1108"/>
      <c r="EL152" s="1108"/>
      <c r="EM152" s="1110"/>
      <c r="EN152" s="1108"/>
      <c r="EO152" s="1108"/>
      <c r="EP152" s="1108"/>
      <c r="EQ152" s="1108"/>
      <c r="ER152" s="1110"/>
      <c r="ES152" s="1108"/>
      <c r="ET152" s="1108"/>
      <c r="EU152" s="1108"/>
      <c r="EV152" s="1108"/>
      <c r="EW152" s="1108"/>
      <c r="EX152" s="1111"/>
      <c r="EY152" s="2"/>
      <c r="EZ152" s="2"/>
      <c r="FA152" s="2"/>
      <c r="FB152" s="2"/>
      <c r="FC152" s="2"/>
      <c r="FD152" s="2"/>
      <c r="FE152" s="2"/>
      <c r="FF152" s="2"/>
      <c r="FG152" s="2"/>
      <c r="FH152" s="2"/>
      <c r="FI152" s="2"/>
      <c r="FJ152" s="420"/>
      <c r="FK152" s="421"/>
      <c r="FL152" s="422"/>
      <c r="FM152" s="1153"/>
    </row>
    <row r="153" spans="1:169" s="13" customFormat="1" ht="12.75" customHeight="1">
      <c r="A153" s="221"/>
      <c r="B153" s="1329"/>
      <c r="C153" s="403"/>
      <c r="D153" s="646"/>
      <c r="E153" s="404"/>
      <c r="F153" s="405"/>
      <c r="G153" s="405"/>
      <c r="H153" s="405"/>
      <c r="I153" s="637" cm="1">
        <f t="array" ref="I153">IF($CI153=0,0,IFERROR(INDEX(MHR[],$CI153,MATCH($CA153,MHR!$B$4:$AY$4,0)),0))</f>
        <v>0</v>
      </c>
      <c r="J153" s="634">
        <f t="shared" si="384"/>
        <v>0</v>
      </c>
      <c r="K153" s="406"/>
      <c r="L153" s="407"/>
      <c r="M153" s="871"/>
      <c r="N153" s="407"/>
      <c r="O153" s="405"/>
      <c r="P153" s="645" cm="1">
        <f t="array" ref="P153">IF($K153=0,0,IFERROR(ROUNDUP(IF(ISNUMBER($K153),$K153,INDEX($D$1:$D153,$CD153)*INDEX(Premises!$A$13:$F$13,1,$CH153)/IF(OR($K153="T",$K153="D"),250,IF($K153="W",50,IF($K153="M",12,IF(OR($K153="HJ",$K153="HY"),2,IF(OR($K153="J",$K153="Y"),1,0)))))),0),0))</f>
        <v>0</v>
      </c>
      <c r="Q153" s="637" cm="1">
        <f t="array" ref="Q153">IF($K153=0,0,IFERROR(INDEX(Premises!$A$22:$F$22,1,$CH153)*100/INDEX(Premises!$A$16:$F$16,1,$CH153),0))</f>
        <v>0</v>
      </c>
      <c r="R153" s="634">
        <f t="shared" si="385"/>
        <v>0</v>
      </c>
      <c r="S153" s="408"/>
      <c r="T153" s="409"/>
      <c r="U153" s="637" cm="1">
        <f t="array" ref="U153">IF(COUNTBLANK($S153:$T153),0,
IF(AND(INDEX(MHR[Schichtmodell],$CI153)&lt;&gt;0,INDEX(MHR[Schichtmodell],$CI153)&lt;&gt;INDEX(Premises!$A$20:$F$20,1,$CH153)),ExchangeRate*
IF(OR($T153="M",$T153="U"),IF(INDEX(MHR[Schichtmodell],$CI153)=1,INDEX(LOC[M1S],INDEX(Premises!$A$18:$F$18,1,$CH153+1)),IF(INDEX(MHR[Schichtmodell],$CI153)=2,INDEX(LOC[M2S],INDEX(Premises!$A$18:$F$18,1,$CH153+1),IF(INDEX(MHR[Schichtmodell],$CI153)=3,INDEX(LOC[M3S],INDEX(Premises!$A$18:$F$18,1,$CH153+1)),0)))),
IF(INDEX(MHR[Schichtmodell],$CI153)=1,INDEX(LOC[F1S],INDEX(Premises!$A$18:$F$18,1,$CH153+1)),IF(INDEX(MHR[Schichtmodell],$CI153)=2,INDEX(LOC[F2S],INDEX(Premises!$A$18:$F$18,1,$CH153+1)),IF(INDEX(MHR[Schichtmodell],$CI153)=3,INDEX(LOC[F3S],INDEX(Premises!$A$18:$F$18,1,$CH153+1)),0)))),
IF(OR($T153="M",$T153="U"),INDEX(Premises!$A$21:$F$21,1,$CH153),
IF(OR($T153="F",$T153="S"),INDEX(Premises!$A$22:$F$22,1,$CH153),0)))*100/INDEX(Premises!$A$16:$F$16,1,$CH153))</f>
        <v>0</v>
      </c>
      <c r="V153" s="631">
        <f t="shared" si="386"/>
        <v>0</v>
      </c>
      <c r="W153" s="410"/>
      <c r="X153" s="403"/>
      <c r="Y153" s="411"/>
      <c r="Z153" s="412"/>
      <c r="AA153" s="628">
        <f t="shared" si="387"/>
        <v>0</v>
      </c>
      <c r="AB153" s="410"/>
      <c r="AC153" s="403"/>
      <c r="AD153" s="411"/>
      <c r="AE153" s="413"/>
      <c r="AF153" s="628">
        <f t="shared" si="388"/>
        <v>0</v>
      </c>
      <c r="AG153" s="629" cm="1">
        <f t="array" ref="AG153">IF(($J153+$V153+$AF153)=0,0,INDEX(Premises!$A$30:$F$30,1,$CH153)/100)</f>
        <v>0</v>
      </c>
      <c r="AH153" s="414"/>
      <c r="AI153" s="415"/>
      <c r="AJ153" s="416"/>
      <c r="AK153" s="630">
        <f t="shared" si="389"/>
        <v>0</v>
      </c>
      <c r="AL153" s="631">
        <f t="shared" si="390"/>
        <v>0</v>
      </c>
      <c r="AM153" s="632" cm="1">
        <f t="array" ref="AM153">IF($CI153=0,0,IFERROR(INDEX(MHR[],$CI153,MATCH($CA153,MHR!$B$4:$AY$4,0)+11),0))</f>
        <v>0</v>
      </c>
      <c r="AN153" s="633" cm="1">
        <f t="array" ref="AN153">IF(($J153+$V153)=0,0,IFERROR(IF(INDEX(Premises!$A$41:$F$41,1,$CH153)&lt;&gt;0,INDEX(Premises!$A$41:$F$41,1,$CH153)/100,(IFERROR(($J153/$I153)*$AM153,0)/($V153+$J153+$R153+$AL153))),0))</f>
        <v>0</v>
      </c>
      <c r="AO153" s="634">
        <f t="shared" si="391"/>
        <v>0</v>
      </c>
      <c r="AP153" s="635">
        <f t="shared" si="392"/>
        <v>0</v>
      </c>
      <c r="AQ153" s="410"/>
      <c r="AR153" s="409"/>
      <c r="AS153" s="636" cm="1">
        <f t="array" ref="AS153">IF($CJ153=0,0,IFERROR(INDEX(MAT[Einheit],$CJ153,1),0))</f>
        <v>0</v>
      </c>
      <c r="AT153" s="637" cm="1">
        <f t="array" ref="AT153">IF($CJ153=0,0,IFERROR(INDEX(MAT[Preis],$CJ153,1),0))</f>
        <v>0</v>
      </c>
      <c r="AU153" s="638">
        <f t="shared" si="393"/>
        <v>0</v>
      </c>
      <c r="AV153" s="639" cm="1">
        <f t="array" ref="AV153">IF($AU153&lt;=0,0,INDEX(Premises!$A$30:$F$30,1,$CH153)/100)</f>
        <v>0</v>
      </c>
      <c r="AW153" s="409"/>
      <c r="AX153" s="631">
        <f t="shared" si="394"/>
        <v>0</v>
      </c>
      <c r="AY153" s="640" cm="1">
        <f t="array" ref="AY153">IF($AT153&lt;=0,0,IFERROR(IF(INDEX(Premises!$A$42:$F$42,1,$CH153)&lt;&gt;0,INDEX(Premises!$A$42:$F$42,1,$CH153)/100,(INDEX(MAT[],$CJ153,MATCH($CA153,MAT!$B$4:$AE$4,0))/($AR153*$CK153*INDEX(Premises!$A$13:$F$13,1,$CH153))+INDEX(MAT[],$CJ153,MATCH($CA153,MAT!$B$4:$AE$4,0)+7))/$AT153),0))</f>
        <v>0</v>
      </c>
      <c r="AZ153" s="631">
        <f t="shared" si="395"/>
        <v>0</v>
      </c>
      <c r="BA153" s="635">
        <f t="shared" si="396"/>
        <v>0</v>
      </c>
      <c r="BB153" s="635">
        <f t="shared" si="397"/>
        <v>0</v>
      </c>
      <c r="BC153" s="639" cm="1">
        <f t="array" ref="BC153">IF($BB153&lt;=0,0,IF(BC$2=-1,0,INDEX(Premises!$A$32:$F$32,1,$CH153)/100))</f>
        <v>0</v>
      </c>
      <c r="BD153" s="631">
        <f t="shared" si="398"/>
        <v>0</v>
      </c>
      <c r="BE153" s="639" cm="1">
        <f t="array" ref="BE153">IF($BB153&lt;=0,0,IF(BE$2=-1,0,INDEX(Premises!$A$33:$F$33,1,$CH153)/100))</f>
        <v>0</v>
      </c>
      <c r="BF153" s="631">
        <f t="shared" si="399"/>
        <v>0</v>
      </c>
      <c r="BG153" s="639" cm="1">
        <f t="array" ref="BG153">IF($BB153&lt;=0,0,IF(BG$2=-1,0,INDEX(Premises!$A$31:$F$31,1,$CH153)/100))</f>
        <v>0</v>
      </c>
      <c r="BH153" s="631">
        <f t="shared" si="400"/>
        <v>0</v>
      </c>
      <c r="BI153" s="635">
        <f t="shared" si="401"/>
        <v>0</v>
      </c>
      <c r="BJ153" s="639" cm="1">
        <f t="array" ref="BJ153">IF($BB153&lt;=0,0,IF(BJ$2=-1,0,INDEX(Premises!$A$35:$F$35,1,$CH153)/100))</f>
        <v>0</v>
      </c>
      <c r="BK153" s="631">
        <f t="shared" si="402"/>
        <v>0</v>
      </c>
      <c r="BL153" s="639" cm="1">
        <f t="array" ref="BL153">IF($BB153&lt;=0,0,IF(BL$2=-1,0,INDEX(Premises!$A$36:$F$36,1,$CH153)/100))</f>
        <v>0</v>
      </c>
      <c r="BM153" s="631">
        <f t="shared" si="403"/>
        <v>0</v>
      </c>
      <c r="BN153" s="639" cm="1">
        <f t="array" ref="BN153">IF($BB153&lt;=0,0,IF(BN$2=-1,0,INDEX(Premises!$A$34:$F$34,1,$CH153)/100))</f>
        <v>0</v>
      </c>
      <c r="BO153" s="631">
        <f t="shared" si="404"/>
        <v>0</v>
      </c>
      <c r="BP153" s="639" cm="1">
        <f t="array" ref="BP153">IF($BI153=0,0,INDEX(Premises!$A$37:$F$37,1,$CH153)/100)</f>
        <v>0</v>
      </c>
      <c r="BQ153" s="409"/>
      <c r="BR153" s="631">
        <f t="shared" si="405"/>
        <v>0</v>
      </c>
      <c r="BS153" s="641">
        <f t="shared" si="406"/>
        <v>0</v>
      </c>
      <c r="BT153" s="641">
        <f t="shared" si="407"/>
        <v>0</v>
      </c>
      <c r="BU153" s="642">
        <f t="shared" si="408"/>
        <v>0</v>
      </c>
      <c r="BV153" s="1147"/>
      <c r="BW153" s="418"/>
      <c r="BX153" s="418"/>
      <c r="BY153" s="419"/>
      <c r="BZ153" s="968"/>
      <c r="CA153" s="280" cm="1">
        <f t="array" ref="CA153">IF($BZ153&gt;0,VALUE(LEFT($BZ153,IF(ISERROR(FIND("-",$BZ153)),LEN($BZ153),FIND("-",$BZ153)-1))),INDEX($CA$1:$CA153,MAX(1,$CD153)))</f>
        <v>1</v>
      </c>
      <c r="CB153" s="280" cm="1">
        <f t="array" ref="CB153">IF($BT153=0,0,IF(LEN($BZ153)-LEN(SUBSTITUTE($BZ153,"-",""))&gt;1,
VALUE(MID($BZ153,FIND("-",$BZ153)+1,FIND("-",$BZ153,FIND("-",$BZ153)+1)-FIND("-",$BZ153)-1)),IF($BZ153&gt;0,0,INDEX($CB$1:$CB153,MAX(1,$CD153)))))</f>
        <v>0</v>
      </c>
      <c r="CC153" s="280" cm="1">
        <f t="array" ref="CC153">IF($BT153=0,0,IF(NOT(ISERROR(FIND("-",BZ153))),
VALUE(RIGHT($BZ153,LEN($BZ153)-IF(LEN($BZ153)-LEN(SUBSTITUTE($BZ153,"-",""))=1,FIND("-",$BZ153),FIND("-",$BZ153,FIND("-",$BZ153)+1)))),
IF($BZ153&gt;0,0,INDEX($CC$1:$CC153,MAX(1,$CD153)))))</f>
        <v>0</v>
      </c>
      <c r="CD153" s="393">
        <f>MATCH(0,$CE$1:$CE153,-1)</f>
        <v>147</v>
      </c>
      <c r="CE153" s="280"/>
      <c r="CF153" s="394"/>
      <c r="CG153" s="393" cm="1">
        <f t="array" ref="CG153">INDEX($CG$1:$CG153,$CD153)</f>
        <v>19</v>
      </c>
      <c r="CH153" s="280">
        <f>MATCH($CA153,Premises!$A$10:$F$10,0)</f>
        <v>4</v>
      </c>
      <c r="CI153" s="280">
        <f>IF(ISBLANK($E153),0,IFERROR(MATCH($E153,MHR[Bezeichnung],0),0))</f>
        <v>0</v>
      </c>
      <c r="CJ153" s="394">
        <f>IF(ISBLANK($AQ153),0,IFERROR(MATCH($AQ153,MAT[Bezeichnung],0),0))</f>
        <v>0</v>
      </c>
      <c r="CK153" s="280" cm="1">
        <f t="array" ref="CK153">INDEX($D$1:$D153,$CD153)</f>
        <v>1</v>
      </c>
      <c r="CL153" s="280"/>
      <c r="CM153" s="395"/>
      <c r="CN153" s="396" cm="1">
        <f t="array" ref="CN153">IF($CB153=0,0,IF($CB153=INDEX($CB$1:$CB153,$CD153),INDEX($CN$1:$CN153,$CD153),$CP153))</f>
        <v>0</v>
      </c>
      <c r="CO153" s="395"/>
      <c r="CP153" s="396" cm="1">
        <f t="array" ref="CP153">IF($CC153=0,0,INDEX($CP$1:$CP153,$CD153))</f>
        <v>0</v>
      </c>
      <c r="CQ153" s="397"/>
      <c r="CR153" s="398"/>
      <c r="CS153" s="398"/>
      <c r="CT153" s="1152"/>
      <c r="CU153" s="1149"/>
      <c r="CV153" s="647">
        <f t="shared" si="409"/>
        <v>0</v>
      </c>
      <c r="CW153" s="648">
        <f t="shared" si="410"/>
        <v>0</v>
      </c>
      <c r="CX153" s="648">
        <f t="shared" si="411"/>
        <v>0</v>
      </c>
      <c r="CY153" s="648">
        <f t="shared" si="412"/>
        <v>0</v>
      </c>
      <c r="CZ153" s="648">
        <f t="shared" si="413"/>
        <v>0</v>
      </c>
      <c r="DA153" s="648">
        <f t="shared" si="414"/>
        <v>0</v>
      </c>
      <c r="DB153" s="648">
        <f t="shared" si="415"/>
        <v>0</v>
      </c>
      <c r="DC153" s="649">
        <f t="shared" si="416"/>
        <v>0</v>
      </c>
      <c r="DD153" s="648">
        <f t="shared" si="417"/>
        <v>0</v>
      </c>
      <c r="DE153" s="648">
        <f t="shared" si="418"/>
        <v>0</v>
      </c>
      <c r="DF153" s="648">
        <f t="shared" si="419"/>
        <v>0</v>
      </c>
      <c r="DG153" s="649">
        <f t="shared" si="420"/>
        <v>0</v>
      </c>
      <c r="DH153" s="649">
        <f t="shared" si="421"/>
        <v>0</v>
      </c>
      <c r="DI153" s="648">
        <f t="shared" si="422"/>
        <v>0</v>
      </c>
      <c r="DJ153" s="648">
        <f t="shared" si="423"/>
        <v>0</v>
      </c>
      <c r="DK153" s="648">
        <f t="shared" si="424"/>
        <v>0</v>
      </c>
      <c r="DL153" s="648">
        <f t="shared" si="425"/>
        <v>0</v>
      </c>
      <c r="DM153" s="648">
        <f t="shared" si="426"/>
        <v>0</v>
      </c>
      <c r="DN153" s="648">
        <f t="shared" si="427"/>
        <v>0</v>
      </c>
      <c r="DO153" s="648">
        <f t="shared" si="428"/>
        <v>0</v>
      </c>
      <c r="DP153" s="651">
        <f t="shared" si="429"/>
        <v>0</v>
      </c>
      <c r="DQ153" s="951">
        <f>IF($CB153=0,0,$DP153*_xlfn.XLOOKUP($CB153,Premises!$A$10:$F$10,Premises!$A$30:$F$30)/100)</f>
        <v>0</v>
      </c>
      <c r="DR153" s="650">
        <f>IFERROR(SUM($DP153:$DQ153)*IF(INDEX(Premises!$A$42:$F$42,1,MATCH($CB153,Premises!$A$10:$F$10,0))&gt;0,INDEX(Premises!$A$42:$F$42,1,MATCH($CB153,Premises!$A$10:$F$10,0))%,$CN153),0)</f>
        <v>0</v>
      </c>
      <c r="DS153" s="650" cm="1">
        <f t="array" ref="DS153">IF($CB153=0,0,SUM($DP153:$DR153)*_xlfn.XLOOKUP($CB153,Premises!$A$10:$F$10,IF(INDEX(Settings[],MATCH(3001,Settings[ID],0),2)="B",Premises!$A$33:$F$33,Premises!$A$31:$F$31))/100)</f>
        <v>0</v>
      </c>
      <c r="DT153" s="650" cm="1">
        <f t="array" ref="DT153">IF($CB153=0,0,$DP153*_xlfn.XLOOKUP($CB153,Premises!$A$10:$F$10,IF(INDEX(Settings[],MATCH(3002,Settings[ID],0),2)="B",Premises!$A$36:$F$36,Premises!$A$34:$F$34))/100)</f>
        <v>0</v>
      </c>
      <c r="DU153" s="650">
        <f>IF($CB153=0,0,SUM($DP153:$DT153)*_xlfn.XLOOKUP($CB153,Premises!$A$10:$F$10,Premises!$A$37:$F$37)/100)</f>
        <v>0</v>
      </c>
      <c r="DV153" s="954">
        <f t="shared" si="430"/>
        <v>0</v>
      </c>
      <c r="DW153" s="951">
        <f>IF($CC153=0,0,$DV153*_xlfn.XLOOKUP($CC153,Premises!$A$10:$F$10,Premises!$A$30:$F$30)/100)</f>
        <v>0</v>
      </c>
      <c r="DX153" s="650">
        <f>IFERROR(SUM($DV153:$DW153)*IF(INDEX(Premises!$A$42:$F$42,1,MATCH($CC153,Premises!$A$10:$F$10,0))&gt;0,INDEX(Premises!$A$42:$F$42,1,MATCH($CC153,Premises!$A$10:$F$10,0))%,$CP153),0)</f>
        <v>0</v>
      </c>
      <c r="DY153" s="650" cm="1">
        <f t="array" ref="DY153">IF($CC153=0,0,SUM($DV153:$DX153)*_xlfn.XLOOKUP($CC153,Premises!$A$10:$F$10,IF(INDEX(Settings[],MATCH(3001,Settings[ID],0),2)="B",Premises!$A$33:$F$33,Premises!$A$31:$F$31))/100)</f>
        <v>0</v>
      </c>
      <c r="DZ153" s="650" cm="1">
        <f t="array" ref="DZ153">IF($CC153=0,0,$DV153*_xlfn.XLOOKUP($CC153,Premises!$A$10:$F$10,IF(INDEX(Settings[],MATCH(3002,Settings[ID],0),2)="B",Premises!$A$36:$F$36,Premises!$A$34:$F$34))/100)</f>
        <v>0</v>
      </c>
      <c r="EA153" s="650">
        <f>IF($CC153=0,0,SUM($DV153:$DZ153)*_xlfn.XLOOKUP($CC153,Premises!$A$10:$F$10,Premises!$A$37:$F$37)/100)</f>
        <v>0</v>
      </c>
      <c r="EB153" s="651">
        <f t="shared" si="431"/>
        <v>0</v>
      </c>
      <c r="EC153" s="805"/>
      <c r="ED153" s="1104"/>
      <c r="EE153" s="650"/>
      <c r="EF153" s="1110"/>
      <c r="EG153" s="1108"/>
      <c r="EH153" s="1108"/>
      <c r="EI153" s="1108"/>
      <c r="EJ153" s="1108"/>
      <c r="EK153" s="1108"/>
      <c r="EL153" s="1108"/>
      <c r="EM153" s="1110"/>
      <c r="EN153" s="1108"/>
      <c r="EO153" s="1108"/>
      <c r="EP153" s="1108"/>
      <c r="EQ153" s="1108"/>
      <c r="ER153" s="1110"/>
      <c r="ES153" s="1108"/>
      <c r="ET153" s="1108"/>
      <c r="EU153" s="1108"/>
      <c r="EV153" s="1108"/>
      <c r="EW153" s="1108"/>
      <c r="EX153" s="1111"/>
      <c r="EY153" s="2"/>
      <c r="EZ153" s="2"/>
      <c r="FA153" s="2"/>
      <c r="FB153" s="2"/>
      <c r="FC153" s="2"/>
      <c r="FD153" s="2"/>
      <c r="FE153" s="2"/>
      <c r="FF153" s="2"/>
      <c r="FG153" s="2"/>
      <c r="FH153" s="2"/>
      <c r="FI153" s="2"/>
      <c r="FJ153" s="420"/>
      <c r="FK153" s="421"/>
      <c r="FL153" s="422"/>
      <c r="FM153" s="1153"/>
    </row>
    <row r="154" spans="1:169" s="13" customFormat="1" ht="12.75" customHeight="1">
      <c r="A154" s="221"/>
      <c r="B154" s="1329" t="s">
        <v>4340</v>
      </c>
      <c r="C154" s="403" t="s">
        <v>4347</v>
      </c>
      <c r="D154" s="646"/>
      <c r="E154" s="404" t="s">
        <v>4345</v>
      </c>
      <c r="F154" s="405">
        <v>1</v>
      </c>
      <c r="G154" s="405" t="s">
        <v>93</v>
      </c>
      <c r="H154" s="405">
        <v>92.5</v>
      </c>
      <c r="I154" s="637" cm="1">
        <f t="array" ref="I154">IF($CI154=0,0,IFERROR(INDEX(MHR[],$CI154,MATCH($CA154,MHR!$B$4:$AY$4,0)),0))</f>
        <v>50.88640625</v>
      </c>
      <c r="J154" s="634">
        <f t="shared" si="384"/>
        <v>1.5281203078078078E-4</v>
      </c>
      <c r="K154" s="406" t="s">
        <v>49</v>
      </c>
      <c r="L154" s="407">
        <v>30</v>
      </c>
      <c r="M154" s="871">
        <v>2</v>
      </c>
      <c r="N154" s="407"/>
      <c r="O154" s="405"/>
      <c r="P154" s="645" cm="1">
        <f t="array" ref="P154">IF($K154=0,0,IFERROR(ROUNDUP(IF(ISNUMBER($K154),$K154,INDEX($D$1:$D154,$CD154)*INDEX(Premises!$A$13:$F$13,1,$CH154)/IF(OR($K154="T",$K154="D"),250,IF($K154="W",50,IF($K154="M",12,IF(OR($K154="HJ",$K154="HY"),2,IF(OR($K154="J",$K154="Y"),1,0)))))),0),0))</f>
        <v>3334</v>
      </c>
      <c r="Q154" s="637" cm="1">
        <f t="array" ref="Q154">IF($K154=0,0,IFERROR(INDEX(Premises!$A$22:$F$22,1,$CH154)*100/INDEX(Premises!$A$16:$F$16,1,$CH154),0))</f>
        <v>16.925000000000001</v>
      </c>
      <c r="R154" s="634">
        <f t="shared" si="385"/>
        <v>1.2707919353629275E-2</v>
      </c>
      <c r="S154" s="408">
        <v>1</v>
      </c>
      <c r="T154" s="409" t="s">
        <v>275</v>
      </c>
      <c r="U154" s="637" cm="1">
        <f t="array" ref="U154">IF(COUNTBLANK($S154:$T154),0,
IF(AND(INDEX(MHR[Schichtmodell],$CI154)&lt;&gt;0,INDEX(MHR[Schichtmodell],$CI154)&lt;&gt;INDEX(Premises!$A$20:$F$20,1,$CH154)),ExchangeRate*
IF(OR($T154="M",$T154="U"),IF(INDEX(MHR[Schichtmodell],$CI154)=1,INDEX(LOC[M1S],INDEX(Premises!$A$18:$F$18,1,$CH154+1)),IF(INDEX(MHR[Schichtmodell],$CI154)=2,INDEX(LOC[M2S],INDEX(Premises!$A$18:$F$18,1,$CH154+1),IF(INDEX(MHR[Schichtmodell],$CI154)=3,INDEX(LOC[M3S],INDEX(Premises!$A$18:$F$18,1,$CH154+1)),0)))),
IF(INDEX(MHR[Schichtmodell],$CI154)=1,INDEX(LOC[F1S],INDEX(Premises!$A$18:$F$18,1,$CH154+1)),IF(INDEX(MHR[Schichtmodell],$CI154)=2,INDEX(LOC[F2S],INDEX(Premises!$A$18:$F$18,1,$CH154+1)),IF(INDEX(MHR[Schichtmodell],$CI154)=3,INDEX(LOC[F3S],INDEX(Premises!$A$18:$F$18,1,$CH154+1)),0)))),
IF(OR($T154="M",$T154="U"),INDEX(Premises!$A$21:$F$21,1,$CH154),
IF(OR($T154="F",$T154="S"),INDEX(Premises!$A$22:$F$22,1,$CH154),0)))*100/INDEX(Premises!$A$16:$F$16,1,$CH154))</f>
        <v>12.037500000000001</v>
      </c>
      <c r="V154" s="631">
        <f t="shared" si="386"/>
        <v>3.6148648648648655E-5</v>
      </c>
      <c r="W154" s="410"/>
      <c r="X154" s="403"/>
      <c r="Y154" s="411"/>
      <c r="Z154" s="412"/>
      <c r="AA154" s="628">
        <f t="shared" si="387"/>
        <v>0</v>
      </c>
      <c r="AB154" s="410"/>
      <c r="AC154" s="403"/>
      <c r="AD154" s="411"/>
      <c r="AE154" s="413"/>
      <c r="AF154" s="628">
        <f t="shared" si="388"/>
        <v>0</v>
      </c>
      <c r="AG154" s="629" cm="1">
        <f t="array" ref="AG154">IF(($J154+$V154+$AF154)=0,0,INDEX(Premises!$A$30:$F$30,1,$CH154)/100)</f>
        <v>0.01</v>
      </c>
      <c r="AH154" s="414"/>
      <c r="AI154" s="415"/>
      <c r="AJ154" s="416"/>
      <c r="AK154" s="630">
        <f t="shared" si="389"/>
        <v>0</v>
      </c>
      <c r="AL154" s="631">
        <f t="shared" si="390"/>
        <v>1.8896067942942946E-6</v>
      </c>
      <c r="AM154" s="632" cm="1">
        <f t="array" ref="AM154">IF($CI154=0,0,IFERROR(INDEX(MHR[],$CI154,MATCH($CA154,MHR!$B$4:$AY$4,0)+11),0))</f>
        <v>4.2450010155189757</v>
      </c>
      <c r="AN154" s="633" cm="1">
        <f t="array" ref="AN154">IF(($J154+$V154)=0,0,IFERROR(IF(INDEX(Premises!$A$41:$F$41,1,$CH154)&lt;&gt;0,INDEX(Premises!$A$41:$F$41,1,$CH154)/100,(IFERROR(($J154/$I154)*$AM154,0)/($V154+$J154+$R154+$AL154))),0))</f>
        <v>9.8829199631318958E-4</v>
      </c>
      <c r="AO154" s="634">
        <f t="shared" si="391"/>
        <v>1.2747750797354282E-5</v>
      </c>
      <c r="AP154" s="635">
        <f t="shared" si="392"/>
        <v>1.2911517390650353E-2</v>
      </c>
      <c r="AQ154" s="410"/>
      <c r="AR154" s="409"/>
      <c r="AS154" s="636" cm="1">
        <f t="array" ref="AS154">IF($CJ154=0,0,IFERROR(INDEX(MAT[Einheit],$CJ154,1),0))</f>
        <v>0</v>
      </c>
      <c r="AT154" s="637" cm="1">
        <f t="array" ref="AT154">IF($CJ154=0,0,IFERROR(INDEX(MAT[Preis],$CJ154,1),0))</f>
        <v>0</v>
      </c>
      <c r="AU154" s="638">
        <f t="shared" si="393"/>
        <v>0</v>
      </c>
      <c r="AV154" s="639" cm="1">
        <f t="array" ref="AV154">IF($AU154&lt;=0,0,INDEX(Premises!$A$30:$F$30,1,$CH154)/100)</f>
        <v>0</v>
      </c>
      <c r="AW154" s="409"/>
      <c r="AX154" s="631">
        <f t="shared" si="394"/>
        <v>0</v>
      </c>
      <c r="AY154" s="640" cm="1">
        <f t="array" ref="AY154">IF($AT154&lt;=0,0,IFERROR(IF(INDEX(Premises!$A$42:$F$42,1,$CH154)&lt;&gt;0,INDEX(Premises!$A$42:$F$42,1,$CH154)/100,(INDEX(MAT[],$CJ154,MATCH($CA154,MAT!$B$4:$AE$4,0))/($AR154*$CK154*INDEX(Premises!$A$13:$F$13,1,$CH154))+INDEX(MAT[],$CJ154,MATCH($CA154,MAT!$B$4:$AE$4,0)+7))/$AT154),0))</f>
        <v>0</v>
      </c>
      <c r="AZ154" s="631">
        <f t="shared" si="395"/>
        <v>0</v>
      </c>
      <c r="BA154" s="635">
        <f t="shared" si="396"/>
        <v>0</v>
      </c>
      <c r="BB154" s="635">
        <f t="shared" si="397"/>
        <v>1.2911517390650353E-2</v>
      </c>
      <c r="BC154" s="639" cm="1">
        <f t="array" ref="BC154">IF($BB154&lt;=0,0,IF(BC$2=-1,0,INDEX(Premises!$A$32:$F$32,1,$CH154)/100))</f>
        <v>0</v>
      </c>
      <c r="BD154" s="631">
        <f t="shared" si="398"/>
        <v>0</v>
      </c>
      <c r="BE154" s="639" cm="1">
        <f t="array" ref="BE154">IF($BB154&lt;=0,0,IF(BE$2=-1,0,INDEX(Premises!$A$33:$F$33,1,$CH154)/100))</f>
        <v>0</v>
      </c>
      <c r="BF154" s="631">
        <f t="shared" si="399"/>
        <v>0</v>
      </c>
      <c r="BG154" s="639" cm="1">
        <f t="array" ref="BG154">IF($BB154&lt;=0,0,IF(BG$2=-1,0,INDEX(Premises!$A$31:$F$31,1,$CH154)/100))</f>
        <v>0.125</v>
      </c>
      <c r="BH154" s="631">
        <f t="shared" si="400"/>
        <v>1.6137034729820073E-3</v>
      </c>
      <c r="BI154" s="635">
        <f t="shared" si="401"/>
        <v>1.452522086363236E-2</v>
      </c>
      <c r="BJ154" s="639" cm="1">
        <f t="array" ref="BJ154">IF($BB154&lt;=0,0,IF(BJ$2=-1,0,INDEX(Premises!$A$35:$F$35,1,$CH154)/100))</f>
        <v>0</v>
      </c>
      <c r="BK154" s="631">
        <f t="shared" si="402"/>
        <v>0</v>
      </c>
      <c r="BL154" s="639" cm="1">
        <f t="array" ref="BL154">IF($BB154&lt;=0,0,IF(BL$2=-1,0,INDEX(Premises!$A$36:$F$36,1,$CH154)/100))</f>
        <v>0</v>
      </c>
      <c r="BM154" s="631">
        <f t="shared" si="403"/>
        <v>0</v>
      </c>
      <c r="BN154" s="639" cm="1">
        <f t="array" ref="BN154">IF($BB154&lt;=0,0,IF(BN$2=-1,0,INDEX(Premises!$A$34:$F$34,1,$CH154)/100))</f>
        <v>0.06</v>
      </c>
      <c r="BO154" s="631">
        <f t="shared" si="404"/>
        <v>7.7457766703136345E-4</v>
      </c>
      <c r="BP154" s="639" cm="1">
        <f t="array" ref="BP154">IF($BI154=0,0,INDEX(Premises!$A$37:$F$37,1,$CH154)/100)</f>
        <v>0</v>
      </c>
      <c r="BQ154" s="409"/>
      <c r="BR154" s="631">
        <f t="shared" si="405"/>
        <v>0</v>
      </c>
      <c r="BS154" s="641">
        <f t="shared" si="406"/>
        <v>1.5299798530663723E-2</v>
      </c>
      <c r="BT154" s="641">
        <f t="shared" si="407"/>
        <v>1.5299798530663723E-2</v>
      </c>
      <c r="BU154" s="642">
        <f t="shared" si="408"/>
        <v>1</v>
      </c>
      <c r="BV154" s="1147"/>
      <c r="BW154" s="418"/>
      <c r="BX154" s="418"/>
      <c r="BY154" s="419"/>
      <c r="BZ154" s="968"/>
      <c r="CA154" s="280" cm="1">
        <f t="array" ref="CA154">IF($BZ154&gt;0,VALUE(LEFT($BZ154,IF(ISERROR(FIND("-",$BZ154)),LEN($BZ154),FIND("-",$BZ154)-1))),INDEX($CA$1:$CA154,MAX(1,$CD154)))</f>
        <v>1</v>
      </c>
      <c r="CB154" s="280" cm="1">
        <f t="array" ref="CB154">IF($BT154=0,0,IF(LEN($BZ154)-LEN(SUBSTITUTE($BZ154,"-",""))&gt;1,
VALUE(MID($BZ154,FIND("-",$BZ154)+1,FIND("-",$BZ154,FIND("-",$BZ154)+1)-FIND("-",$BZ154)-1)),IF($BZ154&gt;0,0,INDEX($CB$1:$CB154,MAX(1,$CD154)))))</f>
        <v>0</v>
      </c>
      <c r="CC154" s="280" cm="1">
        <f t="array" ref="CC154">IF($BT154=0,0,IF(NOT(ISERROR(FIND("-",BZ154))),
VALUE(RIGHT($BZ154,LEN($BZ154)-IF(LEN($BZ154)-LEN(SUBSTITUTE($BZ154,"-",""))=1,FIND("-",$BZ154),FIND("-",$BZ154,FIND("-",$BZ154)+1)))),
IF($BZ154&gt;0,0,INDEX($CC$1:$CC154,MAX(1,$CD154)))))</f>
        <v>0</v>
      </c>
      <c r="CD154" s="393">
        <f>MATCH(0,$CE$1:$CE154,-1)</f>
        <v>147</v>
      </c>
      <c r="CE154" s="280"/>
      <c r="CF154" s="394"/>
      <c r="CG154" s="393" cm="1">
        <f t="array" ref="CG154">INDEX($CG$1:$CG154,$CD154)</f>
        <v>19</v>
      </c>
      <c r="CH154" s="280">
        <f>MATCH($CA154,Premises!$A$10:$F$10,0)</f>
        <v>4</v>
      </c>
      <c r="CI154" s="280">
        <f>IF(ISBLANK($E154),0,IFERROR(MATCH($E154,MHR[Bezeichnung],0),0))</f>
        <v>6</v>
      </c>
      <c r="CJ154" s="394">
        <f>IF(ISBLANK($AQ154),0,IFERROR(MATCH($AQ154,MAT[Bezeichnung],0),0))</f>
        <v>0</v>
      </c>
      <c r="CK154" s="280" cm="1">
        <f t="array" ref="CK154">INDEX($D$1:$D154,$CD154)</f>
        <v>1</v>
      </c>
      <c r="CL154" s="280"/>
      <c r="CM154" s="395"/>
      <c r="CN154" s="396" cm="1">
        <f t="array" ref="CN154">IF($CB154=0,0,IF($CB154=INDEX($CB$1:$CB154,$CD154),INDEX($CN$1:$CN154,$CD154),$CP154))</f>
        <v>0</v>
      </c>
      <c r="CO154" s="395"/>
      <c r="CP154" s="396" cm="1">
        <f t="array" ref="CP154">IF($CC154=0,0,INDEX($CP$1:$CP154,$CD154))</f>
        <v>0</v>
      </c>
      <c r="CQ154" s="397"/>
      <c r="CR154" s="398"/>
      <c r="CS154" s="398"/>
      <c r="CT154" s="1152"/>
      <c r="CU154" s="1149"/>
      <c r="CV154" s="647">
        <f t="shared" si="409"/>
        <v>1.5281203078078078E-4</v>
      </c>
      <c r="CW154" s="648">
        <f t="shared" si="410"/>
        <v>1.2707919353629275E-2</v>
      </c>
      <c r="CX154" s="648">
        <f t="shared" si="411"/>
        <v>3.6148648648648655E-5</v>
      </c>
      <c r="CY154" s="648">
        <f t="shared" si="412"/>
        <v>0</v>
      </c>
      <c r="CZ154" s="648">
        <f t="shared" si="413"/>
        <v>0</v>
      </c>
      <c r="DA154" s="648">
        <f t="shared" si="414"/>
        <v>1.8896067942942946E-6</v>
      </c>
      <c r="DB154" s="648">
        <f t="shared" si="415"/>
        <v>1.2747750797354282E-5</v>
      </c>
      <c r="DC154" s="649">
        <f t="shared" si="416"/>
        <v>1.2911517390650353E-2</v>
      </c>
      <c r="DD154" s="648">
        <f t="shared" si="417"/>
        <v>0</v>
      </c>
      <c r="DE154" s="648">
        <f t="shared" si="418"/>
        <v>0</v>
      </c>
      <c r="DF154" s="648">
        <f t="shared" si="419"/>
        <v>0</v>
      </c>
      <c r="DG154" s="649">
        <f t="shared" si="420"/>
        <v>0</v>
      </c>
      <c r="DH154" s="649">
        <f t="shared" si="421"/>
        <v>1.2911517390650353E-2</v>
      </c>
      <c r="DI154" s="648">
        <f t="shared" si="422"/>
        <v>0</v>
      </c>
      <c r="DJ154" s="648">
        <f t="shared" si="423"/>
        <v>0</v>
      </c>
      <c r="DK154" s="648">
        <f t="shared" si="424"/>
        <v>1.6137034729820073E-3</v>
      </c>
      <c r="DL154" s="648">
        <f t="shared" si="425"/>
        <v>0</v>
      </c>
      <c r="DM154" s="648">
        <f t="shared" si="426"/>
        <v>0</v>
      </c>
      <c r="DN154" s="648">
        <f t="shared" si="427"/>
        <v>7.7457766703136345E-4</v>
      </c>
      <c r="DO154" s="648">
        <f t="shared" si="428"/>
        <v>0</v>
      </c>
      <c r="DP154" s="651">
        <f t="shared" si="429"/>
        <v>1.5299798530663723E-2</v>
      </c>
      <c r="DQ154" s="951">
        <f>IF($CB154=0,0,$DP154*_xlfn.XLOOKUP($CB154,Premises!$A$10:$F$10,Premises!$A$30:$F$30)/100)</f>
        <v>0</v>
      </c>
      <c r="DR154" s="650">
        <f>IFERROR(SUM($DP154:$DQ154)*IF(INDEX(Premises!$A$42:$F$42,1,MATCH($CB154,Premises!$A$10:$F$10,0))&gt;0,INDEX(Premises!$A$42:$F$42,1,MATCH($CB154,Premises!$A$10:$F$10,0))%,$CN154),0)</f>
        <v>0</v>
      </c>
      <c r="DS154" s="650" cm="1">
        <f t="array" ref="DS154">IF($CB154=0,0,SUM($DP154:$DR154)*_xlfn.XLOOKUP($CB154,Premises!$A$10:$F$10,IF(INDEX(Settings[],MATCH(3001,Settings[ID],0),2)="B",Premises!$A$33:$F$33,Premises!$A$31:$F$31))/100)</f>
        <v>0</v>
      </c>
      <c r="DT154" s="650" cm="1">
        <f t="array" ref="DT154">IF($CB154=0,0,$DP154*_xlfn.XLOOKUP($CB154,Premises!$A$10:$F$10,IF(INDEX(Settings[],MATCH(3002,Settings[ID],0),2)="B",Premises!$A$36:$F$36,Premises!$A$34:$F$34))/100)</f>
        <v>0</v>
      </c>
      <c r="DU154" s="650">
        <f>IF($CB154=0,0,SUM($DP154:$DT154)*_xlfn.XLOOKUP($CB154,Premises!$A$10:$F$10,Premises!$A$37:$F$37)/100)</f>
        <v>0</v>
      </c>
      <c r="DV154" s="954">
        <f t="shared" si="430"/>
        <v>1.5299798530663723E-2</v>
      </c>
      <c r="DW154" s="951">
        <f>IF($CC154=0,0,$DV154*_xlfn.XLOOKUP($CC154,Premises!$A$10:$F$10,Premises!$A$30:$F$30)/100)</f>
        <v>0</v>
      </c>
      <c r="DX154" s="650">
        <f>IFERROR(SUM($DV154:$DW154)*IF(INDEX(Premises!$A$42:$F$42,1,MATCH($CC154,Premises!$A$10:$F$10,0))&gt;0,INDEX(Premises!$A$42:$F$42,1,MATCH($CC154,Premises!$A$10:$F$10,0))%,$CP154),0)</f>
        <v>0</v>
      </c>
      <c r="DY154" s="650" cm="1">
        <f t="array" ref="DY154">IF($CC154=0,0,SUM($DV154:$DX154)*_xlfn.XLOOKUP($CC154,Premises!$A$10:$F$10,IF(INDEX(Settings[],MATCH(3001,Settings[ID],0),2)="B",Premises!$A$33:$F$33,Premises!$A$31:$F$31))/100)</f>
        <v>0</v>
      </c>
      <c r="DZ154" s="650" cm="1">
        <f t="array" ref="DZ154">IF($CC154=0,0,$DV154*_xlfn.XLOOKUP($CC154,Premises!$A$10:$F$10,IF(INDEX(Settings[],MATCH(3002,Settings[ID],0),2)="B",Premises!$A$36:$F$36,Premises!$A$34:$F$34))/100)</f>
        <v>0</v>
      </c>
      <c r="EA154" s="650">
        <f>IF($CC154=0,0,SUM($DV154:$DZ154)*_xlfn.XLOOKUP($CC154,Premises!$A$10:$F$10,Premises!$A$37:$F$37)/100)</f>
        <v>0</v>
      </c>
      <c r="EB154" s="651">
        <f t="shared" si="431"/>
        <v>1.5299798530663723E-2</v>
      </c>
      <c r="EC154" s="805"/>
      <c r="ED154" s="1104"/>
      <c r="EE154" s="650"/>
      <c r="EF154" s="1110"/>
      <c r="EG154" s="1108"/>
      <c r="EH154" s="1108"/>
      <c r="EI154" s="1108"/>
      <c r="EJ154" s="1108"/>
      <c r="EK154" s="1108"/>
      <c r="EL154" s="1108"/>
      <c r="EM154" s="1110"/>
      <c r="EN154" s="1108"/>
      <c r="EO154" s="1108"/>
      <c r="EP154" s="1108"/>
      <c r="EQ154" s="1108"/>
      <c r="ER154" s="1110"/>
      <c r="ES154" s="1108"/>
      <c r="ET154" s="1108"/>
      <c r="EU154" s="1108"/>
      <c r="EV154" s="1108"/>
      <c r="EW154" s="1108"/>
      <c r="EX154" s="1111"/>
      <c r="EY154" s="2"/>
      <c r="EZ154" s="2"/>
      <c r="FA154" s="2"/>
      <c r="FB154" s="2"/>
      <c r="FC154" s="2"/>
      <c r="FD154" s="2"/>
      <c r="FE154" s="2"/>
      <c r="FF154" s="2"/>
      <c r="FG154" s="2"/>
      <c r="FH154" s="2"/>
      <c r="FI154" s="2"/>
      <c r="FJ154" s="420"/>
      <c r="FK154" s="421"/>
      <c r="FL154" s="422"/>
      <c r="FM154" s="1153"/>
    </row>
    <row r="155" spans="1:169" s="13" customFormat="1" ht="12.75" customHeight="1">
      <c r="A155" s="221"/>
      <c r="B155" s="1329"/>
      <c r="C155" s="403"/>
      <c r="D155" s="646"/>
      <c r="E155" s="404"/>
      <c r="F155" s="405"/>
      <c r="G155" s="405"/>
      <c r="H155" s="405"/>
      <c r="I155" s="637" cm="1">
        <f t="array" ref="I155">IF($CI155=0,0,IFERROR(INDEX(MHR[],$CI155,MATCH($CA155,MHR!$B$4:$AY$4,0)),0))</f>
        <v>0</v>
      </c>
      <c r="J155" s="634">
        <f t="shared" si="384"/>
        <v>0</v>
      </c>
      <c r="K155" s="406"/>
      <c r="L155" s="407"/>
      <c r="M155" s="871"/>
      <c r="N155" s="407"/>
      <c r="O155" s="405"/>
      <c r="P155" s="645" cm="1">
        <f t="array" ref="P155">IF($K155=0,0,IFERROR(ROUNDUP(IF(ISNUMBER($K155),$K155,INDEX($D$1:$D155,$CD155)*INDEX(Premises!$A$13:$F$13,1,$CH155)/IF(OR($K155="T",$K155="D"),250,IF($K155="W",50,IF($K155="M",12,IF(OR($K155="HJ",$K155="HY"),2,IF(OR($K155="J",$K155="Y"),1,0)))))),0),0))</f>
        <v>0</v>
      </c>
      <c r="Q155" s="637" cm="1">
        <f t="array" ref="Q155">IF($K155=0,0,IFERROR(INDEX(Premises!$A$22:$F$22,1,$CH155)*100/INDEX(Premises!$A$16:$F$16,1,$CH155),0))</f>
        <v>0</v>
      </c>
      <c r="R155" s="634">
        <f t="shared" si="385"/>
        <v>0</v>
      </c>
      <c r="S155" s="408"/>
      <c r="T155" s="409"/>
      <c r="U155" s="637" cm="1">
        <f t="array" ref="U155">IF(COUNTBLANK($S155:$T155),0,
IF(AND(INDEX(MHR[Schichtmodell],$CI155)&lt;&gt;0,INDEX(MHR[Schichtmodell],$CI155)&lt;&gt;INDEX(Premises!$A$20:$F$20,1,$CH155)),ExchangeRate*
IF(OR($T155="M",$T155="U"),IF(INDEX(MHR[Schichtmodell],$CI155)=1,INDEX(LOC[M1S],INDEX(Premises!$A$18:$F$18,1,$CH155+1)),IF(INDEX(MHR[Schichtmodell],$CI155)=2,INDEX(LOC[M2S],INDEX(Premises!$A$18:$F$18,1,$CH155+1),IF(INDEX(MHR[Schichtmodell],$CI155)=3,INDEX(LOC[M3S],INDEX(Premises!$A$18:$F$18,1,$CH155+1)),0)))),
IF(INDEX(MHR[Schichtmodell],$CI155)=1,INDEX(LOC[F1S],INDEX(Premises!$A$18:$F$18,1,$CH155+1)),IF(INDEX(MHR[Schichtmodell],$CI155)=2,INDEX(LOC[F2S],INDEX(Premises!$A$18:$F$18,1,$CH155+1)),IF(INDEX(MHR[Schichtmodell],$CI155)=3,INDEX(LOC[F3S],INDEX(Premises!$A$18:$F$18,1,$CH155+1)),0)))),
IF(OR($T155="M",$T155="U"),INDEX(Premises!$A$21:$F$21,1,$CH155),
IF(OR($T155="F",$T155="S"),INDEX(Premises!$A$22:$F$22,1,$CH155),0)))*100/INDEX(Premises!$A$16:$F$16,1,$CH155))</f>
        <v>0</v>
      </c>
      <c r="V155" s="631">
        <f t="shared" si="386"/>
        <v>0</v>
      </c>
      <c r="W155" s="410"/>
      <c r="X155" s="403"/>
      <c r="Y155" s="411"/>
      <c r="Z155" s="412"/>
      <c r="AA155" s="628">
        <f t="shared" si="387"/>
        <v>0</v>
      </c>
      <c r="AB155" s="410"/>
      <c r="AC155" s="403"/>
      <c r="AD155" s="411"/>
      <c r="AE155" s="413"/>
      <c r="AF155" s="628">
        <f t="shared" si="388"/>
        <v>0</v>
      </c>
      <c r="AG155" s="629" cm="1">
        <f t="array" ref="AG155">IF(($J155+$V155+$AF155)=0,0,INDEX(Premises!$A$30:$F$30,1,$CH155)/100)</f>
        <v>0</v>
      </c>
      <c r="AH155" s="414"/>
      <c r="AI155" s="415"/>
      <c r="AJ155" s="416"/>
      <c r="AK155" s="630">
        <f t="shared" si="389"/>
        <v>0</v>
      </c>
      <c r="AL155" s="631">
        <f t="shared" si="390"/>
        <v>0</v>
      </c>
      <c r="AM155" s="632" cm="1">
        <f t="array" ref="AM155">IF($CI155=0,0,IFERROR(INDEX(MHR[],$CI155,MATCH($CA155,MHR!$B$4:$AY$4,0)+11),0))</f>
        <v>0</v>
      </c>
      <c r="AN155" s="633" cm="1">
        <f t="array" ref="AN155">IF(($J155+$V155)=0,0,IFERROR(IF(INDEX(Premises!$A$41:$F$41,1,$CH155)&lt;&gt;0,INDEX(Premises!$A$41:$F$41,1,$CH155)/100,(IFERROR(($J155/$I155)*$AM155,0)/($V155+$J155+$R155+$AL155))),0))</f>
        <v>0</v>
      </c>
      <c r="AO155" s="634">
        <f t="shared" si="391"/>
        <v>0</v>
      </c>
      <c r="AP155" s="635">
        <f t="shared" si="392"/>
        <v>0</v>
      </c>
      <c r="AQ155" s="410"/>
      <c r="AR155" s="409"/>
      <c r="AS155" s="636" cm="1">
        <f t="array" ref="AS155">IF($CJ155=0,0,IFERROR(INDEX(MAT[Einheit],$CJ155,1),0))</f>
        <v>0</v>
      </c>
      <c r="AT155" s="637" cm="1">
        <f t="array" ref="AT155">IF($CJ155=0,0,IFERROR(INDEX(MAT[Preis],$CJ155,1),0))</f>
        <v>0</v>
      </c>
      <c r="AU155" s="638">
        <f t="shared" si="393"/>
        <v>0</v>
      </c>
      <c r="AV155" s="639" cm="1">
        <f t="array" ref="AV155">IF($AU155&lt;=0,0,INDEX(Premises!$A$30:$F$30,1,$CH155)/100)</f>
        <v>0</v>
      </c>
      <c r="AW155" s="409"/>
      <c r="AX155" s="631">
        <f t="shared" si="394"/>
        <v>0</v>
      </c>
      <c r="AY155" s="640" cm="1">
        <f t="array" ref="AY155">IF($AT155&lt;=0,0,IFERROR(IF(INDEX(Premises!$A$42:$F$42,1,$CH155)&lt;&gt;0,INDEX(Premises!$A$42:$F$42,1,$CH155)/100,(INDEX(MAT[],$CJ155,MATCH($CA155,MAT!$B$4:$AE$4,0))/($AR155*$CK155*INDEX(Premises!$A$13:$F$13,1,$CH155))+INDEX(MAT[],$CJ155,MATCH($CA155,MAT!$B$4:$AE$4,0)+7))/$AT155),0))</f>
        <v>0</v>
      </c>
      <c r="AZ155" s="631">
        <f t="shared" si="395"/>
        <v>0</v>
      </c>
      <c r="BA155" s="635">
        <f t="shared" si="396"/>
        <v>0</v>
      </c>
      <c r="BB155" s="635">
        <f t="shared" si="397"/>
        <v>0</v>
      </c>
      <c r="BC155" s="639" cm="1">
        <f t="array" ref="BC155">IF($BB155&lt;=0,0,IF(BC$2=-1,0,INDEX(Premises!$A$32:$F$32,1,$CH155)/100))</f>
        <v>0</v>
      </c>
      <c r="BD155" s="631">
        <f t="shared" si="398"/>
        <v>0</v>
      </c>
      <c r="BE155" s="639" cm="1">
        <f t="array" ref="BE155">IF($BB155&lt;=0,0,IF(BE$2=-1,0,INDEX(Premises!$A$33:$F$33,1,$CH155)/100))</f>
        <v>0</v>
      </c>
      <c r="BF155" s="631">
        <f t="shared" si="399"/>
        <v>0</v>
      </c>
      <c r="BG155" s="639" cm="1">
        <f t="array" ref="BG155">IF($BB155&lt;=0,0,IF(BG$2=-1,0,INDEX(Premises!$A$31:$F$31,1,$CH155)/100))</f>
        <v>0</v>
      </c>
      <c r="BH155" s="631">
        <f t="shared" si="400"/>
        <v>0</v>
      </c>
      <c r="BI155" s="635">
        <f t="shared" si="401"/>
        <v>0</v>
      </c>
      <c r="BJ155" s="639" cm="1">
        <f t="array" ref="BJ155">IF($BB155&lt;=0,0,IF(BJ$2=-1,0,INDEX(Premises!$A$35:$F$35,1,$CH155)/100))</f>
        <v>0</v>
      </c>
      <c r="BK155" s="631">
        <f t="shared" si="402"/>
        <v>0</v>
      </c>
      <c r="BL155" s="639" cm="1">
        <f t="array" ref="BL155">IF($BB155&lt;=0,0,IF(BL$2=-1,0,INDEX(Premises!$A$36:$F$36,1,$CH155)/100))</f>
        <v>0</v>
      </c>
      <c r="BM155" s="631">
        <f t="shared" si="403"/>
        <v>0</v>
      </c>
      <c r="BN155" s="639" cm="1">
        <f t="array" ref="BN155">IF($BB155&lt;=0,0,IF(BN$2=-1,0,INDEX(Premises!$A$34:$F$34,1,$CH155)/100))</f>
        <v>0</v>
      </c>
      <c r="BO155" s="631">
        <f t="shared" si="404"/>
        <v>0</v>
      </c>
      <c r="BP155" s="639" cm="1">
        <f t="array" ref="BP155">IF($BI155=0,0,INDEX(Premises!$A$37:$F$37,1,$CH155)/100)</f>
        <v>0</v>
      </c>
      <c r="BQ155" s="409"/>
      <c r="BR155" s="631">
        <f t="shared" si="405"/>
        <v>0</v>
      </c>
      <c r="BS155" s="641">
        <f t="shared" si="406"/>
        <v>0</v>
      </c>
      <c r="BT155" s="641">
        <f t="shared" si="407"/>
        <v>0</v>
      </c>
      <c r="BU155" s="642">
        <f t="shared" si="408"/>
        <v>0</v>
      </c>
      <c r="BV155" s="1147"/>
      <c r="BW155" s="418"/>
      <c r="BX155" s="418"/>
      <c r="BY155" s="419"/>
      <c r="BZ155" s="968"/>
      <c r="CA155" s="280" cm="1">
        <f t="array" ref="CA155">IF($BZ155&gt;0,VALUE(LEFT($BZ155,IF(ISERROR(FIND("-",$BZ155)),LEN($BZ155),FIND("-",$BZ155)-1))),INDEX($CA$1:$CA155,MAX(1,$CD155)))</f>
        <v>1</v>
      </c>
      <c r="CB155" s="280" cm="1">
        <f t="array" ref="CB155">IF($BT155=0,0,IF(LEN($BZ155)-LEN(SUBSTITUTE($BZ155,"-",""))&gt;1,
VALUE(MID($BZ155,FIND("-",$BZ155)+1,FIND("-",$BZ155,FIND("-",$BZ155)+1)-FIND("-",$BZ155)-1)),IF($BZ155&gt;0,0,INDEX($CB$1:$CB155,MAX(1,$CD155)))))</f>
        <v>0</v>
      </c>
      <c r="CC155" s="280" cm="1">
        <f t="array" ref="CC155">IF($BT155=0,0,IF(NOT(ISERROR(FIND("-",BZ155))),
VALUE(RIGHT($BZ155,LEN($BZ155)-IF(LEN($BZ155)-LEN(SUBSTITUTE($BZ155,"-",""))=1,FIND("-",$BZ155),FIND("-",$BZ155,FIND("-",$BZ155)+1)))),
IF($BZ155&gt;0,0,INDEX($CC$1:$CC155,MAX(1,$CD155)))))</f>
        <v>0</v>
      </c>
      <c r="CD155" s="393">
        <f>MATCH(0,$CE$1:$CE155,-1)</f>
        <v>147</v>
      </c>
      <c r="CE155" s="280"/>
      <c r="CF155" s="394"/>
      <c r="CG155" s="393" cm="1">
        <f t="array" ref="CG155">INDEX($CG$1:$CG155,$CD155)</f>
        <v>19</v>
      </c>
      <c r="CH155" s="280">
        <f>MATCH($CA155,Premises!$A$10:$F$10,0)</f>
        <v>4</v>
      </c>
      <c r="CI155" s="280">
        <f>IF(ISBLANK($E155),0,IFERROR(MATCH($E155,MHR[Bezeichnung],0),0))</f>
        <v>0</v>
      </c>
      <c r="CJ155" s="394">
        <f>IF(ISBLANK($AQ155),0,IFERROR(MATCH($AQ155,MAT[Bezeichnung],0),0))</f>
        <v>0</v>
      </c>
      <c r="CK155" s="280" cm="1">
        <f t="array" ref="CK155">INDEX($D$1:$D155,$CD155)</f>
        <v>1</v>
      </c>
      <c r="CL155" s="280"/>
      <c r="CM155" s="395"/>
      <c r="CN155" s="396" cm="1">
        <f t="array" ref="CN155">IF($CB155=0,0,IF($CB155=INDEX($CB$1:$CB155,$CD155),INDEX($CN$1:$CN155,$CD155),$CP155))</f>
        <v>0</v>
      </c>
      <c r="CO155" s="395"/>
      <c r="CP155" s="396" cm="1">
        <f t="array" ref="CP155">IF($CC155=0,0,INDEX($CP$1:$CP155,$CD155))</f>
        <v>0</v>
      </c>
      <c r="CQ155" s="397"/>
      <c r="CR155" s="398"/>
      <c r="CS155" s="398"/>
      <c r="CT155" s="1152"/>
      <c r="CU155" s="1149"/>
      <c r="CV155" s="647">
        <f t="shared" si="409"/>
        <v>0</v>
      </c>
      <c r="CW155" s="648">
        <f t="shared" si="410"/>
        <v>0</v>
      </c>
      <c r="CX155" s="648">
        <f t="shared" si="411"/>
        <v>0</v>
      </c>
      <c r="CY155" s="648">
        <f t="shared" si="412"/>
        <v>0</v>
      </c>
      <c r="CZ155" s="648">
        <f t="shared" si="413"/>
        <v>0</v>
      </c>
      <c r="DA155" s="648">
        <f t="shared" si="414"/>
        <v>0</v>
      </c>
      <c r="DB155" s="648">
        <f t="shared" si="415"/>
        <v>0</v>
      </c>
      <c r="DC155" s="649">
        <f t="shared" si="416"/>
        <v>0</v>
      </c>
      <c r="DD155" s="648">
        <f t="shared" si="417"/>
        <v>0</v>
      </c>
      <c r="DE155" s="648">
        <f t="shared" si="418"/>
        <v>0</v>
      </c>
      <c r="DF155" s="648">
        <f t="shared" si="419"/>
        <v>0</v>
      </c>
      <c r="DG155" s="649">
        <f t="shared" si="420"/>
        <v>0</v>
      </c>
      <c r="DH155" s="649">
        <f t="shared" si="421"/>
        <v>0</v>
      </c>
      <c r="DI155" s="648">
        <f t="shared" si="422"/>
        <v>0</v>
      </c>
      <c r="DJ155" s="648">
        <f t="shared" si="423"/>
        <v>0</v>
      </c>
      <c r="DK155" s="648">
        <f t="shared" si="424"/>
        <v>0</v>
      </c>
      <c r="DL155" s="648">
        <f t="shared" si="425"/>
        <v>0</v>
      </c>
      <c r="DM155" s="648">
        <f t="shared" si="426"/>
        <v>0</v>
      </c>
      <c r="DN155" s="648">
        <f t="shared" si="427"/>
        <v>0</v>
      </c>
      <c r="DO155" s="648">
        <f t="shared" si="428"/>
        <v>0</v>
      </c>
      <c r="DP155" s="651">
        <f t="shared" si="429"/>
        <v>0</v>
      </c>
      <c r="DQ155" s="951">
        <f>IF($CB155=0,0,$DP155*_xlfn.XLOOKUP($CB155,Premises!$A$10:$F$10,Premises!$A$30:$F$30)/100)</f>
        <v>0</v>
      </c>
      <c r="DR155" s="650">
        <f>IFERROR(SUM($DP155:$DQ155)*IF(INDEX(Premises!$A$42:$F$42,1,MATCH($CB155,Premises!$A$10:$F$10,0))&gt;0,INDEX(Premises!$A$42:$F$42,1,MATCH($CB155,Premises!$A$10:$F$10,0))%,$CN155),0)</f>
        <v>0</v>
      </c>
      <c r="DS155" s="650" cm="1">
        <f t="array" ref="DS155">IF($CB155=0,0,SUM($DP155:$DR155)*_xlfn.XLOOKUP($CB155,Premises!$A$10:$F$10,IF(INDEX(Settings[],MATCH(3001,Settings[ID],0),2)="B",Premises!$A$33:$F$33,Premises!$A$31:$F$31))/100)</f>
        <v>0</v>
      </c>
      <c r="DT155" s="650" cm="1">
        <f t="array" ref="DT155">IF($CB155=0,0,$DP155*_xlfn.XLOOKUP($CB155,Premises!$A$10:$F$10,IF(INDEX(Settings[],MATCH(3002,Settings[ID],0),2)="B",Premises!$A$36:$F$36,Premises!$A$34:$F$34))/100)</f>
        <v>0</v>
      </c>
      <c r="DU155" s="650">
        <f>IF($CB155=0,0,SUM($DP155:$DT155)*_xlfn.XLOOKUP($CB155,Premises!$A$10:$F$10,Premises!$A$37:$F$37)/100)</f>
        <v>0</v>
      </c>
      <c r="DV155" s="954">
        <f t="shared" si="430"/>
        <v>0</v>
      </c>
      <c r="DW155" s="951">
        <f>IF($CC155=0,0,$DV155*_xlfn.XLOOKUP($CC155,Premises!$A$10:$F$10,Premises!$A$30:$F$30)/100)</f>
        <v>0</v>
      </c>
      <c r="DX155" s="650">
        <f>IFERROR(SUM($DV155:$DW155)*IF(INDEX(Premises!$A$42:$F$42,1,MATCH($CC155,Premises!$A$10:$F$10,0))&gt;0,INDEX(Premises!$A$42:$F$42,1,MATCH($CC155,Premises!$A$10:$F$10,0))%,$CP155),0)</f>
        <v>0</v>
      </c>
      <c r="DY155" s="650" cm="1">
        <f t="array" ref="DY155">IF($CC155=0,0,SUM($DV155:$DX155)*_xlfn.XLOOKUP($CC155,Premises!$A$10:$F$10,IF(INDEX(Settings[],MATCH(3001,Settings[ID],0),2)="B",Premises!$A$33:$F$33,Premises!$A$31:$F$31))/100)</f>
        <v>0</v>
      </c>
      <c r="DZ155" s="650" cm="1">
        <f t="array" ref="DZ155">IF($CC155=0,0,$DV155*_xlfn.XLOOKUP($CC155,Premises!$A$10:$F$10,IF(INDEX(Settings[],MATCH(3002,Settings[ID],0),2)="B",Premises!$A$36:$F$36,Premises!$A$34:$F$34))/100)</f>
        <v>0</v>
      </c>
      <c r="EA155" s="650">
        <f>IF($CC155=0,0,SUM($DV155:$DZ155)*_xlfn.XLOOKUP($CC155,Premises!$A$10:$F$10,Premises!$A$37:$F$37)/100)</f>
        <v>0</v>
      </c>
      <c r="EB155" s="651">
        <f t="shared" si="431"/>
        <v>0</v>
      </c>
      <c r="EC155" s="805"/>
      <c r="ED155" s="1104"/>
      <c r="EE155" s="650"/>
      <c r="EF155" s="1110"/>
      <c r="EG155" s="1108"/>
      <c r="EH155" s="1108"/>
      <c r="EI155" s="1108"/>
      <c r="EJ155" s="1108"/>
      <c r="EK155" s="1108"/>
      <c r="EL155" s="1108"/>
      <c r="EM155" s="1110"/>
      <c r="EN155" s="1108"/>
      <c r="EO155" s="1108"/>
      <c r="EP155" s="1108"/>
      <c r="EQ155" s="1108"/>
      <c r="ER155" s="1110"/>
      <c r="ES155" s="1108"/>
      <c r="ET155" s="1108"/>
      <c r="EU155" s="1108"/>
      <c r="EV155" s="1108"/>
      <c r="EW155" s="1108"/>
      <c r="EX155" s="1111"/>
      <c r="EY155" s="2"/>
      <c r="EZ155" s="2"/>
      <c r="FA155" s="2"/>
      <c r="FB155" s="2"/>
      <c r="FC155" s="2"/>
      <c r="FD155" s="2"/>
      <c r="FE155" s="2"/>
      <c r="FF155" s="2"/>
      <c r="FG155" s="2"/>
      <c r="FH155" s="2"/>
      <c r="FI155" s="2"/>
      <c r="FJ155" s="420"/>
      <c r="FK155" s="421"/>
      <c r="FL155" s="422"/>
      <c r="FM155" s="1153"/>
    </row>
    <row r="156" spans="1:169" s="13" customFormat="1" ht="12.75" customHeight="1">
      <c r="A156" s="221"/>
      <c r="B156" s="1329" t="s">
        <v>4341</v>
      </c>
      <c r="C156" s="403" t="s">
        <v>4342</v>
      </c>
      <c r="D156" s="646"/>
      <c r="E156" s="404" t="s">
        <v>4343</v>
      </c>
      <c r="F156" s="405">
        <v>1</v>
      </c>
      <c r="G156" s="405" t="s">
        <v>93</v>
      </c>
      <c r="H156" s="405">
        <v>45</v>
      </c>
      <c r="I156" s="637" cm="1">
        <f t="array" ref="I156">IF($CI156=0,0,IFERROR(INDEX(MHR[],$CI156,MATCH($CA156,MHR!$B$4:$AY$4,0)),0))</f>
        <v>19.916819444444442</v>
      </c>
      <c r="J156" s="634">
        <f t="shared" si="384"/>
        <v>1.2294332990397806E-4</v>
      </c>
      <c r="K156" s="406" t="s">
        <v>49</v>
      </c>
      <c r="L156" s="407">
        <v>30</v>
      </c>
      <c r="M156" s="871">
        <v>2</v>
      </c>
      <c r="N156" s="407"/>
      <c r="O156" s="405"/>
      <c r="P156" s="645" cm="1">
        <f t="array" ref="P156">IF($K156=0,0,IFERROR(ROUNDUP(IF(ISNUMBER($K156),$K156,INDEX($D$1:$D156,$CD156)*INDEX(Premises!$A$13:$F$13,1,$CH156)/IF(OR($K156="T",$K156="D"),250,IF($K156="W",50,IF($K156="M",12,IF(OR($K156="HJ",$K156="HY"),2,IF(OR($K156="J",$K156="Y"),1,0)))))),0),0))</f>
        <v>3334</v>
      </c>
      <c r="Q156" s="637" cm="1">
        <f t="array" ref="Q156">IF($K156=0,0,IFERROR(INDEX(Premises!$A$22:$F$22,1,$CH156)*100/INDEX(Premises!$A$16:$F$16,1,$CH156),0))</f>
        <v>16.925000000000001</v>
      </c>
      <c r="R156" s="634">
        <f t="shared" si="385"/>
        <v>8.0634102346197421E-3</v>
      </c>
      <c r="S156" s="408">
        <v>1</v>
      </c>
      <c r="T156" s="409" t="s">
        <v>275</v>
      </c>
      <c r="U156" s="637" cm="1">
        <f t="array" ref="U156">IF(COUNTBLANK($S156:$T156),0,
IF(AND(INDEX(MHR[Schichtmodell],$CI156)&lt;&gt;0,INDEX(MHR[Schichtmodell],$CI156)&lt;&gt;INDEX(Premises!$A$20:$F$20,1,$CH156)),ExchangeRate*
IF(OR($T156="M",$T156="U"),IF(INDEX(MHR[Schichtmodell],$CI156)=1,INDEX(LOC[M1S],INDEX(Premises!$A$18:$F$18,1,$CH156+1)),IF(INDEX(MHR[Schichtmodell],$CI156)=2,INDEX(LOC[M2S],INDEX(Premises!$A$18:$F$18,1,$CH156+1),IF(INDEX(MHR[Schichtmodell],$CI156)=3,INDEX(LOC[M3S],INDEX(Premises!$A$18:$F$18,1,$CH156+1)),0)))),
IF(INDEX(MHR[Schichtmodell],$CI156)=1,INDEX(LOC[F1S],INDEX(Premises!$A$18:$F$18,1,$CH156+1)),IF(INDEX(MHR[Schichtmodell],$CI156)=2,INDEX(LOC[F2S],INDEX(Premises!$A$18:$F$18,1,$CH156+1)),IF(INDEX(MHR[Schichtmodell],$CI156)=3,INDEX(LOC[F3S],INDEX(Premises!$A$18:$F$18,1,$CH156+1)),0)))),
IF(OR($T156="M",$T156="U"),INDEX(Premises!$A$21:$F$21,1,$CH156),
IF(OR($T156="F",$T156="S"),INDEX(Premises!$A$22:$F$22,1,$CH156),0)))*100/INDEX(Premises!$A$16:$F$16,1,$CH156))</f>
        <v>12.037500000000001</v>
      </c>
      <c r="V156" s="631">
        <f t="shared" si="386"/>
        <v>7.4305555555555567E-5</v>
      </c>
      <c r="W156" s="410"/>
      <c r="X156" s="403"/>
      <c r="Y156" s="411"/>
      <c r="Z156" s="412"/>
      <c r="AA156" s="628">
        <f t="shared" si="387"/>
        <v>0</v>
      </c>
      <c r="AB156" s="410"/>
      <c r="AC156" s="403"/>
      <c r="AD156" s="411"/>
      <c r="AE156" s="413"/>
      <c r="AF156" s="628">
        <f t="shared" si="388"/>
        <v>0</v>
      </c>
      <c r="AG156" s="629" cm="1">
        <f t="array" ref="AG156">IF(($J156+$V156+$AF156)=0,0,INDEX(Premises!$A$30:$F$30,1,$CH156)/100)</f>
        <v>0.01</v>
      </c>
      <c r="AH156" s="414"/>
      <c r="AI156" s="415"/>
      <c r="AJ156" s="416"/>
      <c r="AK156" s="630">
        <f t="shared" si="389"/>
        <v>0</v>
      </c>
      <c r="AL156" s="631">
        <f t="shared" si="390"/>
        <v>1.9724888545953364E-6</v>
      </c>
      <c r="AM156" s="632" cm="1">
        <f t="array" ref="AM156">IF($CI156=0,0,IFERROR(INDEX(MHR[],$CI156,MATCH($CA156,MHR!$B$4:$AY$4,0)+11),0))</f>
        <v>3.7098343488523082</v>
      </c>
      <c r="AN156" s="633" cm="1">
        <f t="array" ref="AN156">IF(($J156+$V156)=0,0,IFERROR(IF(INDEX(Premises!$A$41:$F$41,1,$CH156)&lt;&gt;0,INDEX(Premises!$A$41:$F$41,1,$CH156)/100,(IFERROR(($J156/$I156)*$AM156,0)/($V156+$J156+$R156+$AL156))),0))</f>
        <v>2.7715397604307981E-3</v>
      </c>
      <c r="AO156" s="634">
        <f t="shared" si="391"/>
        <v>2.2900212029952522E-5</v>
      </c>
      <c r="AP156" s="635">
        <f t="shared" si="392"/>
        <v>8.2855318209638235E-3</v>
      </c>
      <c r="AQ156" s="410"/>
      <c r="AR156" s="409"/>
      <c r="AS156" s="636" cm="1">
        <f t="array" ref="AS156">IF($CJ156=0,0,IFERROR(INDEX(MAT[Einheit],$CJ156,1),0))</f>
        <v>0</v>
      </c>
      <c r="AT156" s="637" cm="1">
        <f t="array" ref="AT156">IF($CJ156=0,0,IFERROR(INDEX(MAT[Preis],$CJ156,1),0))</f>
        <v>0</v>
      </c>
      <c r="AU156" s="638">
        <f t="shared" si="393"/>
        <v>0</v>
      </c>
      <c r="AV156" s="639" cm="1">
        <f t="array" ref="AV156">IF($AU156&lt;=0,0,INDEX(Premises!$A$30:$F$30,1,$CH156)/100)</f>
        <v>0</v>
      </c>
      <c r="AW156" s="409"/>
      <c r="AX156" s="631">
        <f t="shared" si="394"/>
        <v>0</v>
      </c>
      <c r="AY156" s="640" cm="1">
        <f t="array" ref="AY156">IF($AT156&lt;=0,0,IFERROR(IF(INDEX(Premises!$A$42:$F$42,1,$CH156)&lt;&gt;0,INDEX(Premises!$A$42:$F$42,1,$CH156)/100,(INDEX(MAT[],$CJ156,MATCH($CA156,MAT!$B$4:$AE$4,0))/($AR156*$CK156*INDEX(Premises!$A$13:$F$13,1,$CH156))+INDEX(MAT[],$CJ156,MATCH($CA156,MAT!$B$4:$AE$4,0)+7))/$AT156),0))</f>
        <v>0</v>
      </c>
      <c r="AZ156" s="631">
        <f t="shared" si="395"/>
        <v>0</v>
      </c>
      <c r="BA156" s="635">
        <f t="shared" si="396"/>
        <v>0</v>
      </c>
      <c r="BB156" s="635">
        <f t="shared" si="397"/>
        <v>8.2855318209638235E-3</v>
      </c>
      <c r="BC156" s="639" cm="1">
        <f t="array" ref="BC156">IF($BB156&lt;=0,0,IF(BC$2=-1,0,INDEX(Premises!$A$32:$F$32,1,$CH156)/100))</f>
        <v>0</v>
      </c>
      <c r="BD156" s="631">
        <f t="shared" si="398"/>
        <v>0</v>
      </c>
      <c r="BE156" s="639" cm="1">
        <f t="array" ref="BE156">IF($BB156&lt;=0,0,IF(BE$2=-1,0,INDEX(Premises!$A$33:$F$33,1,$CH156)/100))</f>
        <v>0</v>
      </c>
      <c r="BF156" s="631">
        <f t="shared" si="399"/>
        <v>0</v>
      </c>
      <c r="BG156" s="639" cm="1">
        <f t="array" ref="BG156">IF($BB156&lt;=0,0,IF(BG$2=-1,0,INDEX(Premises!$A$31:$F$31,1,$CH156)/100))</f>
        <v>0.125</v>
      </c>
      <c r="BH156" s="631">
        <f t="shared" si="400"/>
        <v>1.0354449165136535E-3</v>
      </c>
      <c r="BI156" s="635">
        <f t="shared" si="401"/>
        <v>9.3209767374774766E-3</v>
      </c>
      <c r="BJ156" s="639" cm="1">
        <f t="array" ref="BJ156">IF($BB156&lt;=0,0,IF(BJ$2=-1,0,INDEX(Premises!$A$35:$F$35,1,$CH156)/100))</f>
        <v>0</v>
      </c>
      <c r="BK156" s="631">
        <f t="shared" si="402"/>
        <v>0</v>
      </c>
      <c r="BL156" s="639" cm="1">
        <f t="array" ref="BL156">IF($BB156&lt;=0,0,IF(BL$2=-1,0,INDEX(Premises!$A$36:$F$36,1,$CH156)/100))</f>
        <v>0</v>
      </c>
      <c r="BM156" s="631">
        <f t="shared" si="403"/>
        <v>0</v>
      </c>
      <c r="BN156" s="639" cm="1">
        <f t="array" ref="BN156">IF($BB156&lt;=0,0,IF(BN$2=-1,0,INDEX(Premises!$A$34:$F$34,1,$CH156)/100))</f>
        <v>0.06</v>
      </c>
      <c r="BO156" s="631">
        <f t="shared" si="404"/>
        <v>4.9701355992655372E-4</v>
      </c>
      <c r="BP156" s="639" cm="1">
        <f t="array" ref="BP156">IF($BI156=0,0,INDEX(Premises!$A$37:$F$37,1,$CH156)/100)</f>
        <v>0</v>
      </c>
      <c r="BQ156" s="409"/>
      <c r="BR156" s="631">
        <f t="shared" si="405"/>
        <v>0</v>
      </c>
      <c r="BS156" s="641">
        <f t="shared" si="406"/>
        <v>9.8179902974040306E-3</v>
      </c>
      <c r="BT156" s="641">
        <f t="shared" si="407"/>
        <v>9.8179902974040306E-3</v>
      </c>
      <c r="BU156" s="642">
        <f t="shared" si="408"/>
        <v>1</v>
      </c>
      <c r="BV156" s="417"/>
      <c r="BW156" s="418"/>
      <c r="BX156" s="418"/>
      <c r="BY156" s="419"/>
      <c r="BZ156" s="968"/>
      <c r="CA156" s="280" cm="1">
        <f t="array" ref="CA156">IF($BZ156&gt;0,VALUE(LEFT($BZ156,IF(ISERROR(FIND("-",$BZ156)),LEN($BZ156),FIND("-",$BZ156)-1))),INDEX($CA$1:$CA156,MAX(1,$CD156)))</f>
        <v>1</v>
      </c>
      <c r="CB156" s="280" cm="1">
        <f t="array" ref="CB156">IF($BT156=0,0,IF(LEN($BZ156)-LEN(SUBSTITUTE($BZ156,"-",""))&gt;1,
VALUE(MID($BZ156,FIND("-",$BZ156)+1,FIND("-",$BZ156,FIND("-",$BZ156)+1)-FIND("-",$BZ156)-1)),IF($BZ156&gt;0,0,INDEX($CB$1:$CB156,MAX(1,$CD156)))))</f>
        <v>0</v>
      </c>
      <c r="CC156" s="280" cm="1">
        <f t="array" ref="CC156">IF($BT156=0,0,IF(NOT(ISERROR(FIND("-",BZ156))),
VALUE(RIGHT($BZ156,LEN($BZ156)-IF(LEN($BZ156)-LEN(SUBSTITUTE($BZ156,"-",""))=1,FIND("-",$BZ156),FIND("-",$BZ156,FIND("-",$BZ156)+1)))),
IF($BZ156&gt;0,0,INDEX($CC$1:$CC156,MAX(1,$CD156)))))</f>
        <v>0</v>
      </c>
      <c r="CD156" s="393">
        <f>MATCH(0,$CE$1:$CE156,-1)</f>
        <v>147</v>
      </c>
      <c r="CE156" s="280"/>
      <c r="CF156" s="394"/>
      <c r="CG156" s="393" cm="1">
        <f t="array" ref="CG156">INDEX($CG$1:$CG156,$CD156)</f>
        <v>19</v>
      </c>
      <c r="CH156" s="280">
        <f>MATCH($CA156,Premises!$A$10:$F$10,0)</f>
        <v>4</v>
      </c>
      <c r="CI156" s="280">
        <f>IF(ISBLANK($E156),0,IFERROR(MATCH($E156,MHR[Bezeichnung],0),0))</f>
        <v>5</v>
      </c>
      <c r="CJ156" s="394">
        <f>IF(ISBLANK($AQ156),0,IFERROR(MATCH($AQ156,MAT[Bezeichnung],0),0))</f>
        <v>0</v>
      </c>
      <c r="CK156" s="280" cm="1">
        <f t="array" ref="CK156">INDEX($D$1:$D156,$CD156)</f>
        <v>1</v>
      </c>
      <c r="CL156" s="280"/>
      <c r="CM156" s="395"/>
      <c r="CN156" s="396" cm="1">
        <f t="array" ref="CN156">IF($CB156=0,0,IF($CB156=INDEX($CB$1:$CB156,$CD156),INDEX($CN$1:$CN156,$CD156),$CP156))</f>
        <v>0</v>
      </c>
      <c r="CO156" s="395"/>
      <c r="CP156" s="396" cm="1">
        <f t="array" ref="CP156">IF($CC156=0,0,INDEX($CP$1:$CP156,$CD156))</f>
        <v>0</v>
      </c>
      <c r="CQ156" s="397"/>
      <c r="CR156" s="398"/>
      <c r="CS156" s="398"/>
      <c r="CT156" s="970"/>
      <c r="CU156" s="2"/>
      <c r="CV156" s="647">
        <f t="shared" si="409"/>
        <v>1.2294332990397806E-4</v>
      </c>
      <c r="CW156" s="648">
        <f t="shared" si="410"/>
        <v>8.0634102346197421E-3</v>
      </c>
      <c r="CX156" s="648">
        <f t="shared" si="411"/>
        <v>7.4305555555555567E-5</v>
      </c>
      <c r="CY156" s="648">
        <f t="shared" si="412"/>
        <v>0</v>
      </c>
      <c r="CZ156" s="648">
        <f t="shared" si="413"/>
        <v>0</v>
      </c>
      <c r="DA156" s="648">
        <f t="shared" si="414"/>
        <v>1.9724888545953364E-6</v>
      </c>
      <c r="DB156" s="648">
        <f t="shared" si="415"/>
        <v>2.2900212029952522E-5</v>
      </c>
      <c r="DC156" s="649">
        <f t="shared" si="416"/>
        <v>8.2855318209638235E-3</v>
      </c>
      <c r="DD156" s="648">
        <f t="shared" si="417"/>
        <v>0</v>
      </c>
      <c r="DE156" s="648">
        <f t="shared" si="418"/>
        <v>0</v>
      </c>
      <c r="DF156" s="648">
        <f t="shared" si="419"/>
        <v>0</v>
      </c>
      <c r="DG156" s="649">
        <f t="shared" si="420"/>
        <v>0</v>
      </c>
      <c r="DH156" s="649">
        <f t="shared" si="421"/>
        <v>8.2855318209638235E-3</v>
      </c>
      <c r="DI156" s="648">
        <f t="shared" si="422"/>
        <v>0</v>
      </c>
      <c r="DJ156" s="648">
        <f t="shared" si="423"/>
        <v>0</v>
      </c>
      <c r="DK156" s="648">
        <f t="shared" si="424"/>
        <v>1.0354449165136535E-3</v>
      </c>
      <c r="DL156" s="648">
        <f t="shared" si="425"/>
        <v>0</v>
      </c>
      <c r="DM156" s="648">
        <f t="shared" si="426"/>
        <v>0</v>
      </c>
      <c r="DN156" s="648">
        <f t="shared" si="427"/>
        <v>4.9701355992655372E-4</v>
      </c>
      <c r="DO156" s="648">
        <f t="shared" si="428"/>
        <v>0</v>
      </c>
      <c r="DP156" s="651">
        <f t="shared" si="429"/>
        <v>9.8179902974040306E-3</v>
      </c>
      <c r="DQ156" s="951">
        <f>IF($CB156=0,0,$DP156*_xlfn.XLOOKUP($CB156,Premises!$A$10:$F$10,Premises!$A$30:$F$30)/100)</f>
        <v>0</v>
      </c>
      <c r="DR156" s="650">
        <f>IFERROR(SUM($DP156:$DQ156)*IF(INDEX(Premises!$A$42:$F$42,1,MATCH($CB156,Premises!$A$10:$F$10,0))&gt;0,INDEX(Premises!$A$42:$F$42,1,MATCH($CB156,Premises!$A$10:$F$10,0))%,$CN156),0)</f>
        <v>0</v>
      </c>
      <c r="DS156" s="650" cm="1">
        <f t="array" ref="DS156">IF($CB156=0,0,SUM($DP156:$DR156)*_xlfn.XLOOKUP($CB156,Premises!$A$10:$F$10,IF(INDEX(Settings[],MATCH(3001,Settings[ID],0),2)="B",Premises!$A$33:$F$33,Premises!$A$31:$F$31))/100)</f>
        <v>0</v>
      </c>
      <c r="DT156" s="650" cm="1">
        <f t="array" ref="DT156">IF($CB156=0,0,$DP156*_xlfn.XLOOKUP($CB156,Premises!$A$10:$F$10,IF(INDEX(Settings[],MATCH(3002,Settings[ID],0),2)="B",Premises!$A$36:$F$36,Premises!$A$34:$F$34))/100)</f>
        <v>0</v>
      </c>
      <c r="DU156" s="650">
        <f>IF($CB156=0,0,SUM($DP156:$DT156)*_xlfn.XLOOKUP($CB156,Premises!$A$10:$F$10,Premises!$A$37:$F$37)/100)</f>
        <v>0</v>
      </c>
      <c r="DV156" s="954">
        <f t="shared" si="430"/>
        <v>9.8179902974040306E-3</v>
      </c>
      <c r="DW156" s="951">
        <f>IF($CC156=0,0,$DV156*_xlfn.XLOOKUP($CC156,Premises!$A$10:$F$10,Premises!$A$30:$F$30)/100)</f>
        <v>0</v>
      </c>
      <c r="DX156" s="650">
        <f>IFERROR(SUM($DV156:$DW156)*IF(INDEX(Premises!$A$42:$F$42,1,MATCH($CC156,Premises!$A$10:$F$10,0))&gt;0,INDEX(Premises!$A$42:$F$42,1,MATCH($CC156,Premises!$A$10:$F$10,0))%,$CP156),0)</f>
        <v>0</v>
      </c>
      <c r="DY156" s="650" cm="1">
        <f t="array" ref="DY156">IF($CC156=0,0,SUM($DV156:$DX156)*_xlfn.XLOOKUP($CC156,Premises!$A$10:$F$10,IF(INDEX(Settings[],MATCH(3001,Settings[ID],0),2)="B",Premises!$A$33:$F$33,Premises!$A$31:$F$31))/100)</f>
        <v>0</v>
      </c>
      <c r="DZ156" s="650" cm="1">
        <f t="array" ref="DZ156">IF($CC156=0,0,$DV156*_xlfn.XLOOKUP($CC156,Premises!$A$10:$F$10,IF(INDEX(Settings[],MATCH(3002,Settings[ID],0),2)="B",Premises!$A$36:$F$36,Premises!$A$34:$F$34))/100)</f>
        <v>0</v>
      </c>
      <c r="EA156" s="650">
        <f>IF($CC156=0,0,SUM($DV156:$DZ156)*_xlfn.XLOOKUP($CC156,Premises!$A$10:$F$10,Premises!$A$37:$F$37)/100)</f>
        <v>0</v>
      </c>
      <c r="EB156" s="651">
        <f t="shared" si="431"/>
        <v>9.8179902974040306E-3</v>
      </c>
      <c r="EC156" s="805"/>
      <c r="ED156" s="1104"/>
      <c r="EE156" s="650"/>
      <c r="EF156" s="1110"/>
      <c r="EG156" s="1108"/>
      <c r="EH156" s="1108"/>
      <c r="EI156" s="1108"/>
      <c r="EJ156" s="1108"/>
      <c r="EK156" s="1108"/>
      <c r="EL156" s="1108"/>
      <c r="EM156" s="1110"/>
      <c r="EN156" s="1108"/>
      <c r="EO156" s="1108"/>
      <c r="EP156" s="1108"/>
      <c r="EQ156" s="1108"/>
      <c r="ER156" s="1110"/>
      <c r="ES156" s="1108"/>
      <c r="ET156" s="1108"/>
      <c r="EU156" s="1108"/>
      <c r="EV156" s="1108"/>
      <c r="EW156" s="1108"/>
      <c r="EX156" s="1111"/>
      <c r="EY156" s="2"/>
      <c r="EZ156" s="2"/>
      <c r="FA156" s="2"/>
      <c r="FB156" s="2"/>
      <c r="FC156" s="2"/>
      <c r="FD156" s="2"/>
      <c r="FE156" s="2"/>
      <c r="FF156" s="2"/>
      <c r="FG156" s="2"/>
      <c r="FH156" s="2"/>
      <c r="FI156" s="2"/>
      <c r="FJ156" s="420"/>
      <c r="FK156" s="421"/>
      <c r="FL156" s="422"/>
      <c r="FM156" s="970"/>
    </row>
    <row r="157" spans="1:169" s="13" customFormat="1" ht="12.75" customHeight="1">
      <c r="A157" s="221"/>
      <c r="B157" s="402"/>
      <c r="C157" s="403"/>
      <c r="D157" s="646"/>
      <c r="E157" s="404"/>
      <c r="F157" s="405"/>
      <c r="G157" s="405"/>
      <c r="H157" s="405"/>
      <c r="I157" s="637" cm="1">
        <f t="array" ref="I157">IF($CI157=0,0,IFERROR(INDEX(MHR[],$CI157,MATCH($CA157,MHR!$B$4:$AY$4,0)),0))</f>
        <v>0</v>
      </c>
      <c r="J157" s="634">
        <f t="shared" si="384"/>
        <v>0</v>
      </c>
      <c r="K157" s="406"/>
      <c r="L157" s="407"/>
      <c r="M157" s="871"/>
      <c r="N157" s="407"/>
      <c r="O157" s="405"/>
      <c r="P157" s="645" cm="1">
        <f t="array" ref="P157">IF($K157=0,0,IFERROR(ROUNDUP(IF(ISNUMBER($K157),$K157,INDEX($D$1:$D157,$CD157)*INDEX(Premises!$A$13:$F$13,1,$CH157)/IF(OR($K157="T",$K157="D"),250,IF($K157="W",50,IF($K157="M",12,IF(OR($K157="HJ",$K157="HY"),2,IF(OR($K157="J",$K157="Y"),1,0)))))),0),0))</f>
        <v>0</v>
      </c>
      <c r="Q157" s="637" cm="1">
        <f t="array" ref="Q157">IF($K157=0,0,IFERROR(INDEX(Premises!$A$22:$F$22,1,$CH157)*100/INDEX(Premises!$A$16:$F$16,1,$CH157),0))</f>
        <v>0</v>
      </c>
      <c r="R157" s="634">
        <f t="shared" si="385"/>
        <v>0</v>
      </c>
      <c r="S157" s="408"/>
      <c r="T157" s="409"/>
      <c r="U157" s="637" cm="1">
        <f t="array" ref="U157">IF(COUNTBLANK($S157:$T157),0,
IF(AND(INDEX(MHR[Schichtmodell],$CI157)&lt;&gt;0,INDEX(MHR[Schichtmodell],$CI157)&lt;&gt;INDEX(Premises!$A$20:$F$20,1,$CH157)),ExchangeRate*
IF(OR($T157="M",$T157="U"),IF(INDEX(MHR[Schichtmodell],$CI157)=1,INDEX(LOC[M1S],INDEX(Premises!$A$18:$F$18,1,$CH157+1)),IF(INDEX(MHR[Schichtmodell],$CI157)=2,INDEX(LOC[M2S],INDEX(Premises!$A$18:$F$18,1,$CH157+1),IF(INDEX(MHR[Schichtmodell],$CI157)=3,INDEX(LOC[M3S],INDEX(Premises!$A$18:$F$18,1,$CH157+1)),0)))),
IF(INDEX(MHR[Schichtmodell],$CI157)=1,INDEX(LOC[F1S],INDEX(Premises!$A$18:$F$18,1,$CH157+1)),IF(INDEX(MHR[Schichtmodell],$CI157)=2,INDEX(LOC[F2S],INDEX(Premises!$A$18:$F$18,1,$CH157+1)),IF(INDEX(MHR[Schichtmodell],$CI157)=3,INDEX(LOC[F3S],INDEX(Premises!$A$18:$F$18,1,$CH157+1)),0)))),
IF(OR($T157="M",$T157="U"),INDEX(Premises!$A$21:$F$21,1,$CH157),
IF(OR($T157="F",$T157="S"),INDEX(Premises!$A$22:$F$22,1,$CH157),0)))*100/INDEX(Premises!$A$16:$F$16,1,$CH157))</f>
        <v>0</v>
      </c>
      <c r="V157" s="631">
        <f t="shared" si="386"/>
        <v>0</v>
      </c>
      <c r="W157" s="410"/>
      <c r="X157" s="403"/>
      <c r="Y157" s="411"/>
      <c r="Z157" s="412"/>
      <c r="AA157" s="628">
        <f t="shared" si="387"/>
        <v>0</v>
      </c>
      <c r="AB157" s="410"/>
      <c r="AC157" s="403"/>
      <c r="AD157" s="411"/>
      <c r="AE157" s="413"/>
      <c r="AF157" s="628">
        <f t="shared" si="388"/>
        <v>0</v>
      </c>
      <c r="AG157" s="629" cm="1">
        <f t="array" ref="AG157">IF(($J157+$V157+$AF157)=0,0,INDEX(Premises!$A$30:$F$30,1,$CH157)/100)</f>
        <v>0</v>
      </c>
      <c r="AH157" s="414"/>
      <c r="AI157" s="415"/>
      <c r="AJ157" s="416"/>
      <c r="AK157" s="630">
        <f t="shared" si="389"/>
        <v>0</v>
      </c>
      <c r="AL157" s="631">
        <f t="shared" si="390"/>
        <v>0</v>
      </c>
      <c r="AM157" s="632" cm="1">
        <f t="array" ref="AM157">IF($CI157=0,0,IFERROR(INDEX(MHR[],$CI157,MATCH($CA157,MHR!$B$4:$AY$4,0)+11),0))</f>
        <v>0</v>
      </c>
      <c r="AN157" s="633" cm="1">
        <f t="array" ref="AN157">IF(($J157+$V157)=0,0,IFERROR(IF(INDEX(Premises!$A$41:$F$41,1,$CH157)&lt;&gt;0,INDEX(Premises!$A$41:$F$41,1,$CH157)/100,(IFERROR(($J157/$I157)*$AM157,0)/($V157+$J157+$R157+$AL157))),0))</f>
        <v>0</v>
      </c>
      <c r="AO157" s="634">
        <f t="shared" si="391"/>
        <v>0</v>
      </c>
      <c r="AP157" s="635">
        <f t="shared" si="392"/>
        <v>0</v>
      </c>
      <c r="AQ157" s="410"/>
      <c r="AR157" s="409"/>
      <c r="AS157" s="636" cm="1">
        <f t="array" ref="AS157">IF($CJ157=0,0,IFERROR(INDEX(MAT[Einheit],$CJ157,1),0))</f>
        <v>0</v>
      </c>
      <c r="AT157" s="637" cm="1">
        <f t="array" ref="AT157">IF($CJ157=0,0,IFERROR(INDEX(MAT[Preis],$CJ157,1),0))</f>
        <v>0</v>
      </c>
      <c r="AU157" s="638">
        <f t="shared" si="393"/>
        <v>0</v>
      </c>
      <c r="AV157" s="639" cm="1">
        <f t="array" ref="AV157">IF($AU157&lt;=0,0,INDEX(Premises!$A$30:$F$30,1,$CH157)/100)</f>
        <v>0</v>
      </c>
      <c r="AW157" s="409"/>
      <c r="AX157" s="631">
        <f t="shared" si="394"/>
        <v>0</v>
      </c>
      <c r="AY157" s="640" cm="1">
        <f t="array" ref="AY157">IF($AT157&lt;=0,0,IFERROR(IF(INDEX(Premises!$A$42:$F$42,1,$CH157)&lt;&gt;0,INDEX(Premises!$A$42:$F$42,1,$CH157)/100,(INDEX(MAT[],$CJ157,MATCH($CA157,MAT!$B$4:$AE$4,0))/($AR157*$CK157*INDEX(Premises!$A$13:$F$13,1,$CH157))+INDEX(MAT[],$CJ157,MATCH($CA157,MAT!$B$4:$AE$4,0)+7))/$AT157),0))</f>
        <v>0</v>
      </c>
      <c r="AZ157" s="631">
        <f t="shared" si="395"/>
        <v>0</v>
      </c>
      <c r="BA157" s="635">
        <f t="shared" si="396"/>
        <v>0</v>
      </c>
      <c r="BB157" s="635">
        <f t="shared" si="397"/>
        <v>0</v>
      </c>
      <c r="BC157" s="639" cm="1">
        <f t="array" ref="BC157">IF($BB157&lt;=0,0,IF(BC$2=-1,0,INDEX(Premises!$A$32:$F$32,1,$CH157)/100))</f>
        <v>0</v>
      </c>
      <c r="BD157" s="631">
        <f t="shared" si="398"/>
        <v>0</v>
      </c>
      <c r="BE157" s="639" cm="1">
        <f t="array" ref="BE157">IF($BB157&lt;=0,0,IF(BE$2=-1,0,INDEX(Premises!$A$33:$F$33,1,$CH157)/100))</f>
        <v>0</v>
      </c>
      <c r="BF157" s="631">
        <f t="shared" si="399"/>
        <v>0</v>
      </c>
      <c r="BG157" s="639" cm="1">
        <f t="array" ref="BG157">IF($BB157&lt;=0,0,IF(BG$2=-1,0,INDEX(Premises!$A$31:$F$31,1,$CH157)/100))</f>
        <v>0</v>
      </c>
      <c r="BH157" s="631">
        <f t="shared" si="400"/>
        <v>0</v>
      </c>
      <c r="BI157" s="635">
        <f t="shared" si="401"/>
        <v>0</v>
      </c>
      <c r="BJ157" s="639" cm="1">
        <f t="array" ref="BJ157">IF($BB157&lt;=0,0,IF(BJ$2=-1,0,INDEX(Premises!$A$35:$F$35,1,$CH157)/100))</f>
        <v>0</v>
      </c>
      <c r="BK157" s="631">
        <f t="shared" si="402"/>
        <v>0</v>
      </c>
      <c r="BL157" s="639" cm="1">
        <f t="array" ref="BL157">IF($BB157&lt;=0,0,IF(BL$2=-1,0,INDEX(Premises!$A$36:$F$36,1,$CH157)/100))</f>
        <v>0</v>
      </c>
      <c r="BM157" s="631">
        <f t="shared" si="403"/>
        <v>0</v>
      </c>
      <c r="BN157" s="639" cm="1">
        <f t="array" ref="BN157">IF($BB157&lt;=0,0,IF(BN$2=-1,0,INDEX(Premises!$A$34:$F$34,1,$CH157)/100))</f>
        <v>0</v>
      </c>
      <c r="BO157" s="631">
        <f t="shared" si="404"/>
        <v>0</v>
      </c>
      <c r="BP157" s="639" cm="1">
        <f t="array" ref="BP157">IF($BI157=0,0,INDEX(Premises!$A$37:$F$37,1,$CH157)/100)</f>
        <v>0</v>
      </c>
      <c r="BQ157" s="409"/>
      <c r="BR157" s="631">
        <f t="shared" si="405"/>
        <v>0</v>
      </c>
      <c r="BS157" s="641">
        <f t="shared" si="406"/>
        <v>0</v>
      </c>
      <c r="BT157" s="641">
        <f t="shared" si="407"/>
        <v>0</v>
      </c>
      <c r="BU157" s="642">
        <f t="shared" si="408"/>
        <v>0</v>
      </c>
      <c r="BV157" s="417"/>
      <c r="BW157" s="418"/>
      <c r="BX157" s="418"/>
      <c r="BY157" s="419"/>
      <c r="BZ157" s="968"/>
      <c r="CA157" s="280" cm="1">
        <f t="array" ref="CA157">IF($BZ157&gt;0,VALUE(LEFT($BZ157,IF(ISERROR(FIND("-",$BZ157)),LEN($BZ157),FIND("-",$BZ157)-1))),INDEX($CA$1:$CA157,MAX(1,$CD157)))</f>
        <v>1</v>
      </c>
      <c r="CB157" s="280" cm="1">
        <f t="array" ref="CB157">IF($BT157=0,0,IF(LEN($BZ157)-LEN(SUBSTITUTE($BZ157,"-",""))&gt;1,
VALUE(MID($BZ157,FIND("-",$BZ157)+1,FIND("-",$BZ157,FIND("-",$BZ157)+1)-FIND("-",$BZ157)-1)),IF($BZ157&gt;0,0,INDEX($CB$1:$CB157,MAX(1,$CD157)))))</f>
        <v>0</v>
      </c>
      <c r="CC157" s="280" cm="1">
        <f t="array" ref="CC157">IF($BT157=0,0,IF(NOT(ISERROR(FIND("-",BZ157))),
VALUE(RIGHT($BZ157,LEN($BZ157)-IF(LEN($BZ157)-LEN(SUBSTITUTE($BZ157,"-",""))=1,FIND("-",$BZ157),FIND("-",$BZ157,FIND("-",$BZ157)+1)))),
IF($BZ157&gt;0,0,INDEX($CC$1:$CC157,MAX(1,$CD157)))))</f>
        <v>0</v>
      </c>
      <c r="CD157" s="393">
        <f>MATCH(0,$CE$1:$CE157,-1)</f>
        <v>147</v>
      </c>
      <c r="CE157" s="280"/>
      <c r="CF157" s="394"/>
      <c r="CG157" s="393" cm="1">
        <f t="array" ref="CG157">INDEX($CG$1:$CG157,$CD157)</f>
        <v>19</v>
      </c>
      <c r="CH157" s="280">
        <f>MATCH($CA157,Premises!$A$10:$F$10,0)</f>
        <v>4</v>
      </c>
      <c r="CI157" s="280">
        <f>IF(ISBLANK($E157),0,IFERROR(MATCH($E157,MHR[Bezeichnung],0),0))</f>
        <v>0</v>
      </c>
      <c r="CJ157" s="394">
        <f>IF(ISBLANK($AQ157),0,IFERROR(MATCH($AQ157,MAT[Bezeichnung],0),0))</f>
        <v>0</v>
      </c>
      <c r="CK157" s="280" cm="1">
        <f t="array" ref="CK157">INDEX($D$1:$D157,$CD157)</f>
        <v>1</v>
      </c>
      <c r="CL157" s="280"/>
      <c r="CM157" s="395"/>
      <c r="CN157" s="396" cm="1">
        <f t="array" ref="CN157">IF($CB157=0,0,IF($CB157=INDEX($CB$1:$CB157,$CD157),INDEX($CN$1:$CN157,$CD157),$CP157))</f>
        <v>0</v>
      </c>
      <c r="CO157" s="395"/>
      <c r="CP157" s="396" cm="1">
        <f t="array" ref="CP157">IF($CC157=0,0,INDEX($CP$1:$CP157,$CD157))</f>
        <v>0</v>
      </c>
      <c r="CQ157" s="397"/>
      <c r="CR157" s="398"/>
      <c r="CS157" s="398"/>
      <c r="CT157" s="970"/>
      <c r="CU157" s="2"/>
      <c r="CV157" s="647">
        <f t="shared" si="409"/>
        <v>0</v>
      </c>
      <c r="CW157" s="648">
        <f t="shared" si="410"/>
        <v>0</v>
      </c>
      <c r="CX157" s="648">
        <f t="shared" si="411"/>
        <v>0</v>
      </c>
      <c r="CY157" s="648">
        <f t="shared" si="412"/>
        <v>0</v>
      </c>
      <c r="CZ157" s="648">
        <f t="shared" si="413"/>
        <v>0</v>
      </c>
      <c r="DA157" s="648">
        <f t="shared" si="414"/>
        <v>0</v>
      </c>
      <c r="DB157" s="648">
        <f t="shared" si="415"/>
        <v>0</v>
      </c>
      <c r="DC157" s="649">
        <f t="shared" si="416"/>
        <v>0</v>
      </c>
      <c r="DD157" s="648">
        <f t="shared" si="417"/>
        <v>0</v>
      </c>
      <c r="DE157" s="648">
        <f t="shared" si="418"/>
        <v>0</v>
      </c>
      <c r="DF157" s="648">
        <f t="shared" si="419"/>
        <v>0</v>
      </c>
      <c r="DG157" s="649">
        <f t="shared" si="420"/>
        <v>0</v>
      </c>
      <c r="DH157" s="649">
        <f t="shared" si="421"/>
        <v>0</v>
      </c>
      <c r="DI157" s="648">
        <f t="shared" si="422"/>
        <v>0</v>
      </c>
      <c r="DJ157" s="648">
        <f t="shared" si="423"/>
        <v>0</v>
      </c>
      <c r="DK157" s="648">
        <f t="shared" si="424"/>
        <v>0</v>
      </c>
      <c r="DL157" s="648">
        <f t="shared" si="425"/>
        <v>0</v>
      </c>
      <c r="DM157" s="648">
        <f t="shared" si="426"/>
        <v>0</v>
      </c>
      <c r="DN157" s="648">
        <f t="shared" si="427"/>
        <v>0</v>
      </c>
      <c r="DO157" s="648">
        <f t="shared" si="428"/>
        <v>0</v>
      </c>
      <c r="DP157" s="651">
        <f t="shared" si="429"/>
        <v>0</v>
      </c>
      <c r="DQ157" s="951">
        <f>IF($CB157=0,0,$DP157*_xlfn.XLOOKUP($CB157,Premises!$A$10:$F$10,Premises!$A$30:$F$30)/100)</f>
        <v>0</v>
      </c>
      <c r="DR157" s="650">
        <f>IFERROR(SUM($DP157:$DQ157)*IF(INDEX(Premises!$A$42:$F$42,1,MATCH($CB157,Premises!$A$10:$F$10,0))&gt;0,INDEX(Premises!$A$42:$F$42,1,MATCH($CB157,Premises!$A$10:$F$10,0))%,$CN157),0)</f>
        <v>0</v>
      </c>
      <c r="DS157" s="650" cm="1">
        <f t="array" ref="DS157">IF($CB157=0,0,SUM($DP157:$DR157)*_xlfn.XLOOKUP($CB157,Premises!$A$10:$F$10,IF(INDEX(Settings[],MATCH(3001,Settings[ID],0),2)="B",Premises!$A$33:$F$33,Premises!$A$31:$F$31))/100)</f>
        <v>0</v>
      </c>
      <c r="DT157" s="650" cm="1">
        <f t="array" ref="DT157">IF($CB157=0,0,$DP157*_xlfn.XLOOKUP($CB157,Premises!$A$10:$F$10,IF(INDEX(Settings[],MATCH(3002,Settings[ID],0),2)="B",Premises!$A$36:$F$36,Premises!$A$34:$F$34))/100)</f>
        <v>0</v>
      </c>
      <c r="DU157" s="650">
        <f>IF($CB157=0,0,SUM($DP157:$DT157)*_xlfn.XLOOKUP($CB157,Premises!$A$10:$F$10,Premises!$A$37:$F$37)/100)</f>
        <v>0</v>
      </c>
      <c r="DV157" s="954">
        <f t="shared" si="430"/>
        <v>0</v>
      </c>
      <c r="DW157" s="951">
        <f>IF($CC157=0,0,$DV157*_xlfn.XLOOKUP($CC157,Premises!$A$10:$F$10,Premises!$A$30:$F$30)/100)</f>
        <v>0</v>
      </c>
      <c r="DX157" s="650">
        <f>IFERROR(SUM($DV157:$DW157)*IF(INDEX(Premises!$A$42:$F$42,1,MATCH($CC157,Premises!$A$10:$F$10,0))&gt;0,INDEX(Premises!$A$42:$F$42,1,MATCH($CC157,Premises!$A$10:$F$10,0))%,$CP157),0)</f>
        <v>0</v>
      </c>
      <c r="DY157" s="650" cm="1">
        <f t="array" ref="DY157">IF($CC157=0,0,SUM($DV157:$DX157)*_xlfn.XLOOKUP($CC157,Premises!$A$10:$F$10,IF(INDEX(Settings[],MATCH(3001,Settings[ID],0),2)="B",Premises!$A$33:$F$33,Premises!$A$31:$F$31))/100)</f>
        <v>0</v>
      </c>
      <c r="DZ157" s="650" cm="1">
        <f t="array" ref="DZ157">IF($CC157=0,0,$DV157*_xlfn.XLOOKUP($CC157,Premises!$A$10:$F$10,IF(INDEX(Settings[],MATCH(3002,Settings[ID],0),2)="B",Premises!$A$36:$F$36,Premises!$A$34:$F$34))/100)</f>
        <v>0</v>
      </c>
      <c r="EA157" s="650">
        <f>IF($CC157=0,0,SUM($DV157:$DZ157)*_xlfn.XLOOKUP($CC157,Premises!$A$10:$F$10,Premises!$A$37:$F$37)/100)</f>
        <v>0</v>
      </c>
      <c r="EB157" s="651">
        <f t="shared" si="431"/>
        <v>0</v>
      </c>
      <c r="EC157" s="805"/>
      <c r="ED157" s="1104"/>
      <c r="EE157" s="650"/>
      <c r="EF157" s="1110"/>
      <c r="EG157" s="1108"/>
      <c r="EH157" s="1108"/>
      <c r="EI157" s="1108"/>
      <c r="EJ157" s="1108"/>
      <c r="EK157" s="1108"/>
      <c r="EL157" s="1108"/>
      <c r="EM157" s="1110"/>
      <c r="EN157" s="1108"/>
      <c r="EO157" s="1108"/>
      <c r="EP157" s="1108"/>
      <c r="EQ157" s="1108"/>
      <c r="ER157" s="1110"/>
      <c r="ES157" s="1108"/>
      <c r="ET157" s="1108"/>
      <c r="EU157" s="1108"/>
      <c r="EV157" s="1108"/>
      <c r="EW157" s="1108"/>
      <c r="EX157" s="1111"/>
      <c r="EY157" s="2"/>
      <c r="EZ157" s="2"/>
      <c r="FA157" s="2"/>
      <c r="FB157" s="2"/>
      <c r="FC157" s="2"/>
      <c r="FD157" s="2"/>
      <c r="FE157" s="2"/>
      <c r="FF157" s="2"/>
      <c r="FG157" s="2"/>
      <c r="FH157" s="2"/>
      <c r="FI157" s="2"/>
      <c r="FJ157" s="420"/>
      <c r="FK157" s="421"/>
      <c r="FL157" s="422"/>
      <c r="FM157" s="970"/>
    </row>
    <row r="158" spans="1:169" s="13" customFormat="1" ht="12.75" customHeight="1">
      <c r="A158" s="221"/>
      <c r="B158" s="387" t="str">
        <f>BOM!$A$20</f>
        <v xml:space="preserve">01-01-03-13 Light Guide </v>
      </c>
      <c r="C158" s="388"/>
      <c r="D158" s="389" cm="1">
        <f t="array" ref="D158">IF($CG158=0,0,INDEX(BOM!$N:$N,$CG158))</f>
        <v>1</v>
      </c>
      <c r="E158" s="644" t="s">
        <v>664</v>
      </c>
      <c r="F158" s="644" t="s">
        <v>664</v>
      </c>
      <c r="G158" s="644" t="s">
        <v>664</v>
      </c>
      <c r="H158" s="644" t="s">
        <v>664</v>
      </c>
      <c r="I158" s="644" t="s">
        <v>664</v>
      </c>
      <c r="J158" s="644" t="s">
        <v>664</v>
      </c>
      <c r="K158" s="644" t="s">
        <v>664</v>
      </c>
      <c r="L158" s="644" t="s">
        <v>664</v>
      </c>
      <c r="M158" s="644" t="s">
        <v>664</v>
      </c>
      <c r="N158" s="644" t="s">
        <v>664</v>
      </c>
      <c r="O158" s="644" t="s">
        <v>664</v>
      </c>
      <c r="P158" s="644" t="s">
        <v>664</v>
      </c>
      <c r="Q158" s="644" t="s">
        <v>664</v>
      </c>
      <c r="R158" s="644" t="s">
        <v>664</v>
      </c>
      <c r="S158" s="644" t="s">
        <v>664</v>
      </c>
      <c r="T158" s="644" t="s">
        <v>664</v>
      </c>
      <c r="U158" s="644" t="s">
        <v>664</v>
      </c>
      <c r="V158" s="644" t="s">
        <v>664</v>
      </c>
      <c r="W158" s="644" t="s">
        <v>664</v>
      </c>
      <c r="X158" s="644" t="s">
        <v>664</v>
      </c>
      <c r="Y158" s="644" t="s">
        <v>664</v>
      </c>
      <c r="Z158" s="644" t="s">
        <v>664</v>
      </c>
      <c r="AA158" s="644" t="s">
        <v>664</v>
      </c>
      <c r="AB158" s="644" t="s">
        <v>664</v>
      </c>
      <c r="AC158" s="644" t="s">
        <v>664</v>
      </c>
      <c r="AD158" s="644" t="s">
        <v>664</v>
      </c>
      <c r="AE158" s="644" t="s">
        <v>664</v>
      </c>
      <c r="AF158" s="644" t="s">
        <v>664</v>
      </c>
      <c r="AG158" s="644" t="s">
        <v>664</v>
      </c>
      <c r="AH158" s="644" t="s">
        <v>664</v>
      </c>
      <c r="AI158" s="644" t="s">
        <v>664</v>
      </c>
      <c r="AJ158" s="644" t="s">
        <v>664</v>
      </c>
      <c r="AK158" s="644" t="s">
        <v>664</v>
      </c>
      <c r="AL158" s="644" t="s">
        <v>664</v>
      </c>
      <c r="AM158" s="644" t="s">
        <v>664</v>
      </c>
      <c r="AN158" s="644" t="s">
        <v>664</v>
      </c>
      <c r="AO158" s="644" t="s">
        <v>664</v>
      </c>
      <c r="AP158" s="644" t="s">
        <v>664</v>
      </c>
      <c r="AQ158" s="644" t="s">
        <v>664</v>
      </c>
      <c r="AR158" s="644" t="s">
        <v>664</v>
      </c>
      <c r="AS158" s="644" t="s">
        <v>664</v>
      </c>
      <c r="AT158" s="644" t="s">
        <v>664</v>
      </c>
      <c r="AU158" s="644" t="s">
        <v>664</v>
      </c>
      <c r="AV158" s="644" t="s">
        <v>664</v>
      </c>
      <c r="AW158" s="644" t="s">
        <v>664</v>
      </c>
      <c r="AX158" s="644" t="s">
        <v>664</v>
      </c>
      <c r="AY158" s="644" t="s">
        <v>664</v>
      </c>
      <c r="AZ158" s="644" t="s">
        <v>664</v>
      </c>
      <c r="BA158" s="644" t="s">
        <v>664</v>
      </c>
      <c r="BB158" s="644" t="s">
        <v>664</v>
      </c>
      <c r="BC158" s="644" t="s">
        <v>664</v>
      </c>
      <c r="BD158" s="644" t="s">
        <v>664</v>
      </c>
      <c r="BE158" s="644" t="s">
        <v>664</v>
      </c>
      <c r="BF158" s="644" t="s">
        <v>664</v>
      </c>
      <c r="BG158" s="644" t="s">
        <v>664</v>
      </c>
      <c r="BH158" s="644" t="s">
        <v>664</v>
      </c>
      <c r="BI158" s="644" t="s">
        <v>664</v>
      </c>
      <c r="BJ158" s="644" t="s">
        <v>664</v>
      </c>
      <c r="BK158" s="644" t="s">
        <v>664</v>
      </c>
      <c r="BL158" s="644" t="s">
        <v>664</v>
      </c>
      <c r="BM158" s="644" t="s">
        <v>664</v>
      </c>
      <c r="BN158" s="644" t="s">
        <v>664</v>
      </c>
      <c r="BO158" s="644" t="s">
        <v>664</v>
      </c>
      <c r="BP158" s="644" t="s">
        <v>664</v>
      </c>
      <c r="BQ158" s="644" t="s">
        <v>664</v>
      </c>
      <c r="BR158" s="644" t="s">
        <v>664</v>
      </c>
      <c r="BS158" s="920">
        <f>SUM(INDEX($BS:$BS,ROW()+1):INDEX($BS:$BS,$CE158))</f>
        <v>9.0765470420262978E-2</v>
      </c>
      <c r="BT158" s="920">
        <f>SUM(INDEX($BT:$BT,ROW()+1):INDEX($BT:$BT,$CE158))</f>
        <v>9.0765470420262978E-2</v>
      </c>
      <c r="BU158" s="644" t="s">
        <v>664</v>
      </c>
      <c r="BV158" s="643">
        <f>SUMPRODUCT($BS158:INDEX($BS:$BS,$CE158),$BU158:INDEX($BU:$BU,$CE158))</f>
        <v>9.0765470420262978E-2</v>
      </c>
      <c r="BW158" s="390">
        <f>$D158*$BV158</f>
        <v>9.0765470420262978E-2</v>
      </c>
      <c r="BX158" s="816" cm="1">
        <f t="array" ref="BX158">IF($CG158=0,0,IF(INDEX(BOM!$P:$P,$CG158)=0,0,
SUMPRODUCT($BW158:INDEX($BW:$BW,IFERROR(ROW()+MATCH($CL158,INDEX($CL:$CL,ROW()+1):INDEX($CL:$CL,MAX($CE:$CE)),0)-1,MAX($CE:$CE))),
($CL158:INDEX($CL:$CL,IFERROR(ROW()+MATCH($CL158,INDEX($CL:$CL,ROW()+1):INDEX($CL:$CL,MAX($CE:$CE)),0)-1,MAX($CE:$CE)))&gt;=$CL158)*1)
))</f>
        <v>0</v>
      </c>
      <c r="BY158" s="391"/>
      <c r="BZ158" s="392" cm="1">
        <f t="array" ref="BZ158">IF($CG158=0,0,INDEX(BOM!$M:$M,$CG158))</f>
        <v>1</v>
      </c>
      <c r="CA158" s="280">
        <f>IF($BZ158&gt;0,VALUE(LEFT($BZ158,IF(ISERROR(FIND("-",$BZ158)),LEN($BZ158),FIND("-",$BZ158)-1))),INDEX($BZ$1:BZ158,MATCH("",$A$1:A158,-1)))</f>
        <v>1</v>
      </c>
      <c r="CB158" s="280">
        <f>IF(LEN($BZ158)-LEN(SUBSTITUTE($BZ158,"-",))&gt;1,
VALUE(MID($BZ158,FIND("-",$BZ158)+1,FIND("-",$BZ158,FIND("-",$BZ158)+1)-FIND("-",$BZ158)-1)),0)</f>
        <v>0</v>
      </c>
      <c r="CC158" s="280">
        <f>IF(NOT(ISERROR(FIND("-",BZ158))),
VALUE(RIGHT($BZ158,LEN($BZ158)-IF(LEN($BZ158)-LEN(SUBSTITUTE($BZ158,"-",""))=1,FIND("-",$BZ158),FIND("-",$BZ158,FIND("-",$BZ158)+1)))),0)</f>
        <v>0</v>
      </c>
      <c r="CD158" s="393"/>
      <c r="CE158" s="280" cm="1">
        <f t="array" ref="CE158">ROW()+MATCH(TRUE,_xlfn.ISFORMULA(INDEX(BW:BW,ROW()+1):INDEX(BW:BW,ROW()+MaxNumberOfRowsPerBlock)),0)-1</f>
        <v>162</v>
      </c>
      <c r="CF158" s="394" cm="1">
        <f t="array" ref="CF158">IF(CL158=0,-1,IF(CL158=1,7,MAX(IF($CL$1:$CL158=CL158-1,ROW($CL$1:$CL158),0))))</f>
        <v>49</v>
      </c>
      <c r="CG158" s="393">
        <f>IFERROR(MATCH($B158,BOM!$A:$A,0),0)</f>
        <v>20</v>
      </c>
      <c r="CH158" s="280">
        <f>MATCH($CA158,Premises!$A$10:$F$10,0)</f>
        <v>4</v>
      </c>
      <c r="CI158" s="280"/>
      <c r="CJ158" s="394"/>
      <c r="CK158" s="280"/>
      <c r="CL158" s="280" cm="1">
        <f t="array" ref="CL158">IF($CG158=0,0,INDEX(BOM!$C:$C,$CG158))</f>
        <v>4</v>
      </c>
      <c r="CM158" s="395" cm="1">
        <f t="array" ref="CM158">IF($CG158=0,0,IF(OR($CF158&lt;0,AND(INDEX($CB:$CB,$CF158)=$CB158,INDEX($CC:$CC,$CF158)=$CC158)),0,IF(INDEX(BOM!$P:$P,$CG158)=0,$BT158,(SUMIF($CA158:INDEX($CA:$CA,IFERROR(ROW()+MATCH($CL158,INDEX($CL:$CL,ROW()+1):INDEX($CL:$CL,MAX($CE:$CE)),0)-1,MAX($CE:$CE))),$CA158,$BT158:INDEX($BT:$BT,IFERROR(ROW()+MATCH($CL158,INDEX($CL:$CL,ROW()+1):INDEX($CL:$CL,MAX($CE:$CE)),0)-1,MAX($CE:$CE))))+SUMIF($CB158:INDEX($CB:$CB,IFERROR(ROW()+MATCH($CL158,INDEX($CL:$CL,ROW()+1):INDEX($CL:$CL,MAX($CE:$CE)),0)-1,MAX($CE:$CE))),$CA158,$BT158:INDEX($BT:$BT,IFERROR(ROW()+MATCH($CL158,INDEX($CL:$CL,ROW()+1):INDEX($CL:$CL,MAX($CE:$CE)),0)-1,MAX($CE:$CE)))))/2)))</f>
        <v>0</v>
      </c>
      <c r="CN158" s="396" cm="1">
        <f t="array" ref="CN158">IFERROR(IF($CB158=0,0,IF($CM158=0,INDEX($CN$1:$CN158,$CF158),INDEX(IF($CM158&lt;0.2,Premises!$A$43:$F$43,IF($CM158&lt;5,Premises!$A$46:$F$46,Premises!$A$49:$F$49)),MATCH($CB158,Premises!$A$10:$F$10,0))/($CM158*INDEX(Premises!$A$13:$F$13,MATCH($CB158,Premises!$A$10:$F$10,0)))+INDEX(IF($CM158&lt;0.2,Premises!$A$44:$F$44,IF($CM158&lt;5,Premises!$A$47:$F$47,Premises!$A$50:$F$50)),MATCH($CB158,Premises!$A$10:$F$10,0))+INDEX(IF($CM158&lt;0.2,Premises!$A$45:$F$45,IF($CM158&lt;5,Premises!$A$48:$F$48,Premises!$A$51:$F$51)),MATCH($CB158,Premises!$A$10:$F$10,0))/$CM158)),0.01)</f>
        <v>0</v>
      </c>
      <c r="CO158" s="395" cm="1">
        <f t="array" ref="CO158">IF($CG158=0,0,IF(INDEX($CC:$CC,$CF158)=$CC158,0,$CM158*(1+IFERROR(INDEX(Premises!$A$52:$F$52,1,MATCH($CB158,Premises!$A$10:$F$10,0)),0)+$CN158)))</f>
        <v>0</v>
      </c>
      <c r="CP158" s="396" cm="1">
        <f t="array" ref="CP158">IFERROR(IF($CC158=0,0,IF($CO158=0,INDEX($CP$1:$CP158,$CF158),INDEX(IF($CO158&lt;0.2,Premises!$A$43:$F$43,IF($CO158&lt;5,Premises!$A$46:$F$46,Premises!$A$49:$F$49)),MATCH($CC158,Premises!$A$10:$F$10,0))/($CO158*INDEX(Premises!$A$13:$F$13,MATCH($CC158,Premises!$A$10:$F$10,0)))+INDEX(IF($CO158&lt;0.2,Premises!$A$44:$F$44,IF($CO158&lt;5,Premises!$A$47:$F$47,Premises!$A$50:$F$50)),MATCH($CC158,Premises!$A$10:$F$10,0))+INDEX(IF($CO158&lt;0.2,Premises!$A$45:$F$45,IF($CO158&lt;5,Premises!$A$48:$F$48,Premises!$A$51:$F$51)),MATCH($CC158,Premises!$A$10:$F$10,0))/$CO158)),0.01)</f>
        <v>0</v>
      </c>
      <c r="CQ158" s="397" cm="1">
        <f t="array" ref="CQ158">IF(AND($CM158=0,$CO158=0),0,INDEX(BOM!$O:$O,$CG158))</f>
        <v>0</v>
      </c>
      <c r="CR158" s="398" cm="1">
        <f t="array" ref="CR158">IF(OR($CM158=0,$CN158=0),0,ACOS(COS(RADIANS(90-INDEX(Premises!$A$66:$F$66,1,$CH158)))*COS(RADIANS(90-INDEX(Premises!$A$66:$F$66,1,MATCH($CB158,Premises!$A$10:$F$10,0))))
+SIN(RADIANS(90-INDEX(Premises!$A$66:$F$66,1,$CH158)))*SIN(RADIANS(90-INDEX(Premises!$A$66:$F$66,1,MATCH($CB158,Premises!$A$10:$F$10,0)))) * COS(RADIANS(INDEX(Premises!$A$67:$F$67,1,$CH158)-INDEX(Premises!$A$67:$F$67,1,MATCH($CB158,Premises!$A$10:$F$10,0)))))*6371)</f>
        <v>0</v>
      </c>
      <c r="CS158" s="398" cm="1">
        <f t="array" ref="CS158">IF(OR($CO158=0,$CP158=0),0,
IF($CR158=0,ACOS(COS(RADIANS(90-INDEX(Premises!$A$66:$F$66,1,$CH158)))*COS(RADIANS(90-INDEX(Premises!$A$66:$F$66,1,MATCH($CC158,Premises!$A$10:$F$10,0))))
+SIN(RADIANS(90-INDEX(Premises!$A$66:$F$66,1,$CH158)))*SIN(RADIANS(90-INDEX(Premises!$A$66:$F$66,1,MATCH($CC158,Premises!$A$10:$F$10,0))))*COS(RADIANS(INDEX(Premises!$A$67:$F$67,1,$CH158)-INDEX(Premises!$A$67:$F$67,1,MATCH($CC158,Premises!$A$10:$F$10,0)))))*6371,
ACOS(COS(RADIANS(90-INDEX(Premises!$A$66:$F$66,1,MATCH($CB158,Premises!$A$10:$F$10,0))))*COS(RADIANS(90-INDEX(Premises!$A$66:$F$66,1,MATCH($CC158,Premises!$A$10:$F$10,0))))
+SIN(RADIANS(90-INDEX(Premises!$A$66:$F$66,1,MATCH($CB158,Premises!$A$10:$F$10,0))))*SIN(RADIANS(90-INDEX(Premises!$A$66:$F$66,1,MATCH($CC158,Premises!$A$10:$F$10,0))))*COS(RADIANS(INDEX(Premises!$A$67:$F$67,1,MATCH($CB158,Premises!$A$10:$F$10,0))-INDEX(Premises!$A$67:$F$67,1,MATCH($CC158,Premises!$A$10:$F$10,0)))))*6371))</f>
        <v>0</v>
      </c>
      <c r="CT158" s="969"/>
      <c r="CU158" s="2"/>
      <c r="CV158" s="399">
        <f>SUM(INDEX(CV:CV,ROW()+1):INDEX(CV:CV,$CE158))</f>
        <v>7.3841607235119039E-3</v>
      </c>
      <c r="CW158" s="400">
        <f>SUM(INDEX(CW:CW,ROW()+1):INDEX(CW:CW,$CE158))</f>
        <v>3.0473929850934577E-3</v>
      </c>
      <c r="CX158" s="400">
        <f>SUM(INDEX(CX:CX,ROW()+1):INDEX(CX:CX,$CE158))</f>
        <v>2.6181562500000003E-3</v>
      </c>
      <c r="CY158" s="400">
        <f>SUM(INDEX(CY:CY,ROW()+1):INDEX(CY:CY,$CE158))</f>
        <v>0</v>
      </c>
      <c r="CZ158" s="400">
        <f>SUM(INDEX(CZ:CZ,ROW()+1):INDEX(CZ:CZ,$CE158))</f>
        <v>0</v>
      </c>
      <c r="DA158" s="400">
        <f>SUM(INDEX(DA:DA,ROW()+1):INDEX(DA:DA,$CE158))</f>
        <v>1.0002316973511904E-4</v>
      </c>
      <c r="DB158" s="400">
        <f>SUM(INDEX(DB:DB,ROW()+1):INDEX(DB:DB,$CE158))</f>
        <v>4.5390894089286952E-3</v>
      </c>
      <c r="DC158" s="400">
        <f>SUM(INDEX(DC:DC,ROW()+1):INDEX(DC:DC,$CE158))</f>
        <v>1.7688822537269177E-2</v>
      </c>
      <c r="DD158" s="400">
        <f>SUM(INDEX(DD:DD,ROW()+1):INDEX(DD:DD,$CE158))</f>
        <v>5.8367999999999996E-2</v>
      </c>
      <c r="DE158" s="400">
        <f>SUM(INDEX(DE:DE,ROW()+1):INDEX(DE:DE,$CE158))</f>
        <v>5.8367999999999994E-4</v>
      </c>
      <c r="DF158" s="400">
        <f>SUM(INDEX(DF:DF,ROW()+1):INDEX(DF:DF,$CE158))</f>
        <v>0</v>
      </c>
      <c r="DG158" s="400">
        <f>SUM(INDEX(DG:DG,ROW()+1):INDEX(DG:DG,$CE158))</f>
        <v>5.8951679999999999E-2</v>
      </c>
      <c r="DH158" s="400">
        <f>SUM(INDEX(DH:DH,ROW()+1):INDEX(DH:DH,$CE158))</f>
        <v>7.6640502537269173E-2</v>
      </c>
      <c r="DI158" s="400">
        <f>SUM(INDEX(DI:DI,ROW()+1):INDEX(DI:DI,$CE158))</f>
        <v>0</v>
      </c>
      <c r="DJ158" s="400">
        <f>SUM(INDEX(DJ:DJ,ROW()+1):INDEX(DJ:DJ,$CE158))</f>
        <v>0</v>
      </c>
      <c r="DK158" s="400">
        <f>SUM(INDEX(DK:DK,ROW()+1):INDEX(DK:DK,$CE158))</f>
        <v>9.5675599209417567E-3</v>
      </c>
      <c r="DL158" s="400">
        <f>SUM(INDEX(DL:DL,ROW()+1):INDEX(DL:DL,$CE158))</f>
        <v>0</v>
      </c>
      <c r="DM158" s="400">
        <f>SUM(INDEX(DM:DM,ROW()+1):INDEX(DM:DM,$CE158))</f>
        <v>0</v>
      </c>
      <c r="DN158" s="400">
        <f>SUM(INDEX(DN:DN,ROW()+1):INDEX(DN:DN,$CE158))</f>
        <v>4.5574079620520434E-3</v>
      </c>
      <c r="DO158" s="400">
        <f>SUM(INDEX(DO:DO,ROW()+1):INDEX(DO:DO,$CE158))</f>
        <v>0</v>
      </c>
      <c r="DP158" s="400">
        <f>SUM(INDEX(DP:DP,ROW()+1):INDEX(DP:DP,$CE158))</f>
        <v>9.0765470420262978E-2</v>
      </c>
      <c r="DQ158" s="400">
        <f>SUM(INDEX(DQ:DQ,ROW()+1):INDEX(DQ:DQ,$CE158))</f>
        <v>0</v>
      </c>
      <c r="DR158" s="400">
        <f>SUM(INDEX(DR:DR,ROW()+1):INDEX(DR:DR,$CE158))</f>
        <v>0</v>
      </c>
      <c r="DS158" s="400">
        <f>SUM(INDEX(DS:DS,ROW()+1):INDEX(DS:DS,$CE158))</f>
        <v>0</v>
      </c>
      <c r="DT158" s="400">
        <f>SUM(INDEX(DT:DT,ROW()+1):INDEX(DT:DT,$CE158))</f>
        <v>0</v>
      </c>
      <c r="DU158" s="400">
        <f>SUM(INDEX(DU:DU,ROW()+1):INDEX(DU:DU,$CE158))</f>
        <v>0</v>
      </c>
      <c r="DV158" s="400">
        <f>SUM(INDEX(DV:DV,ROW()+1):INDEX(DV:DV,$CE158))</f>
        <v>9.0765470420262978E-2</v>
      </c>
      <c r="DW158" s="400">
        <f>SUM(INDEX(DW:DW,ROW()+1):INDEX(DW:DW,$CE158))</f>
        <v>0</v>
      </c>
      <c r="DX158" s="400">
        <f>SUM(INDEX(DX:DX,ROW()+1):INDEX(DX:DX,$CE158))</f>
        <v>0</v>
      </c>
      <c r="DY158" s="400">
        <f>SUM(INDEX(DY:DY,ROW()+1):INDEX(DY:DY,$CE158))</f>
        <v>0</v>
      </c>
      <c r="DZ158" s="400">
        <f>SUM(INDEX(DZ:DZ,ROW()+1):INDEX(DZ:DZ,$CE158))</f>
        <v>0</v>
      </c>
      <c r="EA158" s="400">
        <f>SUM(INDEX(EA:EA,ROW()+1):INDEX(EA:EA,$CE158))</f>
        <v>0</v>
      </c>
      <c r="EB158" s="401">
        <f>SUM(INDEX(EB:EB,ROW()+1):INDEX(EB:EB,$CE158))</f>
        <v>9.0765470420262978E-2</v>
      </c>
      <c r="EC158" s="805"/>
      <c r="ED158" s="399"/>
      <c r="EE158" s="400"/>
      <c r="EF158" s="1112"/>
      <c r="EG158" s="1112"/>
      <c r="EH158" s="1112"/>
      <c r="EI158" s="1112"/>
      <c r="EJ158" s="1112"/>
      <c r="EK158" s="1112"/>
      <c r="EL158" s="1112"/>
      <c r="EM158" s="1112"/>
      <c r="EN158" s="1112"/>
      <c r="EO158" s="1112"/>
      <c r="EP158" s="1112"/>
      <c r="EQ158" s="1112"/>
      <c r="ER158" s="1112"/>
      <c r="ES158" s="1112"/>
      <c r="ET158" s="1112"/>
      <c r="EU158" s="1112"/>
      <c r="EV158" s="1112"/>
      <c r="EW158" s="1112"/>
      <c r="EX158" s="1113"/>
      <c r="EY158" s="2"/>
      <c r="EZ158" s="2"/>
      <c r="FA158" s="2"/>
      <c r="FB158" s="2"/>
      <c r="FC158" s="2"/>
      <c r="FD158" s="2"/>
      <c r="FE158" s="2"/>
      <c r="FF158" s="2"/>
      <c r="FG158" s="2"/>
      <c r="FH158" s="2"/>
      <c r="FI158" s="2"/>
      <c r="FJ158" s="399"/>
      <c r="FK158" s="400"/>
      <c r="FL158" s="401"/>
      <c r="FM158" s="969"/>
    </row>
    <row r="159" spans="1:169" s="13" customFormat="1" ht="12.75" customHeight="1">
      <c r="A159" s="221"/>
      <c r="B159" s="402" t="s">
        <v>34</v>
      </c>
      <c r="C159" s="403"/>
      <c r="D159" s="646"/>
      <c r="E159" s="404"/>
      <c r="F159" s="405"/>
      <c r="G159" s="405"/>
      <c r="H159" s="405"/>
      <c r="I159" s="637" cm="1">
        <f t="array" ref="I159">IF($CI159=0,0,IFERROR(INDEX(MHR[],$CI159,MATCH($CA159,MHR!$B$4:$AY$4,0)),0))</f>
        <v>0</v>
      </c>
      <c r="J159" s="634">
        <f>IF(COUNTBLANK($E159:$H159),0,IFERROR($F159/$H159/IF($G159="s",3600,IF($G159="min",60,IF($G159="h",1,0)))*I159,0))</f>
        <v>0</v>
      </c>
      <c r="K159" s="406"/>
      <c r="L159" s="407"/>
      <c r="M159" s="871"/>
      <c r="N159" s="407"/>
      <c r="O159" s="405"/>
      <c r="P159" s="645" cm="1">
        <f t="array" ref="P159">IF($K159=0,0,IFERROR(ROUNDUP(IF(ISNUMBER($K159),$K159,INDEX($D$1:$D159,$CD159)*INDEX(Premises!$A$13:$F$13,1,$CH159)/IF(OR($K159="T",$K159="D"),250,IF($K159="W",50,IF($K159="M",12,IF(OR($K159="HJ",$K159="HY"),2,IF(OR($K159="J",$K159="Y"),1,0)))))),0),0))</f>
        <v>0</v>
      </c>
      <c r="Q159" s="637" cm="1">
        <f t="array" ref="Q159">IF($K159=0,0,IFERROR(INDEX(Premises!$A$22:$F$22,1,$CH159)*100/INDEX(Premises!$A$16:$F$16,1,$CH159),0))</f>
        <v>0</v>
      </c>
      <c r="R159" s="634">
        <f>IF($P159=0,0,IFERROR(($L159/60*($I159+$Q159*$M159)+($N159/60*($Q159*$O159)))/$P159,0))</f>
        <v>0</v>
      </c>
      <c r="S159" s="408"/>
      <c r="T159" s="409"/>
      <c r="U159" s="637" cm="1">
        <f t="array" ref="U159">IF(COUNTBLANK($S159:$T159),0,
IF(AND(INDEX(MHR[Schichtmodell],$CI159)&lt;&gt;0,INDEX(MHR[Schichtmodell],$CI159)&lt;&gt;INDEX(Premises!$A$20:$F$20,1,$CH159)),ExchangeRate*
IF(OR($T159="M",$T159="U"),IF(INDEX(MHR[Schichtmodell],$CI159)=1,INDEX(LOC[M1S],INDEX(Premises!$A$18:$F$18,1,$CH159+1)),IF(INDEX(MHR[Schichtmodell],$CI159)=2,INDEX(LOC[M2S],INDEX(Premises!$A$18:$F$18,1,$CH159+1),IF(INDEX(MHR[Schichtmodell],$CI159)=3,INDEX(LOC[M3S],INDEX(Premises!$A$18:$F$18,1,$CH159+1)),0)))),
IF(INDEX(MHR[Schichtmodell],$CI159)=1,INDEX(LOC[F1S],INDEX(Premises!$A$18:$F$18,1,$CH159+1)),IF(INDEX(MHR[Schichtmodell],$CI159)=2,INDEX(LOC[F2S],INDEX(Premises!$A$18:$F$18,1,$CH159+1)),IF(INDEX(MHR[Schichtmodell],$CI159)=3,INDEX(LOC[F3S],INDEX(Premises!$A$18:$F$18,1,$CH159+1)),0)))),
IF(OR($T159="M",$T159="U"),INDEX(Premises!$A$21:$F$21,1,$CH159),
IF(OR($T159="F",$T159="S"),INDEX(Premises!$A$22:$F$22,1,$CH159),0)))*100/INDEX(Premises!$A$16:$F$16,1,$CH159))</f>
        <v>0</v>
      </c>
      <c r="V159" s="631">
        <f>IF($U159=0,0,IFERROR($F159/$H159/IF($G159="s",3600,IF($G159="min",60,IF($G159="h",1,0)))*$S159*$U159,0))</f>
        <v>0</v>
      </c>
      <c r="W159" s="410"/>
      <c r="X159" s="403"/>
      <c r="Y159" s="411"/>
      <c r="Z159" s="412"/>
      <c r="AA159" s="628">
        <f>IFERROR($X159*$Z159/$Y159/MAX(1,$H159),0)</f>
        <v>0</v>
      </c>
      <c r="AB159" s="410"/>
      <c r="AC159" s="403"/>
      <c r="AD159" s="411"/>
      <c r="AE159" s="413"/>
      <c r="AF159" s="628">
        <f>IFERROR($AC159*$AE159/$AD159,0)</f>
        <v>0</v>
      </c>
      <c r="AG159" s="629" cm="1">
        <f t="array" ref="AG159">IF(($J159+$V159+$AF159)=0,0,INDEX(Premises!$A$30:$F$30,1,$CH159)/100)</f>
        <v>0</v>
      </c>
      <c r="AH159" s="414"/>
      <c r="AI159" s="415"/>
      <c r="AJ159" s="416"/>
      <c r="AK159" s="630">
        <f>IF(COUNTBLANK($AH159:$AI159),0,$AH159*$AI159*$AG159)</f>
        <v>0</v>
      </c>
      <c r="AL159" s="631">
        <f>($AK159+$AJ159*$AG159*(1-$AH159)+($J159+$V159+$AF159)*$AG159*(1-$AH159))</f>
        <v>0</v>
      </c>
      <c r="AM159" s="632" cm="1">
        <f t="array" ref="AM159">IF($CI159=0,0,IFERROR(INDEX(MHR[],$CI159,MATCH($CA159,MHR!$B$4:$AY$4,0)+11),0))</f>
        <v>0</v>
      </c>
      <c r="AN159" s="633" cm="1">
        <f t="array" ref="AN159">IF(($J159+$V159)=0,0,IFERROR(IF(INDEX(Premises!$A$41:$F$41,1,$CH159)&lt;&gt;0,INDEX(Premises!$A$41:$F$41,1,$CH159)/100,(IFERROR(($J159/$I159)*$AM159,0)/($V159+$J159+$R159+$AL159))),0))</f>
        <v>0</v>
      </c>
      <c r="AO159" s="634">
        <f>IF(($J159+$V159)=0,0,IF(IFERROR(($J159+$R159+$V159+$AL159)*$AN159,0)&lt;&gt;IFERROR(($J159/$I159)*$AM159,0),($J159+$R159+$V159+$AL159)*$AN159,IFERROR(($J159/$I159)*$AM159,0)))</f>
        <v>0</v>
      </c>
      <c r="AP159" s="635">
        <f>$V159+$J159+$R159+$AA159+$AF159+$AL159+$AO159</f>
        <v>0</v>
      </c>
      <c r="AQ159" s="410" t="str">
        <f>VLOOKUP($B158,BOM,5,0)</f>
        <v>PC Natur Standard</v>
      </c>
      <c r="AR159" s="409">
        <f>BOM!G20</f>
        <v>1.52E-2</v>
      </c>
      <c r="AS159" s="636" t="str" cm="1">
        <f t="array" ref="AS159">IF($CJ159=0,0,IFERROR(INDEX(MAT[Einheit],$CJ159,1),0))</f>
        <v>kg</v>
      </c>
      <c r="AT159" s="637" cm="1">
        <f t="array" ref="AT159">IF($CJ159=0,0,IFERROR(INDEX(MAT[Preis],$CJ159,1),0))</f>
        <v>3.84</v>
      </c>
      <c r="AU159" s="638">
        <f>$AR159*$AT159</f>
        <v>5.8367999999999996E-2</v>
      </c>
      <c r="AV159" s="639" cm="1">
        <f t="array" ref="AV159">IF($AU159&lt;=0,0,INDEX(Premises!$A$30:$F$30,1,$CH159)/100)</f>
        <v>0.01</v>
      </c>
      <c r="AW159" s="409"/>
      <c r="AX159" s="631">
        <f>IF($AV159=0,0,($AU159+$AW159)*$AV159)</f>
        <v>5.8367999999999994E-4</v>
      </c>
      <c r="AY159" s="640" cm="1">
        <f t="array" ref="AY159">IF($AT159&lt;=0,0,IFERROR(IF(INDEX(Premises!$A$42:$F$42,1,$CH159)&lt;&gt;0,INDEX(Premises!$A$42:$F$42,1,$CH159)/100,(INDEX(MAT[],$CJ159,MATCH($CA159,MAT!$B$4:$AE$4,0))/($AR159*$CK159*INDEX(Premises!$A$13:$F$13,1,$CH159))+INDEX(MAT[],$CJ159,MATCH($CA159,MAT!$B$4:$AE$4,0)+7))/$AT159),0))</f>
        <v>0</v>
      </c>
      <c r="AZ159" s="631">
        <f>IF($AY159=0,0,($AU159+$AX159)*$AY159)</f>
        <v>0</v>
      </c>
      <c r="BA159" s="635">
        <f>$AU159+$AX159+$AZ159</f>
        <v>5.8951679999999999E-2</v>
      </c>
      <c r="BB159" s="635">
        <f>$AP159+$BA159</f>
        <v>5.8951679999999999E-2</v>
      </c>
      <c r="BC159" s="639" cm="1">
        <f t="array" ref="BC159">IF($BB159&lt;=0,0,IF(BC$2=-1,0,INDEX(Premises!$A$32:$F$32,1,$CH159)/100))</f>
        <v>0</v>
      </c>
      <c r="BD159" s="631">
        <f>IF($AP159&lt;=0,0,($AP159-$AA159-$AL159)*$BC159)</f>
        <v>0</v>
      </c>
      <c r="BE159" s="639" cm="1">
        <f t="array" ref="BE159">IF($BB159&lt;=0,0,IF(BE$2=-1,0,INDEX(Premises!$A$33:$F$33,1,$CH159)/100))</f>
        <v>0</v>
      </c>
      <c r="BF159" s="631">
        <f>IF($BA159&lt;=0,0,$BA159*$BE159)</f>
        <v>0</v>
      </c>
      <c r="BG159" s="639" cm="1">
        <f t="array" ref="BG159">IF($BB159&lt;=0,0,IF(BG$2=-1,0,INDEX(Premises!$A$31:$F$31,1,$CH159)/100))</f>
        <v>0.125</v>
      </c>
      <c r="BH159" s="631">
        <f>(($AP159-$AA159-$AL159)+$BA159)*$BG159</f>
        <v>7.3689599999999999E-3</v>
      </c>
      <c r="BI159" s="635">
        <f>$BB159+$BD159+$BF159+$BH159</f>
        <v>6.632064E-2</v>
      </c>
      <c r="BJ159" s="639" cm="1">
        <f t="array" ref="BJ159">IF($BB159&lt;=0,0,IF(BJ$2=-1,0,INDEX(Premises!$A$35:$F$35,1,$CH159)/100))</f>
        <v>0</v>
      </c>
      <c r="BK159" s="631">
        <f>IF($AP159&lt;=0,0,($AP159-$AL159-$AA159)*$BJ159)</f>
        <v>0</v>
      </c>
      <c r="BL159" s="639" cm="1">
        <f t="array" ref="BL159">IF($BB159&lt;=0,0,IF(BL$2=-1,0,INDEX(Premises!$A$36:$F$36,1,$CH159)/100))</f>
        <v>0</v>
      </c>
      <c r="BM159" s="631">
        <f>IF($AU159&lt;=0,0,($AR159*$AT159)*$BL159)</f>
        <v>0</v>
      </c>
      <c r="BN159" s="639" cm="1">
        <f t="array" ref="BN159">IF($BB159&lt;=0,0,IF(BN$2=-1,0,INDEX(Premises!$A$34:$F$34,1,$CH159)/100))</f>
        <v>0.06</v>
      </c>
      <c r="BO159" s="631">
        <f>(($AP159-$AL159-$AA159)+($AR159*$AT159))*$BN159</f>
        <v>3.5020799999999999E-3</v>
      </c>
      <c r="BP159" s="639" cm="1">
        <f t="array" ref="BP159">IF($BI159=0,0,INDEX(Premises!$A$37:$F$37,1,$CH159)/100)</f>
        <v>0</v>
      </c>
      <c r="BQ159" s="409"/>
      <c r="BR159" s="631">
        <f>($BI159+$BK159+$BM159+$BO159)*$BP159+$BQ159</f>
        <v>0</v>
      </c>
      <c r="BS159" s="641">
        <f>BI159+BK159+BM159+BO159+BR159</f>
        <v>6.9822720000000005E-2</v>
      </c>
      <c r="BT159" s="641">
        <f>IF($BS159=0,0,$CK159*$BS159)</f>
        <v>6.9822720000000005E-2</v>
      </c>
      <c r="BU159" s="642">
        <f>IF($BT159=0,0,MAX(1,$EB159/$DP159))</f>
        <v>1</v>
      </c>
      <c r="BV159" s="417"/>
      <c r="BW159" s="418"/>
      <c r="BX159" s="418"/>
      <c r="BY159" s="419"/>
      <c r="BZ159" s="968"/>
      <c r="CA159" s="280" cm="1">
        <f t="array" ref="CA159">IF($BZ159&gt;0,VALUE(LEFT($BZ159,IF(ISERROR(FIND("-",$BZ159)),LEN($BZ159),FIND("-",$BZ159)-1))),INDEX($CA$1:$CA159,MAX(1,$CD159)))</f>
        <v>1</v>
      </c>
      <c r="CB159" s="280" cm="1">
        <f t="array" ref="CB159">IF($BT159=0,0,IF(LEN($BZ159)-LEN(SUBSTITUTE($BZ159,"-",""))&gt;1,
VALUE(MID($BZ159,FIND("-",$BZ159)+1,FIND("-",$BZ159,FIND("-",$BZ159)+1)-FIND("-",$BZ159)-1)),IF($BZ159&gt;0,0,INDEX($CB$1:$CB159,MAX(1,$CD159)))))</f>
        <v>0</v>
      </c>
      <c r="CC159" s="280" cm="1">
        <f t="array" ref="CC159">IF($BT159=0,0,IF(NOT(ISERROR(FIND("-",BZ159))),
VALUE(RIGHT($BZ159,LEN($BZ159)-IF(LEN($BZ159)-LEN(SUBSTITUTE($BZ159,"-",""))=1,FIND("-",$BZ159),FIND("-",$BZ159,FIND("-",$BZ159)+1)))),
IF($BZ159&gt;0,0,INDEX($CC$1:$CC159,MAX(1,$CD159)))))</f>
        <v>0</v>
      </c>
      <c r="CD159" s="393">
        <f>MATCH(0,$CE$1:$CE159,-1)</f>
        <v>158</v>
      </c>
      <c r="CE159" s="280"/>
      <c r="CF159" s="394"/>
      <c r="CG159" s="393" cm="1">
        <f t="array" ref="CG159">INDEX($CG$1:$CG159,$CD159)</f>
        <v>20</v>
      </c>
      <c r="CH159" s="280">
        <f>MATCH($CA159,Premises!$A$10:$F$10,0)</f>
        <v>4</v>
      </c>
      <c r="CI159" s="280">
        <f>IF(ISBLANK($E159),0,IFERROR(MATCH($E159,MHR[Bezeichnung],0),0))</f>
        <v>0</v>
      </c>
      <c r="CJ159" s="394">
        <f>IF(ISBLANK($AQ159),0,IFERROR(MATCH($AQ159,MAT[Bezeichnung],0),0))</f>
        <v>12</v>
      </c>
      <c r="CK159" s="280" cm="1">
        <f t="array" ref="CK159">INDEX($D$1:$D159,$CD159)</f>
        <v>1</v>
      </c>
      <c r="CL159" s="280"/>
      <c r="CM159" s="395"/>
      <c r="CN159" s="396" cm="1">
        <f t="array" ref="CN159">IF($CB159=0,0,IF($CB159=INDEX($CB$1:$CB159,$CD159),INDEX($CN$1:$CN159,$CD159),$CP159))</f>
        <v>0</v>
      </c>
      <c r="CO159" s="395"/>
      <c r="CP159" s="396" cm="1">
        <f t="array" ref="CP159">IF($CC159=0,0,INDEX($CP$1:$CP159,$CD159))</f>
        <v>0</v>
      </c>
      <c r="CQ159" s="397"/>
      <c r="CR159" s="398"/>
      <c r="CS159" s="398"/>
      <c r="CT159" s="970"/>
      <c r="CU159" s="2"/>
      <c r="CV159" s="647">
        <f>$J159*$CK159</f>
        <v>0</v>
      </c>
      <c r="CW159" s="648">
        <f>$R159*$CK159</f>
        <v>0</v>
      </c>
      <c r="CX159" s="648">
        <f>$V159*$CK159</f>
        <v>0</v>
      </c>
      <c r="CY159" s="648">
        <f>$AA159*$CK159</f>
        <v>0</v>
      </c>
      <c r="CZ159" s="648">
        <f>$AF159*$CK159</f>
        <v>0</v>
      </c>
      <c r="DA159" s="648">
        <f>$AL159*$CK159</f>
        <v>0</v>
      </c>
      <c r="DB159" s="648">
        <f>$AO159*$CK159</f>
        <v>0</v>
      </c>
      <c r="DC159" s="649">
        <f>$AP159*$CK159</f>
        <v>0</v>
      </c>
      <c r="DD159" s="648">
        <f>$AU159*$CK159</f>
        <v>5.8367999999999996E-2</v>
      </c>
      <c r="DE159" s="648">
        <f>$AX159*$CK159</f>
        <v>5.8367999999999994E-4</v>
      </c>
      <c r="DF159" s="648">
        <f>$AZ159*$CK159</f>
        <v>0</v>
      </c>
      <c r="DG159" s="649">
        <f>$BA159*$CK159</f>
        <v>5.8951679999999999E-2</v>
      </c>
      <c r="DH159" s="649">
        <f>$BB159*$CK159</f>
        <v>5.8951679999999999E-2</v>
      </c>
      <c r="DI159" s="648">
        <f>$BD159*$CK159</f>
        <v>0</v>
      </c>
      <c r="DJ159" s="648">
        <f>$BF159*$CK159</f>
        <v>0</v>
      </c>
      <c r="DK159" s="648">
        <f>$BH159*$CK159</f>
        <v>7.3689599999999999E-3</v>
      </c>
      <c r="DL159" s="648">
        <f>$BK159*$CK159</f>
        <v>0</v>
      </c>
      <c r="DM159" s="648">
        <f>$BM159*$CK159</f>
        <v>0</v>
      </c>
      <c r="DN159" s="648">
        <f>$BO159*$CK159</f>
        <v>3.5020799999999999E-3</v>
      </c>
      <c r="DO159" s="648">
        <f>$BR159*$CK159</f>
        <v>0</v>
      </c>
      <c r="DP159" s="651">
        <f>$CK159*($BB159+$BD159+$BF159+$BH159+$BK159+$BM159+$BO159+$BR159)</f>
        <v>6.9822720000000005E-2</v>
      </c>
      <c r="DQ159" s="951">
        <f>IF($CB159=0,0,$DP159*_xlfn.XLOOKUP($CB159,Premises!$A$10:$F$10,Premises!$A$30:$F$30)/100)</f>
        <v>0</v>
      </c>
      <c r="DR159" s="650">
        <f>IFERROR(SUM($DP159:$DQ159)*IF(INDEX(Premises!$A$42:$F$42,1,MATCH($CB159,Premises!$A$10:$F$10,0))&gt;0,INDEX(Premises!$A$42:$F$42,1,MATCH($CB159,Premises!$A$10:$F$10,0))%,$CN159),0)</f>
        <v>0</v>
      </c>
      <c r="DS159" s="650" cm="1">
        <f t="array" ref="DS159">IF($CB159=0,0,SUM($DP159:$DR159)*_xlfn.XLOOKUP($CB159,Premises!$A$10:$F$10,IF(INDEX(Settings[],MATCH(3001,Settings[ID],0),2)="B",Premises!$A$33:$F$33,Premises!$A$31:$F$31))/100)</f>
        <v>0</v>
      </c>
      <c r="DT159" s="650" cm="1">
        <f t="array" ref="DT159">IF($CB159=0,0,$DP159*_xlfn.XLOOKUP($CB159,Premises!$A$10:$F$10,IF(INDEX(Settings[],MATCH(3002,Settings[ID],0),2)="B",Premises!$A$36:$F$36,Premises!$A$34:$F$34))/100)</f>
        <v>0</v>
      </c>
      <c r="DU159" s="650">
        <f>IF($CB159=0,0,SUM($DP159:$DT159)*_xlfn.XLOOKUP($CB159,Premises!$A$10:$F$10,Premises!$A$37:$F$37)/100)</f>
        <v>0</v>
      </c>
      <c r="DV159" s="954">
        <f>SUM($DP159:$DU159)</f>
        <v>6.9822720000000005E-2</v>
      </c>
      <c r="DW159" s="951">
        <f>IF($CC159=0,0,$DV159*_xlfn.XLOOKUP($CC159,Premises!$A$10:$F$10,Premises!$A$30:$F$30)/100)</f>
        <v>0</v>
      </c>
      <c r="DX159" s="650">
        <f>IFERROR(SUM($DV159:$DW159)*IF(INDEX(Premises!$A$42:$F$42,1,MATCH($CC159,Premises!$A$10:$F$10,0))&gt;0,INDEX(Premises!$A$42:$F$42,1,MATCH($CC159,Premises!$A$10:$F$10,0))%,$CP159),0)</f>
        <v>0</v>
      </c>
      <c r="DY159" s="650" cm="1">
        <f t="array" ref="DY159">IF($CC159=0,0,SUM($DV159:$DX159)*_xlfn.XLOOKUP($CC159,Premises!$A$10:$F$10,IF(INDEX(Settings[],MATCH(3001,Settings[ID],0),2)="B",Premises!$A$33:$F$33,Premises!$A$31:$F$31))/100)</f>
        <v>0</v>
      </c>
      <c r="DZ159" s="650" cm="1">
        <f t="array" ref="DZ159">IF($CC159=0,0,$DV159*_xlfn.XLOOKUP($CC159,Premises!$A$10:$F$10,IF(INDEX(Settings[],MATCH(3002,Settings[ID],0),2)="B",Premises!$A$36:$F$36,Premises!$A$34:$F$34))/100)</f>
        <v>0</v>
      </c>
      <c r="EA159" s="650">
        <f>IF($CC159=0,0,SUM($DV159:$DZ159)*_xlfn.XLOOKUP($CC159,Premises!$A$10:$F$10,Premises!$A$37:$F$37)/100)</f>
        <v>0</v>
      </c>
      <c r="EB159" s="651">
        <f>SUM($DV159:$EA159)</f>
        <v>6.9822720000000005E-2</v>
      </c>
      <c r="EC159" s="805"/>
      <c r="ED159" s="1104"/>
      <c r="EE159" s="650"/>
      <c r="EF159" s="1110"/>
      <c r="EG159" s="1108"/>
      <c r="EH159" s="1108"/>
      <c r="EI159" s="1108"/>
      <c r="EJ159" s="1108"/>
      <c r="EK159" s="1108"/>
      <c r="EL159" s="1108"/>
      <c r="EM159" s="1110"/>
      <c r="EN159" s="1108"/>
      <c r="EO159" s="1108"/>
      <c r="EP159" s="1108"/>
      <c r="EQ159" s="1108"/>
      <c r="ER159" s="1110"/>
      <c r="ES159" s="1108"/>
      <c r="ET159" s="1108"/>
      <c r="EU159" s="1108"/>
      <c r="EV159" s="1108"/>
      <c r="EW159" s="1108"/>
      <c r="EX159" s="1111"/>
      <c r="EY159" s="2"/>
      <c r="EZ159" s="2"/>
      <c r="FA159" s="2"/>
      <c r="FB159" s="2"/>
      <c r="FC159" s="2"/>
      <c r="FD159" s="2"/>
      <c r="FE159" s="2"/>
      <c r="FF159" s="2"/>
      <c r="FG159" s="2"/>
      <c r="FH159" s="2"/>
      <c r="FI159" s="2"/>
      <c r="FJ159" s="420"/>
      <c r="FK159" s="421"/>
      <c r="FL159" s="422"/>
      <c r="FM159" s="970"/>
    </row>
    <row r="160" spans="1:169" s="13" customFormat="1" ht="12.75" customHeight="1">
      <c r="A160" s="221"/>
      <c r="B160" s="402"/>
      <c r="C160" s="403"/>
      <c r="D160" s="646"/>
      <c r="E160" s="404"/>
      <c r="F160" s="405"/>
      <c r="G160" s="405"/>
      <c r="H160" s="405"/>
      <c r="I160" s="637" cm="1">
        <f t="array" ref="I160">IF($CI160=0,0,IFERROR(INDEX(MHR[],$CI160,MATCH($CA160,MHR!$B$4:$AY$4,0)),0))</f>
        <v>0</v>
      </c>
      <c r="J160" s="634">
        <f>IF(COUNTBLANK($E160:$H160),0,IFERROR($F160/$H160/IF($G160="s",3600,IF($G160="min",60,IF($G160="h",1,0)))*I160,0))</f>
        <v>0</v>
      </c>
      <c r="K160" s="406"/>
      <c r="L160" s="407"/>
      <c r="M160" s="871"/>
      <c r="N160" s="407"/>
      <c r="O160" s="405"/>
      <c r="P160" s="645" cm="1">
        <f t="array" ref="P160">IF($K160=0,0,IFERROR(ROUNDUP(IF(ISNUMBER($K160),$K160,INDEX($D$1:$D160,$CD160)*INDEX(Premises!$A$13:$F$13,1,$CH160)/IF(OR($K160="T",$K160="D"),250,IF($K160="W",50,IF($K160="M",12,IF(OR($K160="HJ",$K160="HY"),2,IF(OR($K160="J",$K160="Y"),1,0)))))),0),0))</f>
        <v>0</v>
      </c>
      <c r="Q160" s="637" cm="1">
        <f t="array" ref="Q160">IF($K160=0,0,IFERROR(INDEX(Premises!$A$22:$F$22,1,$CH160)*100/INDEX(Premises!$A$16:$F$16,1,$CH160),0))</f>
        <v>0</v>
      </c>
      <c r="R160" s="634">
        <f>IF($P160=0,0,IFERROR(($L160/60*($I160+$Q160*$M160)+($N160/60*($Q160*$O160)))/$P160,0))</f>
        <v>0</v>
      </c>
      <c r="S160" s="408"/>
      <c r="T160" s="409"/>
      <c r="U160" s="637" cm="1">
        <f t="array" ref="U160">IF(COUNTBLANK($S160:$T160),0,
IF(AND(INDEX(MHR[Schichtmodell],$CI160)&lt;&gt;0,INDEX(MHR[Schichtmodell],$CI160)&lt;&gt;INDEX(Premises!$A$20:$F$20,1,$CH160)),ExchangeRate*
IF(OR($T160="M",$T160="U"),IF(INDEX(MHR[Schichtmodell],$CI160)=1,INDEX(LOC[M1S],INDEX(Premises!$A$18:$F$18,1,$CH160+1)),IF(INDEX(MHR[Schichtmodell],$CI160)=2,INDEX(LOC[M2S],INDEX(Premises!$A$18:$F$18,1,$CH160+1),IF(INDEX(MHR[Schichtmodell],$CI160)=3,INDEX(LOC[M3S],INDEX(Premises!$A$18:$F$18,1,$CH160+1)),0)))),
IF(INDEX(MHR[Schichtmodell],$CI160)=1,INDEX(LOC[F1S],INDEX(Premises!$A$18:$F$18,1,$CH160+1)),IF(INDEX(MHR[Schichtmodell],$CI160)=2,INDEX(LOC[F2S],INDEX(Premises!$A$18:$F$18,1,$CH160+1)),IF(INDEX(MHR[Schichtmodell],$CI160)=3,INDEX(LOC[F3S],INDEX(Premises!$A$18:$F$18,1,$CH160+1)),0)))),
IF(OR($T160="M",$T160="U"),INDEX(Premises!$A$21:$F$21,1,$CH160),
IF(OR($T160="F",$T160="S"),INDEX(Premises!$A$22:$F$22,1,$CH160),0)))*100/INDEX(Premises!$A$16:$F$16,1,$CH160))</f>
        <v>0</v>
      </c>
      <c r="V160" s="631">
        <f>IF($U160=0,0,IFERROR($F160/$H160/IF($G160="s",3600,IF($G160="min",60,IF($G160="h",1,0)))*$S160*$U160,0))</f>
        <v>0</v>
      </c>
      <c r="W160" s="410"/>
      <c r="X160" s="403"/>
      <c r="Y160" s="411"/>
      <c r="Z160" s="412"/>
      <c r="AA160" s="628">
        <f>IFERROR($X160*$Z160/$Y160/MAX(1,$H160),0)</f>
        <v>0</v>
      </c>
      <c r="AB160" s="410"/>
      <c r="AC160" s="403"/>
      <c r="AD160" s="411"/>
      <c r="AE160" s="413"/>
      <c r="AF160" s="628">
        <f>IFERROR($AC160*$AE160/$AD160,0)</f>
        <v>0</v>
      </c>
      <c r="AG160" s="629" cm="1">
        <f t="array" ref="AG160">IF(($J160+$V160+$AF160)=0,0,INDEX(Premises!$A$30:$F$30,1,$CH160)/100)</f>
        <v>0</v>
      </c>
      <c r="AH160" s="414"/>
      <c r="AI160" s="415"/>
      <c r="AJ160" s="416"/>
      <c r="AK160" s="630">
        <f>IF(COUNTBLANK($AH160:$AI160),0,$AH160*$AI160*$AG160)</f>
        <v>0</v>
      </c>
      <c r="AL160" s="631">
        <f>($AK160+$AJ160*$AG160*(1-$AH160)+($J160+$V160+$AF160)*$AG160*(1-$AH160))</f>
        <v>0</v>
      </c>
      <c r="AM160" s="632" cm="1">
        <f t="array" ref="AM160">IF($CI160=0,0,IFERROR(INDEX(MHR[],$CI160,MATCH($CA160,MHR!$B$4:$AY$4,0)+11),0))</f>
        <v>0</v>
      </c>
      <c r="AN160" s="633" cm="1">
        <f t="array" ref="AN160">IF(($J160+$V160)=0,0,IFERROR(IF(INDEX(Premises!$A$41:$F$41,1,$CH160)&lt;&gt;0,INDEX(Premises!$A$41:$F$41,1,$CH160)/100,(IFERROR(($J160/$I160)*$AM160,0)/($V160+$J160+$R160+$AL160))),0))</f>
        <v>0</v>
      </c>
      <c r="AO160" s="634">
        <f>IF(($J160+$V160)=0,0,IF(IFERROR(($J160+$R160+$V160+$AL160)*$AN160,0)&lt;&gt;IFERROR(($J160/$I160)*$AM160,0),($J160+$R160+$V160+$AL160)*$AN160,IFERROR(($J160/$I160)*$AM160,0)))</f>
        <v>0</v>
      </c>
      <c r="AP160" s="635">
        <f>$V160+$J160+$R160+$AA160+$AF160+$AL160+$AO160</f>
        <v>0</v>
      </c>
      <c r="AQ160" s="410"/>
      <c r="AR160" s="409"/>
      <c r="AS160" s="636" cm="1">
        <f t="array" ref="AS160">IF($CJ160=0,0,IFERROR(INDEX(MAT[Einheit],$CJ160,1),0))</f>
        <v>0</v>
      </c>
      <c r="AT160" s="637" cm="1">
        <f t="array" ref="AT160">IF($CJ160=0,0,IFERROR(INDEX(MAT[Preis],$CJ160,1),0))</f>
        <v>0</v>
      </c>
      <c r="AU160" s="638">
        <f>$AR160*$AT160</f>
        <v>0</v>
      </c>
      <c r="AV160" s="639" cm="1">
        <f t="array" ref="AV160">IF($AU160&lt;=0,0,INDEX(Premises!$A$30:$F$30,1,$CH160)/100)</f>
        <v>0</v>
      </c>
      <c r="AW160" s="409"/>
      <c r="AX160" s="631">
        <f>IF($AV160=0,0,($AU160+$AW160)*$AV160)</f>
        <v>0</v>
      </c>
      <c r="AY160" s="640" cm="1">
        <f t="array" ref="AY160">IF($AT160&lt;=0,0,IFERROR(IF(INDEX(Premises!$A$42:$F$42,1,$CH160)&lt;&gt;0,INDEX(Premises!$A$42:$F$42,1,$CH160)/100,(INDEX(MAT[],$CJ160,MATCH($CA160,MAT!$B$4:$AE$4,0))/($AR160*$CK160*INDEX(Premises!$A$13:$F$13,1,$CH160))+INDEX(MAT[],$CJ160,MATCH($CA160,MAT!$B$4:$AE$4,0)+7))/$AT160),0))</f>
        <v>0</v>
      </c>
      <c r="AZ160" s="631">
        <f>IF($AY160=0,0,($AU160+$AX160)*$AY160)</f>
        <v>0</v>
      </c>
      <c r="BA160" s="635">
        <f>$AU160+$AX160+$AZ160</f>
        <v>0</v>
      </c>
      <c r="BB160" s="635">
        <f>$AP160+$BA160</f>
        <v>0</v>
      </c>
      <c r="BC160" s="639" cm="1">
        <f t="array" ref="BC160">IF($BB160&lt;=0,0,IF(BC$2=-1,0,INDEX(Premises!$A$32:$F$32,1,$CH160)/100))</f>
        <v>0</v>
      </c>
      <c r="BD160" s="631">
        <f>IF($AP160&lt;=0,0,($AP160-$AA160-$AL160)*$BC160)</f>
        <v>0</v>
      </c>
      <c r="BE160" s="639" cm="1">
        <f t="array" ref="BE160">IF($BB160&lt;=0,0,IF(BE$2=-1,0,INDEX(Premises!$A$33:$F$33,1,$CH160)/100))</f>
        <v>0</v>
      </c>
      <c r="BF160" s="631">
        <f>IF($BA160&lt;=0,0,$BA160*$BE160)</f>
        <v>0</v>
      </c>
      <c r="BG160" s="639" cm="1">
        <f t="array" ref="BG160">IF($BB160&lt;=0,0,IF(BG$2=-1,0,INDEX(Premises!$A$31:$F$31,1,$CH160)/100))</f>
        <v>0</v>
      </c>
      <c r="BH160" s="631">
        <f>(($AP160-$AA160-$AL160)+$BA160)*$BG160</f>
        <v>0</v>
      </c>
      <c r="BI160" s="635">
        <f>$BB160+$BD160+$BF160+$BH160</f>
        <v>0</v>
      </c>
      <c r="BJ160" s="639" cm="1">
        <f t="array" ref="BJ160">IF($BB160&lt;=0,0,IF(BJ$2=-1,0,INDEX(Premises!$A$35:$F$35,1,$CH160)/100))</f>
        <v>0</v>
      </c>
      <c r="BK160" s="631">
        <f>IF($AP160&lt;=0,0,($AP160-$AL160-$AA160)*$BJ160)</f>
        <v>0</v>
      </c>
      <c r="BL160" s="639" cm="1">
        <f t="array" ref="BL160">IF($BB160&lt;=0,0,IF(BL$2=-1,0,INDEX(Premises!$A$36:$F$36,1,$CH160)/100))</f>
        <v>0</v>
      </c>
      <c r="BM160" s="631">
        <f>IF($AU160&lt;=0,0,($AR160*$AT160)*$BL160)</f>
        <v>0</v>
      </c>
      <c r="BN160" s="639" cm="1">
        <f t="array" ref="BN160">IF($BB160&lt;=0,0,IF(BN$2=-1,0,INDEX(Premises!$A$34:$F$34,1,$CH160)/100))</f>
        <v>0</v>
      </c>
      <c r="BO160" s="631">
        <f>(($AP160-$AL160-$AA160)+($AR160*$AT160))*$BN160</f>
        <v>0</v>
      </c>
      <c r="BP160" s="639" cm="1">
        <f t="array" ref="BP160">IF($BI160=0,0,INDEX(Premises!$A$37:$F$37,1,$CH160)/100)</f>
        <v>0</v>
      </c>
      <c r="BQ160" s="409"/>
      <c r="BR160" s="631">
        <f>($BI160+$BK160+$BM160+$BO160)*$BP160+$BQ160</f>
        <v>0</v>
      </c>
      <c r="BS160" s="641">
        <f>BI160+BK160+BM160+BO160+BR160</f>
        <v>0</v>
      </c>
      <c r="BT160" s="641">
        <f>IF($BS160=0,0,$CK160*$BS160)</f>
        <v>0</v>
      </c>
      <c r="BU160" s="642">
        <f>IF($BT160=0,0,MAX(1,$EB160/$DP160))</f>
        <v>0</v>
      </c>
      <c r="BV160" s="1147"/>
      <c r="BW160" s="418"/>
      <c r="BX160" s="418"/>
      <c r="BY160" s="419"/>
      <c r="BZ160" s="968"/>
      <c r="CA160" s="280" cm="1">
        <f t="array" ref="CA160">IF($BZ160&gt;0,VALUE(LEFT($BZ160,IF(ISERROR(FIND("-",$BZ160)),LEN($BZ160),FIND("-",$BZ160)-1))),INDEX($CA$1:$CA160,MAX(1,$CD160)))</f>
        <v>1</v>
      </c>
      <c r="CB160" s="280" cm="1">
        <f t="array" ref="CB160">IF($BT160=0,0,IF(LEN($BZ160)-LEN(SUBSTITUTE($BZ160,"-",""))&gt;1,
VALUE(MID($BZ160,FIND("-",$BZ160)+1,FIND("-",$BZ160,FIND("-",$BZ160)+1)-FIND("-",$BZ160)-1)),IF($BZ160&gt;0,0,INDEX($CB$1:$CB160,MAX(1,$CD160)))))</f>
        <v>0</v>
      </c>
      <c r="CC160" s="280" cm="1">
        <f t="array" ref="CC160">IF($BT160=0,0,IF(NOT(ISERROR(FIND("-",BZ160))),
VALUE(RIGHT($BZ160,LEN($BZ160)-IF(LEN($BZ160)-LEN(SUBSTITUTE($BZ160,"-",""))=1,FIND("-",$BZ160),FIND("-",$BZ160,FIND("-",$BZ160)+1)))),
IF($BZ160&gt;0,0,INDEX($CC$1:$CC160,MAX(1,$CD160)))))</f>
        <v>0</v>
      </c>
      <c r="CD160" s="393">
        <f>MATCH(0,$CE$1:$CE160,-1)</f>
        <v>158</v>
      </c>
      <c r="CE160" s="280"/>
      <c r="CF160" s="394"/>
      <c r="CG160" s="393" cm="1">
        <f t="array" ref="CG160">INDEX($CG$1:$CG160,$CD160)</f>
        <v>20</v>
      </c>
      <c r="CH160" s="280">
        <f>MATCH($CA160,Premises!$A$10:$F$10,0)</f>
        <v>4</v>
      </c>
      <c r="CI160" s="280">
        <f>IF(ISBLANK($E160),0,IFERROR(MATCH($E160,MHR[Bezeichnung],0),0))</f>
        <v>0</v>
      </c>
      <c r="CJ160" s="394">
        <f>IF(ISBLANK($AQ160),0,IFERROR(MATCH($AQ160,MAT[Bezeichnung],0),0))</f>
        <v>0</v>
      </c>
      <c r="CK160" s="280" cm="1">
        <f t="array" ref="CK160">INDEX($D$1:$D160,$CD160)</f>
        <v>1</v>
      </c>
      <c r="CL160" s="280"/>
      <c r="CM160" s="395"/>
      <c r="CN160" s="396" cm="1">
        <f t="array" ref="CN160">IF($CB160=0,0,IF($CB160=INDEX($CB$1:$CB160,$CD160),INDEX($CN$1:$CN160,$CD160),$CP160))</f>
        <v>0</v>
      </c>
      <c r="CO160" s="395"/>
      <c r="CP160" s="396" cm="1">
        <f t="array" ref="CP160">IF($CC160=0,0,INDEX($CP$1:$CP160,$CD160))</f>
        <v>0</v>
      </c>
      <c r="CQ160" s="397"/>
      <c r="CR160" s="398"/>
      <c r="CS160" s="398"/>
      <c r="CT160" s="1152"/>
      <c r="CU160" s="1149"/>
      <c r="CV160" s="647">
        <f>$J160*$CK160</f>
        <v>0</v>
      </c>
      <c r="CW160" s="648">
        <f>$R160*$CK160</f>
        <v>0</v>
      </c>
      <c r="CX160" s="648">
        <f>$V160*$CK160</f>
        <v>0</v>
      </c>
      <c r="CY160" s="648">
        <f>$AA160*$CK160</f>
        <v>0</v>
      </c>
      <c r="CZ160" s="648">
        <f>$AF160*$CK160</f>
        <v>0</v>
      </c>
      <c r="DA160" s="648">
        <f>$AL160*$CK160</f>
        <v>0</v>
      </c>
      <c r="DB160" s="648">
        <f>$AO160*$CK160</f>
        <v>0</v>
      </c>
      <c r="DC160" s="649">
        <f>$AP160*$CK160</f>
        <v>0</v>
      </c>
      <c r="DD160" s="648">
        <f>$AU160*$CK160</f>
        <v>0</v>
      </c>
      <c r="DE160" s="648">
        <f>$AX160*$CK160</f>
        <v>0</v>
      </c>
      <c r="DF160" s="648">
        <f>$AZ160*$CK160</f>
        <v>0</v>
      </c>
      <c r="DG160" s="649">
        <f>$BA160*$CK160</f>
        <v>0</v>
      </c>
      <c r="DH160" s="649">
        <f>$BB160*$CK160</f>
        <v>0</v>
      </c>
      <c r="DI160" s="648">
        <f>$BD160*$CK160</f>
        <v>0</v>
      </c>
      <c r="DJ160" s="648">
        <f>$BF160*$CK160</f>
        <v>0</v>
      </c>
      <c r="DK160" s="648">
        <f>$BH160*$CK160</f>
        <v>0</v>
      </c>
      <c r="DL160" s="648">
        <f>$BK160*$CK160</f>
        <v>0</v>
      </c>
      <c r="DM160" s="648">
        <f>$BM160*$CK160</f>
        <v>0</v>
      </c>
      <c r="DN160" s="648">
        <f>$BO160*$CK160</f>
        <v>0</v>
      </c>
      <c r="DO160" s="648">
        <f>$BR160*$CK160</f>
        <v>0</v>
      </c>
      <c r="DP160" s="651">
        <f>$CK160*($BB160+$BD160+$BF160+$BH160+$BK160+$BM160+$BO160+$BR160)</f>
        <v>0</v>
      </c>
      <c r="DQ160" s="951">
        <f>IF($CB160=0,0,$DP160*_xlfn.XLOOKUP($CB160,Premises!$A$10:$F$10,Premises!$A$30:$F$30)/100)</f>
        <v>0</v>
      </c>
      <c r="DR160" s="650">
        <f>IFERROR(SUM($DP160:$DQ160)*IF(INDEX(Premises!$A$42:$F$42,1,MATCH($CB160,Premises!$A$10:$F$10,0))&gt;0,INDEX(Premises!$A$42:$F$42,1,MATCH($CB160,Premises!$A$10:$F$10,0))%,$CN160),0)</f>
        <v>0</v>
      </c>
      <c r="DS160" s="650" cm="1">
        <f t="array" ref="DS160">IF($CB160=0,0,SUM($DP160:$DR160)*_xlfn.XLOOKUP($CB160,Premises!$A$10:$F$10,IF(INDEX(Settings[],MATCH(3001,Settings[ID],0),2)="B",Premises!$A$33:$F$33,Premises!$A$31:$F$31))/100)</f>
        <v>0</v>
      </c>
      <c r="DT160" s="650" cm="1">
        <f t="array" ref="DT160">IF($CB160=0,0,$DP160*_xlfn.XLOOKUP($CB160,Premises!$A$10:$F$10,IF(INDEX(Settings[],MATCH(3002,Settings[ID],0),2)="B",Premises!$A$36:$F$36,Premises!$A$34:$F$34))/100)</f>
        <v>0</v>
      </c>
      <c r="DU160" s="650">
        <f>IF($CB160=0,0,SUM($DP160:$DT160)*_xlfn.XLOOKUP($CB160,Premises!$A$10:$F$10,Premises!$A$37:$F$37)/100)</f>
        <v>0</v>
      </c>
      <c r="DV160" s="954">
        <f>SUM($DP160:$DU160)</f>
        <v>0</v>
      </c>
      <c r="DW160" s="951">
        <f>IF($CC160=0,0,$DV160*_xlfn.XLOOKUP($CC160,Premises!$A$10:$F$10,Premises!$A$30:$F$30)/100)</f>
        <v>0</v>
      </c>
      <c r="DX160" s="650">
        <f>IFERROR(SUM($DV160:$DW160)*IF(INDEX(Premises!$A$42:$F$42,1,MATCH($CC160,Premises!$A$10:$F$10,0))&gt;0,INDEX(Premises!$A$42:$F$42,1,MATCH($CC160,Premises!$A$10:$F$10,0))%,$CP160),0)</f>
        <v>0</v>
      </c>
      <c r="DY160" s="650" cm="1">
        <f t="array" ref="DY160">IF($CC160=0,0,SUM($DV160:$DX160)*_xlfn.XLOOKUP($CC160,Premises!$A$10:$F$10,IF(INDEX(Settings[],MATCH(3001,Settings[ID],0),2)="B",Premises!$A$33:$F$33,Premises!$A$31:$F$31))/100)</f>
        <v>0</v>
      </c>
      <c r="DZ160" s="650" cm="1">
        <f t="array" ref="DZ160">IF($CC160=0,0,$DV160*_xlfn.XLOOKUP($CC160,Premises!$A$10:$F$10,IF(INDEX(Settings[],MATCH(3002,Settings[ID],0),2)="B",Premises!$A$36:$F$36,Premises!$A$34:$F$34))/100)</f>
        <v>0</v>
      </c>
      <c r="EA160" s="650">
        <f>IF($CC160=0,0,SUM($DV160:$DZ160)*_xlfn.XLOOKUP($CC160,Premises!$A$10:$F$10,Premises!$A$37:$F$37)/100)</f>
        <v>0</v>
      </c>
      <c r="EB160" s="651">
        <f>SUM($DV160:$EA160)</f>
        <v>0</v>
      </c>
      <c r="EC160" s="805"/>
      <c r="ED160" s="1104"/>
      <c r="EE160" s="650"/>
      <c r="EF160" s="1110"/>
      <c r="EG160" s="1108"/>
      <c r="EH160" s="1108"/>
      <c r="EI160" s="1108"/>
      <c r="EJ160" s="1108"/>
      <c r="EK160" s="1108"/>
      <c r="EL160" s="1108"/>
      <c r="EM160" s="1110"/>
      <c r="EN160" s="1108"/>
      <c r="EO160" s="1108"/>
      <c r="EP160" s="1108"/>
      <c r="EQ160" s="1108"/>
      <c r="ER160" s="1110"/>
      <c r="ES160" s="1108"/>
      <c r="ET160" s="1108"/>
      <c r="EU160" s="1108"/>
      <c r="EV160" s="1108"/>
      <c r="EW160" s="1108"/>
      <c r="EX160" s="1111"/>
      <c r="EY160" s="2"/>
      <c r="EZ160" s="2"/>
      <c r="FA160" s="2"/>
      <c r="FB160" s="2"/>
      <c r="FC160" s="2"/>
      <c r="FD160" s="2"/>
      <c r="FE160" s="2"/>
      <c r="FF160" s="2"/>
      <c r="FG160" s="2"/>
      <c r="FH160" s="2"/>
      <c r="FI160" s="2"/>
      <c r="FJ160" s="420"/>
      <c r="FK160" s="421"/>
      <c r="FL160" s="422"/>
      <c r="FM160" s="1153"/>
    </row>
    <row r="161" spans="1:169" s="13" customFormat="1" ht="12.75" customHeight="1">
      <c r="A161" s="221"/>
      <c r="B161" s="402" t="s">
        <v>4313</v>
      </c>
      <c r="C161" s="403"/>
      <c r="D161" s="646"/>
      <c r="E161" s="404" t="s">
        <v>4314</v>
      </c>
      <c r="F161" s="405">
        <f>15.66</f>
        <v>15.66</v>
      </c>
      <c r="G161" s="405" t="s">
        <v>93</v>
      </c>
      <c r="H161" s="405">
        <v>2</v>
      </c>
      <c r="I161" s="637" cm="1">
        <f t="array" ref="I161">IF($CI161=0,0,IFERROR(INDEX(MHR[],$CI161,MATCH($CA161,MHR!$B$4:$AY$4,0)),0))</f>
        <v>3.3950164246031744</v>
      </c>
      <c r="J161" s="634">
        <f>IF(COUNTBLANK($E161:$H161),0,IFERROR($F161/$H161/IF($G161="s",3600,IF($G161="min",60,IF($G161="h",1,0)))*I161,0))</f>
        <v>7.3841607235119039E-3</v>
      </c>
      <c r="K161" s="406" t="s">
        <v>49</v>
      </c>
      <c r="L161" s="407">
        <v>30</v>
      </c>
      <c r="M161" s="871">
        <v>1</v>
      </c>
      <c r="N161" s="407"/>
      <c r="O161" s="405"/>
      <c r="P161" s="645" cm="1">
        <f t="array" ref="P161">IF($K161=0,0,IFERROR(ROUNDUP(IF(ISNUMBER($K161),$K161,INDEX($D$1:$D161,$CD161)*INDEX(Premises!$A$13:$F$13,1,$CH161)/IF(OR($K161="T",$K161="D"),250,IF($K161="W",50,IF($K161="M",12,IF(OR($K161="HJ",$K161="HY"),2,IF(OR($K161="J",$K161="Y"),1,0)))))),0),0))</f>
        <v>3334</v>
      </c>
      <c r="Q161" s="637" cm="1">
        <f t="array" ref="Q161">IF($K161=0,0,IFERROR(INDEX(Premises!$A$22:$F$22,1,$CH161)*100/INDEX(Premises!$A$16:$F$16,1,$CH161),0))</f>
        <v>16.925000000000001</v>
      </c>
      <c r="R161" s="634">
        <f>IF($P161=0,0,IFERROR(($L161/60*($I161+$Q161*$M161)+($N161/60*($Q161*$O161)))/$P161,0))</f>
        <v>3.0473929850934577E-3</v>
      </c>
      <c r="S161" s="408">
        <v>0.1</v>
      </c>
      <c r="T161" s="409" t="s">
        <v>275</v>
      </c>
      <c r="U161" s="637" cm="1">
        <f t="array" ref="U161">IF(COUNTBLANK($S161:$T161),0,
IF(AND(INDEX(MHR[Schichtmodell],$CI161)&lt;&gt;0,INDEX(MHR[Schichtmodell],$CI161)&lt;&gt;INDEX(Premises!$A$20:$F$20,1,$CH161)),ExchangeRate*
IF(OR($T161="M",$T161="U"),IF(INDEX(MHR[Schichtmodell],$CI161)=1,INDEX(LOC[M1S],INDEX(Premises!$A$18:$F$18,1,$CH161+1)),IF(INDEX(MHR[Schichtmodell],$CI161)=2,INDEX(LOC[M2S],INDEX(Premises!$A$18:$F$18,1,$CH161+1),IF(INDEX(MHR[Schichtmodell],$CI161)=3,INDEX(LOC[M3S],INDEX(Premises!$A$18:$F$18,1,$CH161+1)),0)))),
IF(INDEX(MHR[Schichtmodell],$CI161)=1,INDEX(LOC[F1S],INDEX(Premises!$A$18:$F$18,1,$CH161+1)),IF(INDEX(MHR[Schichtmodell],$CI161)=2,INDEX(LOC[F2S],INDEX(Premises!$A$18:$F$18,1,$CH161+1)),IF(INDEX(MHR[Schichtmodell],$CI161)=3,INDEX(LOC[F3S],INDEX(Premises!$A$18:$F$18,1,$CH161+1)),0)))),
IF(OR($T161="M",$T161="U"),INDEX(Premises!$A$21:$F$21,1,$CH161),
IF(OR($T161="F",$T161="S"),INDEX(Premises!$A$22:$F$22,1,$CH161),0)))*100/INDEX(Premises!$A$16:$F$16,1,$CH161))</f>
        <v>12.037500000000001</v>
      </c>
      <c r="V161" s="631">
        <f>IF($U161=0,0,IFERROR($F161/$H161/IF($G161="s",3600,IF($G161="min",60,IF($G161="h",1,0)))*$S161*$U161,0))</f>
        <v>2.6181562500000003E-3</v>
      </c>
      <c r="W161" s="410"/>
      <c r="X161" s="403"/>
      <c r="Y161" s="411"/>
      <c r="Z161" s="412"/>
      <c r="AA161" s="628">
        <f>IFERROR($X161*$Z161/$Y161/MAX(1,$H161),0)</f>
        <v>0</v>
      </c>
      <c r="AB161" s="410"/>
      <c r="AC161" s="403"/>
      <c r="AD161" s="411"/>
      <c r="AE161" s="413"/>
      <c r="AF161" s="628">
        <f>IFERROR($AC161*$AE161/$AD161,0)</f>
        <v>0</v>
      </c>
      <c r="AG161" s="629" cm="1">
        <f t="array" ref="AG161">IF(($J161+$V161+$AF161)=0,0,INDEX(Premises!$A$30:$F$30,1,$CH161)/100)</f>
        <v>0.01</v>
      </c>
      <c r="AH161" s="414"/>
      <c r="AI161" s="415"/>
      <c r="AJ161" s="416"/>
      <c r="AK161" s="630">
        <f>IF(COUNTBLANK($AH161:$AI161),0,$AH161*$AI161*$AG161)</f>
        <v>0</v>
      </c>
      <c r="AL161" s="631">
        <f>($AK161+$AJ161*$AG161*(1-$AH161)+($J161+$V161+$AF161)*$AG161*(1-$AH161))</f>
        <v>1.0002316973511904E-4</v>
      </c>
      <c r="AM161" s="632" cm="1">
        <f t="array" ref="AM161">IF($CI161=0,0,IFERROR(INDEX(MHR[],$CI161,MATCH($CA161,MHR!$B$4:$AY$4,0)+11),0))</f>
        <v>2.0869376592775613</v>
      </c>
      <c r="AN161" s="633" cm="1">
        <f t="array" ref="AN161">IF(($J161+$V161)=0,0,IFERROR(IF(INDEX(Premises!$A$41:$F$41,1,$CH161)&lt;&gt;0,INDEX(Premises!$A$41:$F$41,1,$CH161)/100,(IFERROR(($J161/$I161)*$AM161,0)/($V161+$J161+$R161+$AL161))),0))</f>
        <v>0.34518490714811456</v>
      </c>
      <c r="AO161" s="634">
        <f>IF(($J161+$V161)=0,0,IF(IFERROR(($J161+$R161+$V161+$AL161)*$AN161,0)&lt;&gt;IFERROR(($J161/$I161)*$AM161,0),($J161+$R161+$V161+$AL161)*$AN161,IFERROR(($J161/$I161)*$AM161,0)))</f>
        <v>4.5390894089286952E-3</v>
      </c>
      <c r="AP161" s="635">
        <f>$V161+$J161+$R161+$AA161+$AF161+$AL161+$AO161</f>
        <v>1.7688822537269177E-2</v>
      </c>
      <c r="AQ161" s="410"/>
      <c r="AR161" s="409"/>
      <c r="AS161" s="636" cm="1">
        <f t="array" ref="AS161">IF($CJ161=0,0,IFERROR(INDEX(MAT[Einheit],$CJ161,1),0))</f>
        <v>0</v>
      </c>
      <c r="AT161" s="637" cm="1">
        <f t="array" ref="AT161">IF($CJ161=0,0,IFERROR(INDEX(MAT[Preis],$CJ161,1),0))</f>
        <v>0</v>
      </c>
      <c r="AU161" s="638">
        <f>$AR161*$AT161</f>
        <v>0</v>
      </c>
      <c r="AV161" s="639" cm="1">
        <f t="array" ref="AV161">IF($AU161&lt;=0,0,INDEX(Premises!$A$30:$F$30,1,$CH161)/100)</f>
        <v>0</v>
      </c>
      <c r="AW161" s="409"/>
      <c r="AX161" s="631">
        <f>IF($AV161=0,0,($AU161+$AW161)*$AV161)</f>
        <v>0</v>
      </c>
      <c r="AY161" s="640" cm="1">
        <f t="array" ref="AY161">IF($AT161&lt;=0,0,IFERROR(IF(INDEX(Premises!$A$42:$F$42,1,$CH161)&lt;&gt;0,INDEX(Premises!$A$42:$F$42,1,$CH161)/100,(INDEX(MAT[],$CJ161,MATCH($CA161,MAT!$B$4:$AE$4,0))/($AR161*$CK161*INDEX(Premises!$A$13:$F$13,1,$CH161))+INDEX(MAT[],$CJ161,MATCH($CA161,MAT!$B$4:$AE$4,0)+7))/$AT161),0))</f>
        <v>0</v>
      </c>
      <c r="AZ161" s="631">
        <f>IF($AY161=0,0,($AU161+$AX161)*$AY161)</f>
        <v>0</v>
      </c>
      <c r="BA161" s="635">
        <f>$AU161+$AX161+$AZ161</f>
        <v>0</v>
      </c>
      <c r="BB161" s="635">
        <f>$AP161+$BA161</f>
        <v>1.7688822537269177E-2</v>
      </c>
      <c r="BC161" s="639" cm="1">
        <f t="array" ref="BC161">IF($BB161&lt;=0,0,IF(BC$2=-1,0,INDEX(Premises!$A$32:$F$32,1,$CH161)/100))</f>
        <v>0</v>
      </c>
      <c r="BD161" s="631">
        <f>IF($AP161&lt;=0,0,($AP161-$AA161-$AL161)*$BC161)</f>
        <v>0</v>
      </c>
      <c r="BE161" s="639" cm="1">
        <f t="array" ref="BE161">IF($BB161&lt;=0,0,IF(BE$2=-1,0,INDEX(Premises!$A$33:$F$33,1,$CH161)/100))</f>
        <v>0</v>
      </c>
      <c r="BF161" s="631">
        <f>IF($BA161&lt;=0,0,$BA161*$BE161)</f>
        <v>0</v>
      </c>
      <c r="BG161" s="639" cm="1">
        <f t="array" ref="BG161">IF($BB161&lt;=0,0,IF(BG$2=-1,0,INDEX(Premises!$A$31:$F$31,1,$CH161)/100))</f>
        <v>0.125</v>
      </c>
      <c r="BH161" s="631">
        <f>(($AP161-$AA161-$AL161)+$BA161)*$BG161</f>
        <v>2.1985999209417572E-3</v>
      </c>
      <c r="BI161" s="635">
        <f>$BB161+$BD161+$BF161+$BH161</f>
        <v>1.9887422458210933E-2</v>
      </c>
      <c r="BJ161" s="639" cm="1">
        <f t="array" ref="BJ161">IF($BB161&lt;=0,0,IF(BJ$2=-1,0,INDEX(Premises!$A$35:$F$35,1,$CH161)/100))</f>
        <v>0</v>
      </c>
      <c r="BK161" s="631">
        <f>IF($AP161&lt;=0,0,($AP161-$AL161-$AA161)*$BJ161)</f>
        <v>0</v>
      </c>
      <c r="BL161" s="639" cm="1">
        <f t="array" ref="BL161">IF($BB161&lt;=0,0,IF(BL$2=-1,0,INDEX(Premises!$A$36:$F$36,1,$CH161)/100))</f>
        <v>0</v>
      </c>
      <c r="BM161" s="631">
        <f>IF($AU161&lt;=0,0,($AR161*$AT161)*$BL161)</f>
        <v>0</v>
      </c>
      <c r="BN161" s="639" cm="1">
        <f t="array" ref="BN161">IF($BB161&lt;=0,0,IF(BN$2=-1,0,INDEX(Premises!$A$34:$F$34,1,$CH161)/100))</f>
        <v>0.06</v>
      </c>
      <c r="BO161" s="631">
        <f>(($AP161-$AL161-$AA161)+($AR161*$AT161))*$BN161</f>
        <v>1.0553279620520435E-3</v>
      </c>
      <c r="BP161" s="639" cm="1">
        <f t="array" ref="BP161">IF($BI161=0,0,INDEX(Premises!$A$37:$F$37,1,$CH161)/100)</f>
        <v>0</v>
      </c>
      <c r="BQ161" s="409"/>
      <c r="BR161" s="631">
        <f>($BI161+$BK161+$BM161+$BO161)*$BP161+$BQ161</f>
        <v>0</v>
      </c>
      <c r="BS161" s="641">
        <f>BI161+BK161+BM161+BO161+BR161</f>
        <v>2.0942750420262977E-2</v>
      </c>
      <c r="BT161" s="641">
        <f>IF($BS161=0,0,$CK161*$BS161)</f>
        <v>2.0942750420262977E-2</v>
      </c>
      <c r="BU161" s="642">
        <f>IF($BT161=0,0,MAX(1,$EB161/$DP161))</f>
        <v>1</v>
      </c>
      <c r="BV161" s="417"/>
      <c r="BW161" s="418"/>
      <c r="BX161" s="418"/>
      <c r="BY161" s="419"/>
      <c r="BZ161" s="968"/>
      <c r="CA161" s="280" cm="1">
        <f t="array" ref="CA161">IF($BZ161&gt;0,VALUE(LEFT($BZ161,IF(ISERROR(FIND("-",$BZ161)),LEN($BZ161),FIND("-",$BZ161)-1))),INDEX($CA$1:$CA161,MAX(1,$CD161)))</f>
        <v>1</v>
      </c>
      <c r="CB161" s="280" cm="1">
        <f t="array" ref="CB161">IF($BT161=0,0,IF(LEN($BZ161)-LEN(SUBSTITUTE($BZ161,"-",""))&gt;1,
VALUE(MID($BZ161,FIND("-",$BZ161)+1,FIND("-",$BZ161,FIND("-",$BZ161)+1)-FIND("-",$BZ161)-1)),IF($BZ161&gt;0,0,INDEX($CB$1:$CB161,MAX(1,$CD161)))))</f>
        <v>0</v>
      </c>
      <c r="CC161" s="280" cm="1">
        <f t="array" ref="CC161">IF($BT161=0,0,IF(NOT(ISERROR(FIND("-",BZ161))),
VALUE(RIGHT($BZ161,LEN($BZ161)-IF(LEN($BZ161)-LEN(SUBSTITUTE($BZ161,"-",""))=1,FIND("-",$BZ161),FIND("-",$BZ161,FIND("-",$BZ161)+1)))),
IF($BZ161&gt;0,0,INDEX($CC$1:$CC161,MAX(1,$CD161)))))</f>
        <v>0</v>
      </c>
      <c r="CD161" s="393">
        <f>MATCH(0,$CE$1:$CE161,-1)</f>
        <v>158</v>
      </c>
      <c r="CE161" s="280"/>
      <c r="CF161" s="394"/>
      <c r="CG161" s="393" cm="1">
        <f t="array" ref="CG161">INDEX($CG$1:$CG161,$CD161)</f>
        <v>20</v>
      </c>
      <c r="CH161" s="280">
        <f>MATCH($CA161,Premises!$A$10:$F$10,0)</f>
        <v>4</v>
      </c>
      <c r="CI161" s="280">
        <f>IF(ISBLANK($E161),0,IFERROR(MATCH($E161,MHR[Bezeichnung],0),0))</f>
        <v>1</v>
      </c>
      <c r="CJ161" s="394">
        <f>IF(ISBLANK($AQ161),0,IFERROR(MATCH($AQ161,MAT[Bezeichnung],0),0))</f>
        <v>0</v>
      </c>
      <c r="CK161" s="280" cm="1">
        <f t="array" ref="CK161">INDEX($D$1:$D161,$CD161)</f>
        <v>1</v>
      </c>
      <c r="CL161" s="280"/>
      <c r="CM161" s="395"/>
      <c r="CN161" s="396" cm="1">
        <f t="array" ref="CN161">IF($CB161=0,0,IF($CB161=INDEX($CB$1:$CB161,$CD161),INDEX($CN$1:$CN161,$CD161),$CP161))</f>
        <v>0</v>
      </c>
      <c r="CO161" s="395"/>
      <c r="CP161" s="396" cm="1">
        <f t="array" ref="CP161">IF($CC161=0,0,INDEX($CP$1:$CP161,$CD161))</f>
        <v>0</v>
      </c>
      <c r="CQ161" s="397"/>
      <c r="CR161" s="398"/>
      <c r="CS161" s="398"/>
      <c r="CT161" s="970"/>
      <c r="CU161" s="2"/>
      <c r="CV161" s="647">
        <f>$J161*$CK161</f>
        <v>7.3841607235119039E-3</v>
      </c>
      <c r="CW161" s="648">
        <f>$R161*$CK161</f>
        <v>3.0473929850934577E-3</v>
      </c>
      <c r="CX161" s="648">
        <f>$V161*$CK161</f>
        <v>2.6181562500000003E-3</v>
      </c>
      <c r="CY161" s="648">
        <f>$AA161*$CK161</f>
        <v>0</v>
      </c>
      <c r="CZ161" s="648">
        <f>$AF161*$CK161</f>
        <v>0</v>
      </c>
      <c r="DA161" s="648">
        <f>$AL161*$CK161</f>
        <v>1.0002316973511904E-4</v>
      </c>
      <c r="DB161" s="648">
        <f>$AO161*$CK161</f>
        <v>4.5390894089286952E-3</v>
      </c>
      <c r="DC161" s="649">
        <f>$AP161*$CK161</f>
        <v>1.7688822537269177E-2</v>
      </c>
      <c r="DD161" s="648">
        <f>$AU161*$CK161</f>
        <v>0</v>
      </c>
      <c r="DE161" s="648">
        <f>$AX161*$CK161</f>
        <v>0</v>
      </c>
      <c r="DF161" s="648">
        <f>$AZ161*$CK161</f>
        <v>0</v>
      </c>
      <c r="DG161" s="649">
        <f>$BA161*$CK161</f>
        <v>0</v>
      </c>
      <c r="DH161" s="649">
        <f>$BB161*$CK161</f>
        <v>1.7688822537269177E-2</v>
      </c>
      <c r="DI161" s="648">
        <f>$BD161*$CK161</f>
        <v>0</v>
      </c>
      <c r="DJ161" s="648">
        <f>$BF161*$CK161</f>
        <v>0</v>
      </c>
      <c r="DK161" s="648">
        <f>$BH161*$CK161</f>
        <v>2.1985999209417572E-3</v>
      </c>
      <c r="DL161" s="648">
        <f>$BK161*$CK161</f>
        <v>0</v>
      </c>
      <c r="DM161" s="648">
        <f>$BM161*$CK161</f>
        <v>0</v>
      </c>
      <c r="DN161" s="648">
        <f>$BO161*$CK161</f>
        <v>1.0553279620520435E-3</v>
      </c>
      <c r="DO161" s="648">
        <f>$BR161*$CK161</f>
        <v>0</v>
      </c>
      <c r="DP161" s="651">
        <f>$CK161*($BB161+$BD161+$BF161+$BH161+$BK161+$BM161+$BO161+$BR161)</f>
        <v>2.0942750420262977E-2</v>
      </c>
      <c r="DQ161" s="951">
        <f>IF($CB161=0,0,$DP161*_xlfn.XLOOKUP($CB161,Premises!$A$10:$F$10,Premises!$A$30:$F$30)/100)</f>
        <v>0</v>
      </c>
      <c r="DR161" s="650">
        <f>IFERROR(SUM($DP161:$DQ161)*IF(INDEX(Premises!$A$42:$F$42,1,MATCH($CB161,Premises!$A$10:$F$10,0))&gt;0,INDEX(Premises!$A$42:$F$42,1,MATCH($CB161,Premises!$A$10:$F$10,0))%,$CN161),0)</f>
        <v>0</v>
      </c>
      <c r="DS161" s="650" cm="1">
        <f t="array" ref="DS161">IF($CB161=0,0,SUM($DP161:$DR161)*_xlfn.XLOOKUP($CB161,Premises!$A$10:$F$10,IF(INDEX(Settings[],MATCH(3001,Settings[ID],0),2)="B",Premises!$A$33:$F$33,Premises!$A$31:$F$31))/100)</f>
        <v>0</v>
      </c>
      <c r="DT161" s="650" cm="1">
        <f t="array" ref="DT161">IF($CB161=0,0,$DP161*_xlfn.XLOOKUP($CB161,Premises!$A$10:$F$10,IF(INDEX(Settings[],MATCH(3002,Settings[ID],0),2)="B",Premises!$A$36:$F$36,Premises!$A$34:$F$34))/100)</f>
        <v>0</v>
      </c>
      <c r="DU161" s="650">
        <f>IF($CB161=0,0,SUM($DP161:$DT161)*_xlfn.XLOOKUP($CB161,Premises!$A$10:$F$10,Premises!$A$37:$F$37)/100)</f>
        <v>0</v>
      </c>
      <c r="DV161" s="954">
        <f>SUM($DP161:$DU161)</f>
        <v>2.0942750420262977E-2</v>
      </c>
      <c r="DW161" s="951">
        <f>IF($CC161=0,0,$DV161*_xlfn.XLOOKUP($CC161,Premises!$A$10:$F$10,Premises!$A$30:$F$30)/100)</f>
        <v>0</v>
      </c>
      <c r="DX161" s="650">
        <f>IFERROR(SUM($DV161:$DW161)*IF(INDEX(Premises!$A$42:$F$42,1,MATCH($CC161,Premises!$A$10:$F$10,0))&gt;0,INDEX(Premises!$A$42:$F$42,1,MATCH($CC161,Premises!$A$10:$F$10,0))%,$CP161),0)</f>
        <v>0</v>
      </c>
      <c r="DY161" s="650" cm="1">
        <f t="array" ref="DY161">IF($CC161=0,0,SUM($DV161:$DX161)*_xlfn.XLOOKUP($CC161,Premises!$A$10:$F$10,IF(INDEX(Settings[],MATCH(3001,Settings[ID],0),2)="B",Premises!$A$33:$F$33,Premises!$A$31:$F$31))/100)</f>
        <v>0</v>
      </c>
      <c r="DZ161" s="650" cm="1">
        <f t="array" ref="DZ161">IF($CC161=0,0,$DV161*_xlfn.XLOOKUP($CC161,Premises!$A$10:$F$10,IF(INDEX(Settings[],MATCH(3002,Settings[ID],0),2)="B",Premises!$A$36:$F$36,Premises!$A$34:$F$34))/100)</f>
        <v>0</v>
      </c>
      <c r="EA161" s="650">
        <f>IF($CC161=0,0,SUM($DV161:$DZ161)*_xlfn.XLOOKUP($CC161,Premises!$A$10:$F$10,Premises!$A$37:$F$37)/100)</f>
        <v>0</v>
      </c>
      <c r="EB161" s="651">
        <f>SUM($DV161:$EA161)</f>
        <v>2.0942750420262977E-2</v>
      </c>
      <c r="EC161" s="805"/>
      <c r="ED161" s="1104"/>
      <c r="EE161" s="650"/>
      <c r="EF161" s="1110"/>
      <c r="EG161" s="1108"/>
      <c r="EH161" s="1108"/>
      <c r="EI161" s="1108"/>
      <c r="EJ161" s="1108"/>
      <c r="EK161" s="1108"/>
      <c r="EL161" s="1108"/>
      <c r="EM161" s="1110"/>
      <c r="EN161" s="1108"/>
      <c r="EO161" s="1108"/>
      <c r="EP161" s="1108"/>
      <c r="EQ161" s="1108"/>
      <c r="ER161" s="1110"/>
      <c r="ES161" s="1108"/>
      <c r="ET161" s="1108"/>
      <c r="EU161" s="1108"/>
      <c r="EV161" s="1108"/>
      <c r="EW161" s="1108"/>
      <c r="EX161" s="1111"/>
      <c r="EY161" s="2"/>
      <c r="EZ161" s="2"/>
      <c r="FA161" s="2"/>
      <c r="FB161" s="2"/>
      <c r="FC161" s="2"/>
      <c r="FD161" s="2"/>
      <c r="FE161" s="2"/>
      <c r="FF161" s="2"/>
      <c r="FG161" s="2"/>
      <c r="FH161" s="2"/>
      <c r="FI161" s="2"/>
      <c r="FJ161" s="420"/>
      <c r="FK161" s="421"/>
      <c r="FL161" s="422"/>
      <c r="FM161" s="970"/>
    </row>
    <row r="162" spans="1:169" s="13" customFormat="1" ht="12.75" customHeight="1">
      <c r="A162" s="221"/>
      <c r="B162" s="402"/>
      <c r="C162" s="403"/>
      <c r="D162" s="646"/>
      <c r="E162" s="404"/>
      <c r="F162" s="405"/>
      <c r="G162" s="405"/>
      <c r="H162" s="405"/>
      <c r="I162" s="637" cm="1">
        <f t="array" ref="I162">IF($CI162=0,0,IFERROR(INDEX(MHR[],$CI162,MATCH($CA162,MHR!$B$4:$AY$4,0)),0))</f>
        <v>0</v>
      </c>
      <c r="J162" s="634">
        <f>IF(COUNTBLANK($E162:$H162),0,IFERROR($F162/$H162/IF($G162="s",3600,IF($G162="min",60,IF($G162="h",1,0)))*I162,0))</f>
        <v>0</v>
      </c>
      <c r="K162" s="406"/>
      <c r="L162" s="407"/>
      <c r="M162" s="871"/>
      <c r="N162" s="407"/>
      <c r="O162" s="405"/>
      <c r="P162" s="645" cm="1">
        <f t="array" ref="P162">IF($K162=0,0,IFERROR(ROUNDUP(IF(ISNUMBER($K162),$K162,INDEX($D$1:$D162,$CD162)*INDEX(Premises!$A$13:$F$13,1,$CH162)/IF(OR($K162="T",$K162="D"),250,IF($K162="W",50,IF($K162="M",12,IF(OR($K162="HJ",$K162="HY"),2,IF(OR($K162="J",$K162="Y"),1,0)))))),0),0))</f>
        <v>0</v>
      </c>
      <c r="Q162" s="637" cm="1">
        <f t="array" ref="Q162">IF($K162=0,0,IFERROR(INDEX(Premises!$A$22:$F$22,1,$CH162)*100/INDEX(Premises!$A$16:$F$16,1,$CH162),0))</f>
        <v>0</v>
      </c>
      <c r="R162" s="634">
        <f>IF($P162=0,0,IFERROR(($L162/60*($I162+$Q162*$M162)+($N162/60*($Q162*$O162)))/$P162,0))</f>
        <v>0</v>
      </c>
      <c r="S162" s="408"/>
      <c r="T162" s="409"/>
      <c r="U162" s="637" cm="1">
        <f t="array" ref="U162">IF(COUNTBLANK($S162:$T162),0,
IF(AND(INDEX(MHR[Schichtmodell],$CI162)&lt;&gt;0,INDEX(MHR[Schichtmodell],$CI162)&lt;&gt;INDEX(Premises!$A$20:$F$20,1,$CH162)),ExchangeRate*
IF(OR($T162="M",$T162="U"),IF(INDEX(MHR[Schichtmodell],$CI162)=1,INDEX(LOC[M1S],INDEX(Premises!$A$18:$F$18,1,$CH162+1)),IF(INDEX(MHR[Schichtmodell],$CI162)=2,INDEX(LOC[M2S],INDEX(Premises!$A$18:$F$18,1,$CH162+1),IF(INDEX(MHR[Schichtmodell],$CI162)=3,INDEX(LOC[M3S],INDEX(Premises!$A$18:$F$18,1,$CH162+1)),0)))),
IF(INDEX(MHR[Schichtmodell],$CI162)=1,INDEX(LOC[F1S],INDEX(Premises!$A$18:$F$18,1,$CH162+1)),IF(INDEX(MHR[Schichtmodell],$CI162)=2,INDEX(LOC[F2S],INDEX(Premises!$A$18:$F$18,1,$CH162+1)),IF(INDEX(MHR[Schichtmodell],$CI162)=3,INDEX(LOC[F3S],INDEX(Premises!$A$18:$F$18,1,$CH162+1)),0)))),
IF(OR($T162="M",$T162="U"),INDEX(Premises!$A$21:$F$21,1,$CH162),
IF(OR($T162="F",$T162="S"),INDEX(Premises!$A$22:$F$22,1,$CH162),0)))*100/INDEX(Premises!$A$16:$F$16,1,$CH162))</f>
        <v>0</v>
      </c>
      <c r="V162" s="631">
        <f>IF($U162=0,0,IFERROR($F162/$H162/IF($G162="s",3600,IF($G162="min",60,IF($G162="h",1,0)))*$S162*$U162,0))</f>
        <v>0</v>
      </c>
      <c r="W162" s="410"/>
      <c r="X162" s="403"/>
      <c r="Y162" s="411"/>
      <c r="Z162" s="412"/>
      <c r="AA162" s="628">
        <f>IFERROR($X162*$Z162/$Y162/MAX(1,$H162),0)</f>
        <v>0</v>
      </c>
      <c r="AB162" s="410"/>
      <c r="AC162" s="403"/>
      <c r="AD162" s="411"/>
      <c r="AE162" s="413"/>
      <c r="AF162" s="628">
        <f>IFERROR($AC162*$AE162/$AD162,0)</f>
        <v>0</v>
      </c>
      <c r="AG162" s="629" cm="1">
        <f t="array" ref="AG162">IF(($J162+$V162+$AF162)=0,0,INDEX(Premises!$A$30:$F$30,1,$CH162)/100)</f>
        <v>0</v>
      </c>
      <c r="AH162" s="414"/>
      <c r="AI162" s="415"/>
      <c r="AJ162" s="416"/>
      <c r="AK162" s="630">
        <f>IF(COUNTBLANK($AH162:$AI162),0,$AH162*$AI162*$AG162)</f>
        <v>0</v>
      </c>
      <c r="AL162" s="631">
        <f>($AK162+$AJ162*$AG162*(1-$AH162)+($J162+$V162+$AF162)*$AG162*(1-$AH162))</f>
        <v>0</v>
      </c>
      <c r="AM162" s="632" cm="1">
        <f t="array" ref="AM162">IF($CI162=0,0,IFERROR(INDEX(MHR[],$CI162,MATCH($CA162,MHR!$B$4:$AY$4,0)+11),0))</f>
        <v>0</v>
      </c>
      <c r="AN162" s="633" cm="1">
        <f t="array" ref="AN162">IF(($J162+$V162)=0,0,IFERROR(IF(INDEX(Premises!$A$41:$F$41,1,$CH162)&lt;&gt;0,INDEX(Premises!$A$41:$F$41,1,$CH162)/100,(IFERROR(($J162/$I162)*$AM162,0)/($V162+$J162+$R162+$AL162))),0))</f>
        <v>0</v>
      </c>
      <c r="AO162" s="634">
        <f>IF(($J162+$V162)=0,0,IF(IFERROR(($J162+$R162+$V162+$AL162)*$AN162,0)&lt;&gt;IFERROR(($J162/$I162)*$AM162,0),($J162+$R162+$V162+$AL162)*$AN162,IFERROR(($J162/$I162)*$AM162,0)))</f>
        <v>0</v>
      </c>
      <c r="AP162" s="635">
        <f>$V162+$J162+$R162+$AA162+$AF162+$AL162+$AO162</f>
        <v>0</v>
      </c>
      <c r="AQ162" s="410"/>
      <c r="AR162" s="409"/>
      <c r="AS162" s="636" cm="1">
        <f t="array" ref="AS162">IF($CJ162=0,0,IFERROR(INDEX(MAT[Einheit],$CJ162,1),0))</f>
        <v>0</v>
      </c>
      <c r="AT162" s="637" cm="1">
        <f t="array" ref="AT162">IF($CJ162=0,0,IFERROR(INDEX(MAT[Preis],$CJ162,1),0))</f>
        <v>0</v>
      </c>
      <c r="AU162" s="638">
        <f>$AR162*$AT162</f>
        <v>0</v>
      </c>
      <c r="AV162" s="639" cm="1">
        <f t="array" ref="AV162">IF($AU162&lt;=0,0,INDEX(Premises!$A$30:$F$30,1,$CH162)/100)</f>
        <v>0</v>
      </c>
      <c r="AW162" s="409"/>
      <c r="AX162" s="631">
        <f>IF($AV162=0,0,($AU162+$AW162)*$AV162)</f>
        <v>0</v>
      </c>
      <c r="AY162" s="640" cm="1">
        <f t="array" ref="AY162">IF($AT162&lt;=0,0,IFERROR(IF(INDEX(Premises!$A$42:$F$42,1,$CH162)&lt;&gt;0,INDEX(Premises!$A$42:$F$42,1,$CH162)/100,(INDEX(MAT[],$CJ162,MATCH($CA162,MAT!$B$4:$AE$4,0))/($AR162*$CK162*INDEX(Premises!$A$13:$F$13,1,$CH162))+INDEX(MAT[],$CJ162,MATCH($CA162,MAT!$B$4:$AE$4,0)+7))/$AT162),0))</f>
        <v>0</v>
      </c>
      <c r="AZ162" s="631">
        <f>IF($AY162=0,0,($AU162+$AX162)*$AY162)</f>
        <v>0</v>
      </c>
      <c r="BA162" s="635">
        <f>$AU162+$AX162+$AZ162</f>
        <v>0</v>
      </c>
      <c r="BB162" s="635">
        <f>$AP162+$BA162</f>
        <v>0</v>
      </c>
      <c r="BC162" s="639" cm="1">
        <f t="array" ref="BC162">IF($BB162&lt;=0,0,IF(BC$2=-1,0,INDEX(Premises!$A$32:$F$32,1,$CH162)/100))</f>
        <v>0</v>
      </c>
      <c r="BD162" s="631">
        <f>IF($AP162&lt;=0,0,($AP162-$AA162-$AL162)*$BC162)</f>
        <v>0</v>
      </c>
      <c r="BE162" s="639" cm="1">
        <f t="array" ref="BE162">IF($BB162&lt;=0,0,IF(BE$2=-1,0,INDEX(Premises!$A$33:$F$33,1,$CH162)/100))</f>
        <v>0</v>
      </c>
      <c r="BF162" s="631">
        <f>IF($BA162&lt;=0,0,$BA162*$BE162)</f>
        <v>0</v>
      </c>
      <c r="BG162" s="639" cm="1">
        <f t="array" ref="BG162">IF($BB162&lt;=0,0,IF(BG$2=-1,0,INDEX(Premises!$A$31:$F$31,1,$CH162)/100))</f>
        <v>0</v>
      </c>
      <c r="BH162" s="631">
        <f>(($AP162-$AA162-$AL162)+$BA162)*$BG162</f>
        <v>0</v>
      </c>
      <c r="BI162" s="635">
        <f>$BB162+$BD162+$BF162+$BH162</f>
        <v>0</v>
      </c>
      <c r="BJ162" s="639" cm="1">
        <f t="array" ref="BJ162">IF($BB162&lt;=0,0,IF(BJ$2=-1,0,INDEX(Premises!$A$35:$F$35,1,$CH162)/100))</f>
        <v>0</v>
      </c>
      <c r="BK162" s="631">
        <f>IF($AP162&lt;=0,0,($AP162-$AL162-$AA162)*$BJ162)</f>
        <v>0</v>
      </c>
      <c r="BL162" s="639" cm="1">
        <f t="array" ref="BL162">IF($BB162&lt;=0,0,IF(BL$2=-1,0,INDEX(Premises!$A$36:$F$36,1,$CH162)/100))</f>
        <v>0</v>
      </c>
      <c r="BM162" s="631">
        <f>IF($AU162&lt;=0,0,($AR162*$AT162)*$BL162)</f>
        <v>0</v>
      </c>
      <c r="BN162" s="639" cm="1">
        <f t="array" ref="BN162">IF($BB162&lt;=0,0,IF(BN$2=-1,0,INDEX(Premises!$A$34:$F$34,1,$CH162)/100))</f>
        <v>0</v>
      </c>
      <c r="BO162" s="631">
        <f>(($AP162-$AL162-$AA162)+($AR162*$AT162))*$BN162</f>
        <v>0</v>
      </c>
      <c r="BP162" s="639" cm="1">
        <f t="array" ref="BP162">IF($BI162=0,0,INDEX(Premises!$A$37:$F$37,1,$CH162)/100)</f>
        <v>0</v>
      </c>
      <c r="BQ162" s="409"/>
      <c r="BR162" s="631">
        <f>($BI162+$BK162+$BM162+$BO162)*$BP162+$BQ162</f>
        <v>0</v>
      </c>
      <c r="BS162" s="641">
        <f>BI162+BK162+BM162+BO162+BR162</f>
        <v>0</v>
      </c>
      <c r="BT162" s="641">
        <f>IF($BS162=0,0,$CK162*$BS162)</f>
        <v>0</v>
      </c>
      <c r="BU162" s="642">
        <f>IF($BT162=0,0,MAX(1,$EB162/$DP162))</f>
        <v>0</v>
      </c>
      <c r="BV162" s="417"/>
      <c r="BW162" s="418"/>
      <c r="BX162" s="418"/>
      <c r="BY162" s="419"/>
      <c r="BZ162" s="968"/>
      <c r="CA162" s="280" cm="1">
        <f t="array" ref="CA162">IF($BZ162&gt;0,VALUE(LEFT($BZ162,IF(ISERROR(FIND("-",$BZ162)),LEN($BZ162),FIND("-",$BZ162)-1))),INDEX($CA$1:$CA162,MAX(1,$CD162)))</f>
        <v>1</v>
      </c>
      <c r="CB162" s="280" cm="1">
        <f t="array" ref="CB162">IF($BT162=0,0,IF(LEN($BZ162)-LEN(SUBSTITUTE($BZ162,"-",""))&gt;1,
VALUE(MID($BZ162,FIND("-",$BZ162)+1,FIND("-",$BZ162,FIND("-",$BZ162)+1)-FIND("-",$BZ162)-1)),IF($BZ162&gt;0,0,INDEX($CB$1:$CB162,MAX(1,$CD162)))))</f>
        <v>0</v>
      </c>
      <c r="CC162" s="280" cm="1">
        <f t="array" ref="CC162">IF($BT162=0,0,IF(NOT(ISERROR(FIND("-",BZ162))),
VALUE(RIGHT($BZ162,LEN($BZ162)-IF(LEN($BZ162)-LEN(SUBSTITUTE($BZ162,"-",""))=1,FIND("-",$BZ162),FIND("-",$BZ162,FIND("-",$BZ162)+1)))),
IF($BZ162&gt;0,0,INDEX($CC$1:$CC162,MAX(1,$CD162)))))</f>
        <v>0</v>
      </c>
      <c r="CD162" s="393">
        <f>MATCH(0,$CE$1:$CE162,-1)</f>
        <v>158</v>
      </c>
      <c r="CE162" s="280"/>
      <c r="CF162" s="394"/>
      <c r="CG162" s="393" cm="1">
        <f t="array" ref="CG162">INDEX($CG$1:$CG162,$CD162)</f>
        <v>20</v>
      </c>
      <c r="CH162" s="280">
        <f>MATCH($CA162,Premises!$A$10:$F$10,0)</f>
        <v>4</v>
      </c>
      <c r="CI162" s="280">
        <f>IF(ISBLANK($E162),0,IFERROR(MATCH($E162,MHR[Bezeichnung],0),0))</f>
        <v>0</v>
      </c>
      <c r="CJ162" s="394">
        <f>IF(ISBLANK($AQ162),0,IFERROR(MATCH($AQ162,MAT[Bezeichnung],0),0))</f>
        <v>0</v>
      </c>
      <c r="CK162" s="280" cm="1">
        <f t="array" ref="CK162">INDEX($D$1:$D162,$CD162)</f>
        <v>1</v>
      </c>
      <c r="CL162" s="280"/>
      <c r="CM162" s="395"/>
      <c r="CN162" s="396" cm="1">
        <f t="array" ref="CN162">IF($CB162=0,0,IF($CB162=INDEX($CB$1:$CB162,$CD162),INDEX($CN$1:$CN162,$CD162),$CP162))</f>
        <v>0</v>
      </c>
      <c r="CO162" s="395"/>
      <c r="CP162" s="396" cm="1">
        <f t="array" ref="CP162">IF($CC162=0,0,INDEX($CP$1:$CP162,$CD162))</f>
        <v>0</v>
      </c>
      <c r="CQ162" s="397"/>
      <c r="CR162" s="398"/>
      <c r="CS162" s="398"/>
      <c r="CT162" s="970"/>
      <c r="CU162" s="2"/>
      <c r="CV162" s="647">
        <f>$J162*$CK162</f>
        <v>0</v>
      </c>
      <c r="CW162" s="648">
        <f>$R162*$CK162</f>
        <v>0</v>
      </c>
      <c r="CX162" s="648">
        <f>$V162*$CK162</f>
        <v>0</v>
      </c>
      <c r="CY162" s="648">
        <f>$AA162*$CK162</f>
        <v>0</v>
      </c>
      <c r="CZ162" s="648">
        <f>$AF162*$CK162</f>
        <v>0</v>
      </c>
      <c r="DA162" s="648">
        <f>$AL162*$CK162</f>
        <v>0</v>
      </c>
      <c r="DB162" s="648">
        <f>$AO162*$CK162</f>
        <v>0</v>
      </c>
      <c r="DC162" s="649">
        <f>$AP162*$CK162</f>
        <v>0</v>
      </c>
      <c r="DD162" s="648">
        <f>$AU162*$CK162</f>
        <v>0</v>
      </c>
      <c r="DE162" s="648">
        <f>$AX162*$CK162</f>
        <v>0</v>
      </c>
      <c r="DF162" s="648">
        <f>$AZ162*$CK162</f>
        <v>0</v>
      </c>
      <c r="DG162" s="649">
        <f>$BA162*$CK162</f>
        <v>0</v>
      </c>
      <c r="DH162" s="649">
        <f>$BB162*$CK162</f>
        <v>0</v>
      </c>
      <c r="DI162" s="648">
        <f>$BD162*$CK162</f>
        <v>0</v>
      </c>
      <c r="DJ162" s="648">
        <f>$BF162*$CK162</f>
        <v>0</v>
      </c>
      <c r="DK162" s="648">
        <f>$BH162*$CK162</f>
        <v>0</v>
      </c>
      <c r="DL162" s="648">
        <f>$BK162*$CK162</f>
        <v>0</v>
      </c>
      <c r="DM162" s="648">
        <f>$BM162*$CK162</f>
        <v>0</v>
      </c>
      <c r="DN162" s="648">
        <f>$BO162*$CK162</f>
        <v>0</v>
      </c>
      <c r="DO162" s="648">
        <f>$BR162*$CK162</f>
        <v>0</v>
      </c>
      <c r="DP162" s="651">
        <f>$CK162*($BB162+$BD162+$BF162+$BH162+$BK162+$BM162+$BO162+$BR162)</f>
        <v>0</v>
      </c>
      <c r="DQ162" s="951">
        <f>IF($CB162=0,0,$DP162*_xlfn.XLOOKUP($CB162,Premises!$A$10:$F$10,Premises!$A$30:$F$30)/100)</f>
        <v>0</v>
      </c>
      <c r="DR162" s="650">
        <f>IFERROR(SUM($DP162:$DQ162)*IF(INDEX(Premises!$A$42:$F$42,1,MATCH($CB162,Premises!$A$10:$F$10,0))&gt;0,INDEX(Premises!$A$42:$F$42,1,MATCH($CB162,Premises!$A$10:$F$10,0))%,$CN162),0)</f>
        <v>0</v>
      </c>
      <c r="DS162" s="650" cm="1">
        <f t="array" ref="DS162">IF($CB162=0,0,SUM($DP162:$DR162)*_xlfn.XLOOKUP($CB162,Premises!$A$10:$F$10,IF(INDEX(Settings[],MATCH(3001,Settings[ID],0),2)="B",Premises!$A$33:$F$33,Premises!$A$31:$F$31))/100)</f>
        <v>0</v>
      </c>
      <c r="DT162" s="650" cm="1">
        <f t="array" ref="DT162">IF($CB162=0,0,$DP162*_xlfn.XLOOKUP($CB162,Premises!$A$10:$F$10,IF(INDEX(Settings[],MATCH(3002,Settings[ID],0),2)="B",Premises!$A$36:$F$36,Premises!$A$34:$F$34))/100)</f>
        <v>0</v>
      </c>
      <c r="DU162" s="650">
        <f>IF($CB162=0,0,SUM($DP162:$DT162)*_xlfn.XLOOKUP($CB162,Premises!$A$10:$F$10,Premises!$A$37:$F$37)/100)</f>
        <v>0</v>
      </c>
      <c r="DV162" s="954">
        <f>SUM($DP162:$DU162)</f>
        <v>0</v>
      </c>
      <c r="DW162" s="951">
        <f>IF($CC162=0,0,$DV162*_xlfn.XLOOKUP($CC162,Premises!$A$10:$F$10,Premises!$A$30:$F$30)/100)</f>
        <v>0</v>
      </c>
      <c r="DX162" s="650">
        <f>IFERROR(SUM($DV162:$DW162)*IF(INDEX(Premises!$A$42:$F$42,1,MATCH($CC162,Premises!$A$10:$F$10,0))&gt;0,INDEX(Premises!$A$42:$F$42,1,MATCH($CC162,Premises!$A$10:$F$10,0))%,$CP162),0)</f>
        <v>0</v>
      </c>
      <c r="DY162" s="650" cm="1">
        <f t="array" ref="DY162">IF($CC162=0,0,SUM($DV162:$DX162)*_xlfn.XLOOKUP($CC162,Premises!$A$10:$F$10,IF(INDEX(Settings[],MATCH(3001,Settings[ID],0),2)="B",Premises!$A$33:$F$33,Premises!$A$31:$F$31))/100)</f>
        <v>0</v>
      </c>
      <c r="DZ162" s="650" cm="1">
        <f t="array" ref="DZ162">IF($CC162=0,0,$DV162*_xlfn.XLOOKUP($CC162,Premises!$A$10:$F$10,IF(INDEX(Settings[],MATCH(3002,Settings[ID],0),2)="B",Premises!$A$36:$F$36,Premises!$A$34:$F$34))/100)</f>
        <v>0</v>
      </c>
      <c r="EA162" s="650">
        <f>IF($CC162=0,0,SUM($DV162:$DZ162)*_xlfn.XLOOKUP($CC162,Premises!$A$10:$F$10,Premises!$A$37:$F$37)/100)</f>
        <v>0</v>
      </c>
      <c r="EB162" s="651">
        <f>SUM($DV162:$EA162)</f>
        <v>0</v>
      </c>
      <c r="EC162" s="805"/>
      <c r="ED162" s="1104"/>
      <c r="EE162" s="650"/>
      <c r="EF162" s="1110"/>
      <c r="EG162" s="1108"/>
      <c r="EH162" s="1108"/>
      <c r="EI162" s="1108"/>
      <c r="EJ162" s="1108"/>
      <c r="EK162" s="1108"/>
      <c r="EL162" s="1108"/>
      <c r="EM162" s="1110"/>
      <c r="EN162" s="1108"/>
      <c r="EO162" s="1108"/>
      <c r="EP162" s="1108"/>
      <c r="EQ162" s="1108"/>
      <c r="ER162" s="1110"/>
      <c r="ES162" s="1108"/>
      <c r="ET162" s="1108"/>
      <c r="EU162" s="1108"/>
      <c r="EV162" s="1108"/>
      <c r="EW162" s="1108"/>
      <c r="EX162" s="1111"/>
      <c r="EY162" s="2"/>
      <c r="EZ162" s="2"/>
      <c r="FA162" s="2"/>
      <c r="FB162" s="2"/>
      <c r="FC162" s="2"/>
      <c r="FD162" s="2"/>
      <c r="FE162" s="2"/>
      <c r="FF162" s="2"/>
      <c r="FG162" s="2"/>
      <c r="FH162" s="2"/>
      <c r="FI162" s="2"/>
      <c r="FJ162" s="420"/>
      <c r="FK162" s="421"/>
      <c r="FL162" s="422"/>
      <c r="FM162" s="970"/>
    </row>
    <row r="163" spans="1:169" s="13" customFormat="1" ht="12.75" customHeight="1">
      <c r="A163" s="221"/>
      <c r="B163" s="387" t="str">
        <f>BOM!$A$21</f>
        <v>01-01-03-14 Diffusion Foil</v>
      </c>
      <c r="C163" s="388"/>
      <c r="D163" s="389" cm="1">
        <f t="array" ref="D163">IF($CG163=0,0,INDEX(BOM!$N:$N,$CG163))</f>
        <v>1</v>
      </c>
      <c r="E163" s="644" t="s">
        <v>664</v>
      </c>
      <c r="F163" s="644" t="s">
        <v>664</v>
      </c>
      <c r="G163" s="644" t="s">
        <v>664</v>
      </c>
      <c r="H163" s="644" t="s">
        <v>664</v>
      </c>
      <c r="I163" s="644" t="s">
        <v>664</v>
      </c>
      <c r="J163" s="644" t="s">
        <v>664</v>
      </c>
      <c r="K163" s="644" t="s">
        <v>664</v>
      </c>
      <c r="L163" s="644" t="s">
        <v>664</v>
      </c>
      <c r="M163" s="644" t="s">
        <v>664</v>
      </c>
      <c r="N163" s="644" t="s">
        <v>664</v>
      </c>
      <c r="O163" s="644" t="s">
        <v>664</v>
      </c>
      <c r="P163" s="644" t="s">
        <v>664</v>
      </c>
      <c r="Q163" s="644" t="s">
        <v>664</v>
      </c>
      <c r="R163" s="644" t="s">
        <v>664</v>
      </c>
      <c r="S163" s="644" t="s">
        <v>664</v>
      </c>
      <c r="T163" s="644" t="s">
        <v>664</v>
      </c>
      <c r="U163" s="644" t="s">
        <v>664</v>
      </c>
      <c r="V163" s="644" t="s">
        <v>664</v>
      </c>
      <c r="W163" s="644" t="s">
        <v>664</v>
      </c>
      <c r="X163" s="644" t="s">
        <v>664</v>
      </c>
      <c r="Y163" s="644" t="s">
        <v>664</v>
      </c>
      <c r="Z163" s="644" t="s">
        <v>664</v>
      </c>
      <c r="AA163" s="644" t="s">
        <v>664</v>
      </c>
      <c r="AB163" s="644" t="s">
        <v>664</v>
      </c>
      <c r="AC163" s="644" t="s">
        <v>664</v>
      </c>
      <c r="AD163" s="644" t="s">
        <v>664</v>
      </c>
      <c r="AE163" s="644" t="s">
        <v>664</v>
      </c>
      <c r="AF163" s="644" t="s">
        <v>664</v>
      </c>
      <c r="AG163" s="644" t="s">
        <v>664</v>
      </c>
      <c r="AH163" s="644" t="s">
        <v>664</v>
      </c>
      <c r="AI163" s="644" t="s">
        <v>664</v>
      </c>
      <c r="AJ163" s="644" t="s">
        <v>664</v>
      </c>
      <c r="AK163" s="644" t="s">
        <v>664</v>
      </c>
      <c r="AL163" s="644" t="s">
        <v>664</v>
      </c>
      <c r="AM163" s="644" t="s">
        <v>664</v>
      </c>
      <c r="AN163" s="644" t="s">
        <v>664</v>
      </c>
      <c r="AO163" s="644" t="s">
        <v>664</v>
      </c>
      <c r="AP163" s="644" t="s">
        <v>664</v>
      </c>
      <c r="AQ163" s="644" t="s">
        <v>664</v>
      </c>
      <c r="AR163" s="644" t="s">
        <v>664</v>
      </c>
      <c r="AS163" s="644" t="s">
        <v>664</v>
      </c>
      <c r="AT163" s="644" t="s">
        <v>664</v>
      </c>
      <c r="AU163" s="644" t="s">
        <v>664</v>
      </c>
      <c r="AV163" s="644" t="s">
        <v>664</v>
      </c>
      <c r="AW163" s="644" t="s">
        <v>664</v>
      </c>
      <c r="AX163" s="644" t="s">
        <v>664</v>
      </c>
      <c r="AY163" s="644" t="s">
        <v>664</v>
      </c>
      <c r="AZ163" s="644" t="s">
        <v>664</v>
      </c>
      <c r="BA163" s="644" t="s">
        <v>664</v>
      </c>
      <c r="BB163" s="644" t="s">
        <v>664</v>
      </c>
      <c r="BC163" s="644" t="s">
        <v>664</v>
      </c>
      <c r="BD163" s="644" t="s">
        <v>664</v>
      </c>
      <c r="BE163" s="644" t="s">
        <v>664</v>
      </c>
      <c r="BF163" s="644" t="s">
        <v>664</v>
      </c>
      <c r="BG163" s="644" t="s">
        <v>664</v>
      </c>
      <c r="BH163" s="644" t="s">
        <v>664</v>
      </c>
      <c r="BI163" s="644" t="s">
        <v>664</v>
      </c>
      <c r="BJ163" s="644" t="s">
        <v>664</v>
      </c>
      <c r="BK163" s="644" t="s">
        <v>664</v>
      </c>
      <c r="BL163" s="644" t="s">
        <v>664</v>
      </c>
      <c r="BM163" s="644" t="s">
        <v>664</v>
      </c>
      <c r="BN163" s="644" t="s">
        <v>664</v>
      </c>
      <c r="BO163" s="644" t="s">
        <v>664</v>
      </c>
      <c r="BP163" s="644" t="s">
        <v>664</v>
      </c>
      <c r="BQ163" s="644" t="s">
        <v>664</v>
      </c>
      <c r="BR163" s="644" t="s">
        <v>664</v>
      </c>
      <c r="BS163" s="920">
        <f>SUM(INDEX($BS:$BS,ROW()+1):INDEX($BS:$BS,$CE163))</f>
        <v>6.5946690277420811E-2</v>
      </c>
      <c r="BT163" s="920">
        <f>SUM(INDEX($BT:$BT,ROW()+1):INDEX($BT:$BT,$CE163))</f>
        <v>6.5946690277420811E-2</v>
      </c>
      <c r="BU163" s="644" t="s">
        <v>664</v>
      </c>
      <c r="BV163" s="643">
        <f>SUMPRODUCT($BS163:INDEX($BS:$BS,$CE163),$BU163:INDEX($BU:$BU,$CE163))</f>
        <v>6.5946690277420811E-2</v>
      </c>
      <c r="BW163" s="390">
        <f>$D163*$BV163</f>
        <v>6.5946690277420811E-2</v>
      </c>
      <c r="BX163" s="816" cm="1">
        <f t="array" ref="BX163">IF($CG163=0,0,IF(INDEX(BOM!$P:$P,$CG163)=0,0,
SUMPRODUCT($BW163:INDEX($BW:$BW,IFERROR(ROW()+MATCH($CL163,INDEX($CL:$CL,ROW()+1):INDEX($CL:$CL,MAX($CE:$CE)),0)-1,MAX($CE:$CE))),
($CL163:INDEX($CL:$CL,IFERROR(ROW()+MATCH($CL163,INDEX($CL:$CL,ROW()+1):INDEX($CL:$CL,MAX($CE:$CE)),0)-1,MAX($CE:$CE)))&gt;=$CL163)*1)
))</f>
        <v>0</v>
      </c>
      <c r="BY163" s="391"/>
      <c r="BZ163" s="392" cm="1">
        <f t="array" ref="BZ163">IF($CG163=0,0,INDEX(BOM!$M:$M,$CG163))</f>
        <v>1</v>
      </c>
      <c r="CA163" s="280">
        <f>IF($BZ163&gt;0,VALUE(LEFT($BZ163,IF(ISERROR(FIND("-",$BZ163)),LEN($BZ163),FIND("-",$BZ163)-1))),INDEX($BZ$1:BZ163,MATCH("",$A$1:A163,-1)))</f>
        <v>1</v>
      </c>
      <c r="CB163" s="280">
        <f>IF(LEN($BZ163)-LEN(SUBSTITUTE($BZ163,"-",))&gt;1,
VALUE(MID($BZ163,FIND("-",$BZ163)+1,FIND("-",$BZ163,FIND("-",$BZ163)+1)-FIND("-",$BZ163)-1)),0)</f>
        <v>0</v>
      </c>
      <c r="CC163" s="280">
        <f>IF(NOT(ISERROR(FIND("-",BZ163))),
VALUE(RIGHT($BZ163,LEN($BZ163)-IF(LEN($BZ163)-LEN(SUBSTITUTE($BZ163,"-",""))=1,FIND("-",$BZ163),FIND("-",$BZ163,FIND("-",$BZ163)+1)))),0)</f>
        <v>0</v>
      </c>
      <c r="CD163" s="393"/>
      <c r="CE163" s="280" cm="1">
        <f t="array" ref="CE163">ROW()+MATCH(TRUE,_xlfn.ISFORMULA(INDEX(BW:BW,ROW()+1):INDEX(BW:BW,ROW()+MaxNumberOfRowsPerBlock)),0)-1</f>
        <v>173</v>
      </c>
      <c r="CF163" s="394" cm="1">
        <f t="array" ref="CF163">IF(CL163=0,-1,IF(CL163=1,7,MAX(IF($CL$1:$CL163=CL163-1,ROW($CL$1:$CL163),0))))</f>
        <v>49</v>
      </c>
      <c r="CG163" s="393">
        <f>IFERROR(MATCH($B163,BOM!$A:$A,0),0)</f>
        <v>21</v>
      </c>
      <c r="CH163" s="280">
        <f>MATCH($CA163,Premises!$A$10:$F$10,0)</f>
        <v>4</v>
      </c>
      <c r="CI163" s="280"/>
      <c r="CJ163" s="394"/>
      <c r="CK163" s="280"/>
      <c r="CL163" s="280" cm="1">
        <f t="array" ref="CL163">IF($CG163=0,0,INDEX(BOM!$C:$C,$CG163))</f>
        <v>4</v>
      </c>
      <c r="CM163" s="395" cm="1">
        <f t="array" ref="CM163">IF($CG163=0,0,IF(OR($CF163&lt;0,AND(INDEX($CB:$CB,$CF163)=$CB163,INDEX($CC:$CC,$CF163)=$CC163)),0,IF(INDEX(BOM!$P:$P,$CG163)=0,$BT163,(SUMIF($CA163:INDEX($CA:$CA,IFERROR(ROW()+MATCH($CL163,INDEX($CL:$CL,ROW()+1):INDEX($CL:$CL,MAX($CE:$CE)),0)-1,MAX($CE:$CE))),$CA163,$BT163:INDEX($BT:$BT,IFERROR(ROW()+MATCH($CL163,INDEX($CL:$CL,ROW()+1):INDEX($CL:$CL,MAX($CE:$CE)),0)-1,MAX($CE:$CE))))+SUMIF($CB163:INDEX($CB:$CB,IFERROR(ROW()+MATCH($CL163,INDEX($CL:$CL,ROW()+1):INDEX($CL:$CL,MAX($CE:$CE)),0)-1,MAX($CE:$CE))),$CA163,$BT163:INDEX($BT:$BT,IFERROR(ROW()+MATCH($CL163,INDEX($CL:$CL,ROW()+1):INDEX($CL:$CL,MAX($CE:$CE)),0)-1,MAX($CE:$CE)))))/2)))</f>
        <v>0</v>
      </c>
      <c r="CN163" s="396" cm="1">
        <f t="array" ref="CN163">IFERROR(IF($CB163=0,0,IF($CM163=0,INDEX($CN$1:$CN163,$CF163),INDEX(IF($CM163&lt;0.2,Premises!$A$43:$F$43,IF($CM163&lt;5,Premises!$A$46:$F$46,Premises!$A$49:$F$49)),MATCH($CB163,Premises!$A$10:$F$10,0))/($CM163*INDEX(Premises!$A$13:$F$13,MATCH($CB163,Premises!$A$10:$F$10,0)))+INDEX(IF($CM163&lt;0.2,Premises!$A$44:$F$44,IF($CM163&lt;5,Premises!$A$47:$F$47,Premises!$A$50:$F$50)),MATCH($CB163,Premises!$A$10:$F$10,0))+INDEX(IF($CM163&lt;0.2,Premises!$A$45:$F$45,IF($CM163&lt;5,Premises!$A$48:$F$48,Premises!$A$51:$F$51)),MATCH($CB163,Premises!$A$10:$F$10,0))/$CM163)),0.01)</f>
        <v>0</v>
      </c>
      <c r="CO163" s="395" cm="1">
        <f t="array" ref="CO163">IF($CG163=0,0,IF(INDEX($CC:$CC,$CF163)=$CC163,0,$CM163*(1+IFERROR(INDEX(Premises!$A$52:$F$52,1,MATCH($CB163,Premises!$A$10:$F$10,0)),0)+$CN163)))</f>
        <v>0</v>
      </c>
      <c r="CP163" s="396" cm="1">
        <f t="array" ref="CP163">IFERROR(IF($CC163=0,0,IF($CO163=0,INDEX($CP$1:$CP163,$CF163),INDEX(IF($CO163&lt;0.2,Premises!$A$43:$F$43,IF($CO163&lt;5,Premises!$A$46:$F$46,Premises!$A$49:$F$49)),MATCH($CC163,Premises!$A$10:$F$10,0))/($CO163*INDEX(Premises!$A$13:$F$13,MATCH($CC163,Premises!$A$10:$F$10,0)))+INDEX(IF($CO163&lt;0.2,Premises!$A$44:$F$44,IF($CO163&lt;5,Premises!$A$47:$F$47,Premises!$A$50:$F$50)),MATCH($CC163,Premises!$A$10:$F$10,0))+INDEX(IF($CO163&lt;0.2,Premises!$A$45:$F$45,IF($CO163&lt;5,Premises!$A$48:$F$48,Premises!$A$51:$F$51)),MATCH($CC163,Premises!$A$10:$F$10,0))/$CO163)),0.01)</f>
        <v>0</v>
      </c>
      <c r="CQ163" s="397" cm="1">
        <f t="array" ref="CQ163">IF(AND($CM163=0,$CO163=0),0,INDEX(BOM!$O:$O,$CG163))</f>
        <v>0</v>
      </c>
      <c r="CR163" s="398" cm="1">
        <f t="array" ref="CR163">IF(OR($CM163=0,$CN163=0),0,ACOS(COS(RADIANS(90-INDEX(Premises!$A$66:$F$66,1,$CH163)))*COS(RADIANS(90-INDEX(Premises!$A$66:$F$66,1,MATCH($CB163,Premises!$A$10:$F$10,0))))
+SIN(RADIANS(90-INDEX(Premises!$A$66:$F$66,1,$CH163)))*SIN(RADIANS(90-INDEX(Premises!$A$66:$F$66,1,MATCH($CB163,Premises!$A$10:$F$10,0)))) * COS(RADIANS(INDEX(Premises!$A$67:$F$67,1,$CH163)-INDEX(Premises!$A$67:$F$67,1,MATCH($CB163,Premises!$A$10:$F$10,0)))))*6371)</f>
        <v>0</v>
      </c>
      <c r="CS163" s="398" cm="1">
        <f t="array" ref="CS163">IF(OR($CO163=0,$CP163=0),0,
IF($CR163=0,ACOS(COS(RADIANS(90-INDEX(Premises!$A$66:$F$66,1,$CH163)))*COS(RADIANS(90-INDEX(Premises!$A$66:$F$66,1,MATCH($CC163,Premises!$A$10:$F$10,0))))
+SIN(RADIANS(90-INDEX(Premises!$A$66:$F$66,1,$CH163)))*SIN(RADIANS(90-INDEX(Premises!$A$66:$F$66,1,MATCH($CC163,Premises!$A$10:$F$10,0))))*COS(RADIANS(INDEX(Premises!$A$67:$F$67,1,$CH163)-INDEX(Premises!$A$67:$F$67,1,MATCH($CC163,Premises!$A$10:$F$10,0)))))*6371,
ACOS(COS(RADIANS(90-INDEX(Premises!$A$66:$F$66,1,MATCH($CB163,Premises!$A$10:$F$10,0))))*COS(RADIANS(90-INDEX(Premises!$A$66:$F$66,1,MATCH($CC163,Premises!$A$10:$F$10,0))))
+SIN(RADIANS(90-INDEX(Premises!$A$66:$F$66,1,MATCH($CB163,Premises!$A$10:$F$10,0))))*SIN(RADIANS(90-INDEX(Premises!$A$66:$F$66,1,MATCH($CC163,Premises!$A$10:$F$10,0))))*COS(RADIANS(INDEX(Premises!$A$67:$F$67,1,MATCH($CB163,Premises!$A$10:$F$10,0))-INDEX(Premises!$A$67:$F$67,1,MATCH($CC163,Premises!$A$10:$F$10,0)))))*6371))</f>
        <v>0</v>
      </c>
      <c r="CT163" s="969"/>
      <c r="CU163" s="2"/>
      <c r="CV163" s="399">
        <f>SUM(INDEX(CV:CV,ROW()+1):INDEX(CV:CV,$CE163))</f>
        <v>1.1423024294632727E-3</v>
      </c>
      <c r="CW163" s="400">
        <f>SUM(INDEX(CW:CW,ROW()+1):INDEX(CW:CW,$CE163))</f>
        <v>4.6187168295507564E-2</v>
      </c>
      <c r="CX163" s="400">
        <f>SUM(INDEX(CX:CX,ROW()+1):INDEX(CX:CX,$CE163))</f>
        <v>3.1544137286324784E-4</v>
      </c>
      <c r="CY163" s="400">
        <f>SUM(INDEX(CY:CY,ROW()+1):INDEX(CY:CY,$CE163))</f>
        <v>0</v>
      </c>
      <c r="CZ163" s="400">
        <f>SUM(INDEX(CZ:CZ,ROW()+1):INDEX(CZ:CZ,$CE163))</f>
        <v>0</v>
      </c>
      <c r="DA163" s="400">
        <f>SUM(INDEX(DA:DA,ROW()+1):INDEX(DA:DA,$CE163))</f>
        <v>1.4577438023265206E-5</v>
      </c>
      <c r="DB163" s="400">
        <f>SUM(INDEX(DB:DB,ROW()+1):INDEX(DB:DB,$CE163))</f>
        <v>1.0793629006518841E-4</v>
      </c>
      <c r="DC163" s="400">
        <f>SUM(INDEX(DC:DC,ROW()+1):INDEX(DC:DC,$CE163))</f>
        <v>4.7767425825922548E-2</v>
      </c>
      <c r="DD163" s="400">
        <f>SUM(INDEX(DD:DD,ROW()+1):INDEX(DD:DD,$CE163))</f>
        <v>2.5280000000000003E-3</v>
      </c>
      <c r="DE163" s="400">
        <f>SUM(INDEX(DE:DE,ROW()+1):INDEX(DE:DE,$CE163))</f>
        <v>2.5280000000000002E-5</v>
      </c>
      <c r="DF163" s="400">
        <f>SUM(INDEX(DF:DF,ROW()+1):INDEX(DF:DF,$CE163))</f>
        <v>5.6185488886550134E-3</v>
      </c>
      <c r="DG163" s="400">
        <f>SUM(INDEX(DG:DG,ROW()+1):INDEX(DG:DG,$CE163))</f>
        <v>8.1718288886550132E-3</v>
      </c>
      <c r="DH163" s="400">
        <f>SUM(INDEX(DH:DH,ROW()+1):INDEX(DH:DH,$CE163))</f>
        <v>5.5939254714577558E-2</v>
      </c>
      <c r="DI163" s="400">
        <f>SUM(INDEX(DI:DI,ROW()+1):INDEX(DI:DI,$CE163))</f>
        <v>0</v>
      </c>
      <c r="DJ163" s="400">
        <f>SUM(INDEX(DJ:DJ,ROW()+1):INDEX(DJ:DJ,$CE163))</f>
        <v>0</v>
      </c>
      <c r="DK163" s="400">
        <f>SUM(INDEX(DK:DK,ROW()+1):INDEX(DK:DK,$CE163))</f>
        <v>6.9905846595692874E-3</v>
      </c>
      <c r="DL163" s="400">
        <f>SUM(INDEX(DL:DL,ROW()+1):INDEX(DL:DL,$CE163))</f>
        <v>0</v>
      </c>
      <c r="DM163" s="400">
        <f>SUM(INDEX(DM:DM,ROW()+1):INDEX(DM:DM,$CE163))</f>
        <v>0</v>
      </c>
      <c r="DN163" s="400">
        <f>SUM(INDEX(DN:DN,ROW()+1):INDEX(DN:DN,$CE163))</f>
        <v>3.0168509032739567E-3</v>
      </c>
      <c r="DO163" s="400">
        <f>SUM(INDEX(DO:DO,ROW()+1):INDEX(DO:DO,$CE163))</f>
        <v>0</v>
      </c>
      <c r="DP163" s="400">
        <f>SUM(INDEX(DP:DP,ROW()+1):INDEX(DP:DP,$CE163))</f>
        <v>6.5946690277420811E-2</v>
      </c>
      <c r="DQ163" s="400">
        <f>SUM(INDEX(DQ:DQ,ROW()+1):INDEX(DQ:DQ,$CE163))</f>
        <v>0</v>
      </c>
      <c r="DR163" s="400">
        <f>SUM(INDEX(DR:DR,ROW()+1):INDEX(DR:DR,$CE163))</f>
        <v>0</v>
      </c>
      <c r="DS163" s="400">
        <f>SUM(INDEX(DS:DS,ROW()+1):INDEX(DS:DS,$CE163))</f>
        <v>0</v>
      </c>
      <c r="DT163" s="400">
        <f>SUM(INDEX(DT:DT,ROW()+1):INDEX(DT:DT,$CE163))</f>
        <v>0</v>
      </c>
      <c r="DU163" s="400">
        <f>SUM(INDEX(DU:DU,ROW()+1):INDEX(DU:DU,$CE163))</f>
        <v>0</v>
      </c>
      <c r="DV163" s="400">
        <f>SUM(INDEX(DV:DV,ROW()+1):INDEX(DV:DV,$CE163))</f>
        <v>6.5946690277420811E-2</v>
      </c>
      <c r="DW163" s="400">
        <f>SUM(INDEX(DW:DW,ROW()+1):INDEX(DW:DW,$CE163))</f>
        <v>0</v>
      </c>
      <c r="DX163" s="400">
        <f>SUM(INDEX(DX:DX,ROW()+1):INDEX(DX:DX,$CE163))</f>
        <v>0</v>
      </c>
      <c r="DY163" s="400">
        <f>SUM(INDEX(DY:DY,ROW()+1):INDEX(DY:DY,$CE163))</f>
        <v>0</v>
      </c>
      <c r="DZ163" s="400">
        <f>SUM(INDEX(DZ:DZ,ROW()+1):INDEX(DZ:DZ,$CE163))</f>
        <v>0</v>
      </c>
      <c r="EA163" s="400">
        <f>SUM(INDEX(EA:EA,ROW()+1):INDEX(EA:EA,$CE163))</f>
        <v>0</v>
      </c>
      <c r="EB163" s="401">
        <f>SUM(INDEX(EB:EB,ROW()+1):INDEX(EB:EB,$CE163))</f>
        <v>6.5946690277420811E-2</v>
      </c>
      <c r="EC163" s="805"/>
      <c r="ED163" s="399"/>
      <c r="EE163" s="400"/>
      <c r="EF163" s="1112"/>
      <c r="EG163" s="1112"/>
      <c r="EH163" s="1112"/>
      <c r="EI163" s="1112"/>
      <c r="EJ163" s="1112"/>
      <c r="EK163" s="1112"/>
      <c r="EL163" s="1112"/>
      <c r="EM163" s="1112"/>
      <c r="EN163" s="1112"/>
      <c r="EO163" s="1112"/>
      <c r="EP163" s="1112"/>
      <c r="EQ163" s="1112"/>
      <c r="ER163" s="1112"/>
      <c r="ES163" s="1112"/>
      <c r="ET163" s="1112"/>
      <c r="EU163" s="1112"/>
      <c r="EV163" s="1112"/>
      <c r="EW163" s="1112"/>
      <c r="EX163" s="1113"/>
      <c r="EY163" s="2"/>
      <c r="EZ163" s="2"/>
      <c r="FA163" s="2"/>
      <c r="FB163" s="2"/>
      <c r="FC163" s="2"/>
      <c r="FD163" s="2"/>
      <c r="FE163" s="2"/>
      <c r="FF163" s="2"/>
      <c r="FG163" s="2"/>
      <c r="FH163" s="2"/>
      <c r="FI163" s="2"/>
      <c r="FJ163" s="399"/>
      <c r="FK163" s="400"/>
      <c r="FL163" s="401"/>
      <c r="FM163" s="969"/>
    </row>
    <row r="164" spans="1:169" s="13" customFormat="1" ht="12.75" customHeight="1">
      <c r="A164" s="221"/>
      <c r="B164" s="402" t="s">
        <v>34</v>
      </c>
      <c r="C164" s="403"/>
      <c r="D164" s="646"/>
      <c r="E164" s="404"/>
      <c r="F164" s="405"/>
      <c r="G164" s="405"/>
      <c r="H164" s="405"/>
      <c r="I164" s="637" cm="1">
        <f t="array" ref="I164">IF($CI164=0,0,IFERROR(INDEX(MHR[],$CI164,MATCH($CA164,MHR!$B$4:$AY$4,0)),0))</f>
        <v>0</v>
      </c>
      <c r="J164" s="634">
        <f t="shared" ref="J164:J173" si="432">IF(COUNTBLANK($E164:$H164),0,IFERROR($F164/$H164/IF($G164="s",3600,IF($G164="min",60,IF($G164="h",1,0)))*I164,0))</f>
        <v>0</v>
      </c>
      <c r="K164" s="406"/>
      <c r="L164" s="407"/>
      <c r="M164" s="871"/>
      <c r="N164" s="407"/>
      <c r="O164" s="405"/>
      <c r="P164" s="645" cm="1">
        <f t="array" ref="P164">IF($K164=0,0,IFERROR(ROUNDUP(IF(ISNUMBER($K164),$K164,INDEX($D$1:$D164,$CD164)*INDEX(Premises!$A$13:$F$13,1,$CH164)/IF(OR($K164="T",$K164="D"),250,IF($K164="W",50,IF($K164="M",12,IF(OR($K164="HJ",$K164="HY"),2,IF(OR($K164="J",$K164="Y"),1,0)))))),0),0))</f>
        <v>0</v>
      </c>
      <c r="Q164" s="637" cm="1">
        <f t="array" ref="Q164">IF($K164=0,0,IFERROR(INDEX(Premises!$A$22:$F$22,1,$CH164)*100/INDEX(Premises!$A$16:$F$16,1,$CH164),0))</f>
        <v>0</v>
      </c>
      <c r="R164" s="634">
        <f t="shared" ref="R164:R173" si="433">IF($P164=0,0,IFERROR(($L164/60*($I164+$Q164*$M164)+($N164/60*($Q164*$O164)))/$P164,0))</f>
        <v>0</v>
      </c>
      <c r="S164" s="408"/>
      <c r="T164" s="409"/>
      <c r="U164" s="637" cm="1">
        <f t="array" ref="U164">IF(COUNTBLANK($S164:$T164),0,
IF(AND(INDEX(MHR[Schichtmodell],$CI164)&lt;&gt;0,INDEX(MHR[Schichtmodell],$CI164)&lt;&gt;INDEX(Premises!$A$20:$F$20,1,$CH164)),ExchangeRate*
IF(OR($T164="M",$T164="U"),IF(INDEX(MHR[Schichtmodell],$CI164)=1,INDEX(LOC[M1S],INDEX(Premises!$A$18:$F$18,1,$CH164+1)),IF(INDEX(MHR[Schichtmodell],$CI164)=2,INDEX(LOC[M2S],INDEX(Premises!$A$18:$F$18,1,$CH164+1),IF(INDEX(MHR[Schichtmodell],$CI164)=3,INDEX(LOC[M3S],INDEX(Premises!$A$18:$F$18,1,$CH164+1)),0)))),
IF(INDEX(MHR[Schichtmodell],$CI164)=1,INDEX(LOC[F1S],INDEX(Premises!$A$18:$F$18,1,$CH164+1)),IF(INDEX(MHR[Schichtmodell],$CI164)=2,INDEX(LOC[F2S],INDEX(Premises!$A$18:$F$18,1,$CH164+1)),IF(INDEX(MHR[Schichtmodell],$CI164)=3,INDEX(LOC[F3S],INDEX(Premises!$A$18:$F$18,1,$CH164+1)),0)))),
IF(OR($T164="M",$T164="U"),INDEX(Premises!$A$21:$F$21,1,$CH164),
IF(OR($T164="F",$T164="S"),INDEX(Premises!$A$22:$F$22,1,$CH164),0)))*100/INDEX(Premises!$A$16:$F$16,1,$CH164))</f>
        <v>0</v>
      </c>
      <c r="V164" s="631">
        <f t="shared" ref="V164:V173" si="434">IF($U164=0,0,IFERROR($F164/$H164/IF($G164="s",3600,IF($G164="min",60,IF($G164="h",1,0)))*$S164*$U164,0))</f>
        <v>0</v>
      </c>
      <c r="W164" s="410"/>
      <c r="X164" s="403"/>
      <c r="Y164" s="411"/>
      <c r="Z164" s="412"/>
      <c r="AA164" s="628">
        <f t="shared" ref="AA164:AA173" si="435">IFERROR($X164*$Z164/$Y164/MAX(1,$H164),0)</f>
        <v>0</v>
      </c>
      <c r="AB164" s="410"/>
      <c r="AC164" s="403"/>
      <c r="AD164" s="411"/>
      <c r="AE164" s="413"/>
      <c r="AF164" s="628">
        <f t="shared" ref="AF164:AF173" si="436">IFERROR($AC164*$AE164/$AD164,0)</f>
        <v>0</v>
      </c>
      <c r="AG164" s="629" cm="1">
        <f t="array" ref="AG164">IF(($J164+$V164+$AF164)=0,0,INDEX(Premises!$A$30:$F$30,1,$CH164)/100)</f>
        <v>0</v>
      </c>
      <c r="AH164" s="414"/>
      <c r="AI164" s="415"/>
      <c r="AJ164" s="416"/>
      <c r="AK164" s="630">
        <f t="shared" ref="AK164:AK173" si="437">IF(COUNTBLANK($AH164:$AI164),0,$AH164*$AI164*$AG164)</f>
        <v>0</v>
      </c>
      <c r="AL164" s="631">
        <f t="shared" ref="AL164:AL173" si="438">($AK164+$AJ164*$AG164*(1-$AH164)+($J164+$V164+$AF164)*$AG164*(1-$AH164))</f>
        <v>0</v>
      </c>
      <c r="AM164" s="632" cm="1">
        <f t="array" ref="AM164">IF($CI164=0,0,IFERROR(INDEX(MHR[],$CI164,MATCH($CA164,MHR!$B$4:$AY$4,0)+11),0))</f>
        <v>0</v>
      </c>
      <c r="AN164" s="633" cm="1">
        <f t="array" ref="AN164">IF(($J164+$V164)=0,0,IFERROR(IF(INDEX(Premises!$A$41:$F$41,1,$CH164)&lt;&gt;0,INDEX(Premises!$A$41:$F$41,1,$CH164)/100,(IFERROR(($J164/$I164)*$AM164,0)/($V164+$J164+$R164+$AL164))),0))</f>
        <v>0</v>
      </c>
      <c r="AO164" s="634">
        <f t="shared" ref="AO164:AO173" si="439">IF(($J164+$V164)=0,0,IF(IFERROR(($J164+$R164+$V164+$AL164)*$AN164,0)&lt;&gt;IFERROR(($J164/$I164)*$AM164,0),($J164+$R164+$V164+$AL164)*$AN164,IFERROR(($J164/$I164)*$AM164,0)))</f>
        <v>0</v>
      </c>
      <c r="AP164" s="635">
        <f t="shared" ref="AP164:AP173" si="440">$V164+$J164+$R164+$AA164+$AF164+$AL164+$AO164</f>
        <v>0</v>
      </c>
      <c r="AQ164" s="410" t="str">
        <f>VLOOKUP($B163,BOM,5,0)</f>
        <v>PE-LD Folienqualitäten</v>
      </c>
      <c r="AR164" s="409">
        <f>BOM!G21</f>
        <v>1.6000000000000001E-3</v>
      </c>
      <c r="AS164" s="636" t="str" cm="1">
        <f t="array" ref="AS164">IF($CJ164=0,0,IFERROR(INDEX(MAT[Einheit],$CJ164,1),0))</f>
        <v>kg</v>
      </c>
      <c r="AT164" s="637" cm="1">
        <f t="array" ref="AT164">IF($CJ164=0,0,IFERROR(INDEX(MAT[Preis],$CJ164,1),0))</f>
        <v>1.58</v>
      </c>
      <c r="AU164" s="638">
        <f t="shared" ref="AU164:AU173" si="441">$AR164*$AT164</f>
        <v>2.5280000000000003E-3</v>
      </c>
      <c r="AV164" s="639" cm="1">
        <f t="array" ref="AV164">IF($AU164&lt;=0,0,INDEX(Premises!$A$30:$F$30,1,$CH164)/100)</f>
        <v>0.01</v>
      </c>
      <c r="AW164" s="409"/>
      <c r="AX164" s="631">
        <f t="shared" ref="AX164:AX173" si="442">IF($AV164=0,0,($AU164+$AW164)*$AV164)</f>
        <v>2.5280000000000002E-5</v>
      </c>
      <c r="AY164" s="640" cm="1">
        <f t="array" ref="AY164">IF($AT164&lt;=0,0,IFERROR(IF(INDEX(Premises!$A$42:$F$42,1,$CH164)&lt;&gt;0,INDEX(Premises!$A$42:$F$42,1,$CH164)/100,(INDEX(MAT[],$CJ164,MATCH($CA164,MAT!$B$4:$AE$4,0))/($AR164*$CK164*INDEX(Premises!$A$13:$F$13,1,$CH164))+INDEX(MAT[],$CJ164,MATCH($CA164,MAT!$B$4:$AE$4,0)+7))/$AT164),0))</f>
        <v>2.2005220299595081</v>
      </c>
      <c r="AZ164" s="631">
        <f t="shared" ref="AZ164:AZ173" si="443">IF($AY164=0,0,($AU164+$AX164)*$AY164)</f>
        <v>5.6185488886550134E-3</v>
      </c>
      <c r="BA164" s="635">
        <f t="shared" ref="BA164:BA173" si="444">$AU164+$AX164+$AZ164</f>
        <v>8.1718288886550132E-3</v>
      </c>
      <c r="BB164" s="635">
        <f t="shared" ref="BB164:BB173" si="445">$AP164+$BA164</f>
        <v>8.1718288886550132E-3</v>
      </c>
      <c r="BC164" s="639" cm="1">
        <f t="array" ref="BC164">IF($BB164&lt;=0,0,IF(BC$2=-1,0,INDEX(Premises!$A$32:$F$32,1,$CH164)/100))</f>
        <v>0</v>
      </c>
      <c r="BD164" s="631">
        <f t="shared" ref="BD164:BD173" si="446">IF($AP164&lt;=0,0,($AP164-$AA164-$AL164)*$BC164)</f>
        <v>0</v>
      </c>
      <c r="BE164" s="639" cm="1">
        <f t="array" ref="BE164">IF($BB164&lt;=0,0,IF(BE$2=-1,0,INDEX(Premises!$A$33:$F$33,1,$CH164)/100))</f>
        <v>0</v>
      </c>
      <c r="BF164" s="631">
        <f t="shared" ref="BF164:BF173" si="447">IF($BA164&lt;=0,0,$BA164*$BE164)</f>
        <v>0</v>
      </c>
      <c r="BG164" s="639" cm="1">
        <f t="array" ref="BG164">IF($BB164&lt;=0,0,IF(BG$2=-1,0,INDEX(Premises!$A$31:$F$31,1,$CH164)/100))</f>
        <v>0.125</v>
      </c>
      <c r="BH164" s="631">
        <f t="shared" ref="BH164:BH173" si="448">(($AP164-$AA164-$AL164)+$BA164)*$BG164</f>
        <v>1.0214786110818766E-3</v>
      </c>
      <c r="BI164" s="635">
        <f t="shared" ref="BI164:BI173" si="449">$BB164+$BD164+$BF164+$BH164</f>
        <v>9.1933074997368903E-3</v>
      </c>
      <c r="BJ164" s="639" cm="1">
        <f t="array" ref="BJ164">IF($BB164&lt;=0,0,IF(BJ$2=-1,0,INDEX(Premises!$A$35:$F$35,1,$CH164)/100))</f>
        <v>0</v>
      </c>
      <c r="BK164" s="631">
        <f t="shared" ref="BK164:BK173" si="450">IF($AP164&lt;=0,0,($AP164-$AL164-$AA164)*$BJ164)</f>
        <v>0</v>
      </c>
      <c r="BL164" s="639" cm="1">
        <f t="array" ref="BL164">IF($BB164&lt;=0,0,IF(BL$2=-1,0,INDEX(Premises!$A$36:$F$36,1,$CH164)/100))</f>
        <v>0</v>
      </c>
      <c r="BM164" s="631">
        <f t="shared" ref="BM164:BM173" si="451">IF($AU164&lt;=0,0,($AR164*$AT164)*$BL164)</f>
        <v>0</v>
      </c>
      <c r="BN164" s="639" cm="1">
        <f t="array" ref="BN164">IF($BB164&lt;=0,0,IF(BN$2=-1,0,INDEX(Premises!$A$34:$F$34,1,$CH164)/100))</f>
        <v>0.06</v>
      </c>
      <c r="BO164" s="631">
        <f t="shared" ref="BO164:BO173" si="452">(($AP164-$AL164-$AA164)+($AR164*$AT164))*$BN164</f>
        <v>1.5168000000000001E-4</v>
      </c>
      <c r="BP164" s="639" cm="1">
        <f t="array" ref="BP164">IF($BI164=0,0,INDEX(Premises!$A$37:$F$37,1,$CH164)/100)</f>
        <v>0</v>
      </c>
      <c r="BQ164" s="409"/>
      <c r="BR164" s="631">
        <f t="shared" ref="BR164:BR173" si="453">($BI164+$BK164+$BM164+$BO164)*$BP164+$BQ164</f>
        <v>0</v>
      </c>
      <c r="BS164" s="641">
        <f t="shared" ref="BS164:BS173" si="454">BI164+BK164+BM164+BO164+BR164</f>
        <v>9.3449874997368898E-3</v>
      </c>
      <c r="BT164" s="641">
        <f t="shared" ref="BT164:BT173" si="455">IF($BS164=0,0,$CK164*$BS164)</f>
        <v>9.3449874997368898E-3</v>
      </c>
      <c r="BU164" s="642">
        <f t="shared" ref="BU164:BU173" si="456">IF($BT164=0,0,MAX(1,$EB164/$DP164))</f>
        <v>1</v>
      </c>
      <c r="BV164" s="417"/>
      <c r="BW164" s="418"/>
      <c r="BX164" s="418"/>
      <c r="BY164" s="419"/>
      <c r="BZ164" s="968"/>
      <c r="CA164" s="280" cm="1">
        <f t="array" ref="CA164">IF($BZ164&gt;0,VALUE(LEFT($BZ164,IF(ISERROR(FIND("-",$BZ164)),LEN($BZ164),FIND("-",$BZ164)-1))),INDEX($CA$1:$CA164,MAX(1,$CD164)))</f>
        <v>1</v>
      </c>
      <c r="CB164" s="280" cm="1">
        <f t="array" ref="CB164">IF($BT164=0,0,IF(LEN($BZ164)-LEN(SUBSTITUTE($BZ164,"-",""))&gt;1,
VALUE(MID($BZ164,FIND("-",$BZ164)+1,FIND("-",$BZ164,FIND("-",$BZ164)+1)-FIND("-",$BZ164)-1)),IF($BZ164&gt;0,0,INDEX($CB$1:$CB164,MAX(1,$CD164)))))</f>
        <v>0</v>
      </c>
      <c r="CC164" s="280" cm="1">
        <f t="array" ref="CC164">IF($BT164=0,0,IF(NOT(ISERROR(FIND("-",BZ164))),
VALUE(RIGHT($BZ164,LEN($BZ164)-IF(LEN($BZ164)-LEN(SUBSTITUTE($BZ164,"-",""))=1,FIND("-",$BZ164),FIND("-",$BZ164,FIND("-",$BZ164)+1)))),
IF($BZ164&gt;0,0,INDEX($CC$1:$CC164,MAX(1,$CD164)))))</f>
        <v>0</v>
      </c>
      <c r="CD164" s="393">
        <f>MATCH(0,$CE$1:$CE164,-1)</f>
        <v>163</v>
      </c>
      <c r="CE164" s="280"/>
      <c r="CF164" s="394"/>
      <c r="CG164" s="393" cm="1">
        <f t="array" ref="CG164">INDEX($CG$1:$CG164,$CD164)</f>
        <v>21</v>
      </c>
      <c r="CH164" s="280">
        <f>MATCH($CA164,Premises!$A$10:$F$10,0)</f>
        <v>4</v>
      </c>
      <c r="CI164" s="280">
        <f>IF(ISBLANK($E164),0,IFERROR(MATCH($E164,MHR[Bezeichnung],0),0))</f>
        <v>0</v>
      </c>
      <c r="CJ164" s="394">
        <f>IF(ISBLANK($AQ164),0,IFERROR(MATCH($AQ164,MAT[Bezeichnung],0),0))</f>
        <v>10</v>
      </c>
      <c r="CK164" s="280" cm="1">
        <f t="array" ref="CK164">INDEX($D$1:$D164,$CD164)</f>
        <v>1</v>
      </c>
      <c r="CL164" s="280"/>
      <c r="CM164" s="395"/>
      <c r="CN164" s="396" cm="1">
        <f t="array" ref="CN164">IF($CB164=0,0,IF($CB164=INDEX($CB$1:$CB164,$CD164),INDEX($CN$1:$CN164,$CD164),$CP164))</f>
        <v>0</v>
      </c>
      <c r="CO164" s="395"/>
      <c r="CP164" s="396" cm="1">
        <f t="array" ref="CP164">IF($CC164=0,0,INDEX($CP$1:$CP164,$CD164))</f>
        <v>0</v>
      </c>
      <c r="CQ164" s="397"/>
      <c r="CR164" s="398"/>
      <c r="CS164" s="398"/>
      <c r="CT164" s="970"/>
      <c r="CU164" s="2"/>
      <c r="CV164" s="647">
        <f t="shared" ref="CV164:CV173" si="457">$J164*$CK164</f>
        <v>0</v>
      </c>
      <c r="CW164" s="648">
        <f t="shared" ref="CW164:CW173" si="458">$R164*$CK164</f>
        <v>0</v>
      </c>
      <c r="CX164" s="648">
        <f t="shared" ref="CX164:CX173" si="459">$V164*$CK164</f>
        <v>0</v>
      </c>
      <c r="CY164" s="648">
        <f t="shared" ref="CY164:CY173" si="460">$AA164*$CK164</f>
        <v>0</v>
      </c>
      <c r="CZ164" s="648">
        <f t="shared" ref="CZ164:CZ173" si="461">$AF164*$CK164</f>
        <v>0</v>
      </c>
      <c r="DA164" s="648">
        <f t="shared" ref="DA164:DA173" si="462">$AL164*$CK164</f>
        <v>0</v>
      </c>
      <c r="DB164" s="648">
        <f t="shared" ref="DB164:DB173" si="463">$AO164*$CK164</f>
        <v>0</v>
      </c>
      <c r="DC164" s="649">
        <f t="shared" ref="DC164:DC173" si="464">$AP164*$CK164</f>
        <v>0</v>
      </c>
      <c r="DD164" s="648">
        <f t="shared" ref="DD164:DD173" si="465">$AU164*$CK164</f>
        <v>2.5280000000000003E-3</v>
      </c>
      <c r="DE164" s="648">
        <f t="shared" ref="DE164:DE173" si="466">$AX164*$CK164</f>
        <v>2.5280000000000002E-5</v>
      </c>
      <c r="DF164" s="648">
        <f t="shared" ref="DF164:DF173" si="467">$AZ164*$CK164</f>
        <v>5.6185488886550134E-3</v>
      </c>
      <c r="DG164" s="649">
        <f t="shared" ref="DG164:DG173" si="468">$BA164*$CK164</f>
        <v>8.1718288886550132E-3</v>
      </c>
      <c r="DH164" s="649">
        <f t="shared" ref="DH164:DH173" si="469">$BB164*$CK164</f>
        <v>8.1718288886550132E-3</v>
      </c>
      <c r="DI164" s="648">
        <f t="shared" ref="DI164:DI173" si="470">$BD164*$CK164</f>
        <v>0</v>
      </c>
      <c r="DJ164" s="648">
        <f t="shared" ref="DJ164:DJ173" si="471">$BF164*$CK164</f>
        <v>0</v>
      </c>
      <c r="DK164" s="648">
        <f t="shared" ref="DK164:DK173" si="472">$BH164*$CK164</f>
        <v>1.0214786110818766E-3</v>
      </c>
      <c r="DL164" s="648">
        <f t="shared" ref="DL164:DL173" si="473">$BK164*$CK164</f>
        <v>0</v>
      </c>
      <c r="DM164" s="648">
        <f t="shared" ref="DM164:DM173" si="474">$BM164*$CK164</f>
        <v>0</v>
      </c>
      <c r="DN164" s="648">
        <f t="shared" ref="DN164:DN173" si="475">$BO164*$CK164</f>
        <v>1.5168000000000001E-4</v>
      </c>
      <c r="DO164" s="648">
        <f t="shared" ref="DO164:DO173" si="476">$BR164*$CK164</f>
        <v>0</v>
      </c>
      <c r="DP164" s="651">
        <f t="shared" ref="DP164:DP173" si="477">$CK164*($BB164+$BD164+$BF164+$BH164+$BK164+$BM164+$BO164+$BR164)</f>
        <v>9.3449874997368898E-3</v>
      </c>
      <c r="DQ164" s="951">
        <f>IF($CB164=0,0,$DP164*_xlfn.XLOOKUP($CB164,Premises!$A$10:$F$10,Premises!$A$30:$F$30)/100)</f>
        <v>0</v>
      </c>
      <c r="DR164" s="650">
        <f>IFERROR(SUM($DP164:$DQ164)*IF(INDEX(Premises!$A$42:$F$42,1,MATCH($CB164,Premises!$A$10:$F$10,0))&gt;0,INDEX(Premises!$A$42:$F$42,1,MATCH($CB164,Premises!$A$10:$F$10,0))%,$CN164),0)</f>
        <v>0</v>
      </c>
      <c r="DS164" s="650" cm="1">
        <f t="array" ref="DS164">IF($CB164=0,0,SUM($DP164:$DR164)*_xlfn.XLOOKUP($CB164,Premises!$A$10:$F$10,IF(INDEX(Settings[],MATCH(3001,Settings[ID],0),2)="B",Premises!$A$33:$F$33,Premises!$A$31:$F$31))/100)</f>
        <v>0</v>
      </c>
      <c r="DT164" s="650" cm="1">
        <f t="array" ref="DT164">IF($CB164=0,0,$DP164*_xlfn.XLOOKUP($CB164,Premises!$A$10:$F$10,IF(INDEX(Settings[],MATCH(3002,Settings[ID],0),2)="B",Premises!$A$36:$F$36,Premises!$A$34:$F$34))/100)</f>
        <v>0</v>
      </c>
      <c r="DU164" s="650">
        <f>IF($CB164=0,0,SUM($DP164:$DT164)*_xlfn.XLOOKUP($CB164,Premises!$A$10:$F$10,Premises!$A$37:$F$37)/100)</f>
        <v>0</v>
      </c>
      <c r="DV164" s="954">
        <f t="shared" ref="DV164:DV173" si="478">SUM($DP164:$DU164)</f>
        <v>9.3449874997368898E-3</v>
      </c>
      <c r="DW164" s="951">
        <f>IF($CC164=0,0,$DV164*_xlfn.XLOOKUP($CC164,Premises!$A$10:$F$10,Premises!$A$30:$F$30)/100)</f>
        <v>0</v>
      </c>
      <c r="DX164" s="650">
        <f>IFERROR(SUM($DV164:$DW164)*IF(INDEX(Premises!$A$42:$F$42,1,MATCH($CC164,Premises!$A$10:$F$10,0))&gt;0,INDEX(Premises!$A$42:$F$42,1,MATCH($CC164,Premises!$A$10:$F$10,0))%,$CP164),0)</f>
        <v>0</v>
      </c>
      <c r="DY164" s="650" cm="1">
        <f t="array" ref="DY164">IF($CC164=0,0,SUM($DV164:$DX164)*_xlfn.XLOOKUP($CC164,Premises!$A$10:$F$10,IF(INDEX(Settings[],MATCH(3001,Settings[ID],0),2)="B",Premises!$A$33:$F$33,Premises!$A$31:$F$31))/100)</f>
        <v>0</v>
      </c>
      <c r="DZ164" s="650" cm="1">
        <f t="array" ref="DZ164">IF($CC164=0,0,$DV164*_xlfn.XLOOKUP($CC164,Premises!$A$10:$F$10,IF(INDEX(Settings[],MATCH(3002,Settings[ID],0),2)="B",Premises!$A$36:$F$36,Premises!$A$34:$F$34))/100)</f>
        <v>0</v>
      </c>
      <c r="EA164" s="650">
        <f>IF($CC164=0,0,SUM($DV164:$DZ164)*_xlfn.XLOOKUP($CC164,Premises!$A$10:$F$10,Premises!$A$37:$F$37)/100)</f>
        <v>0</v>
      </c>
      <c r="EB164" s="651">
        <f t="shared" ref="EB164:EB173" si="479">SUM($DV164:$EA164)</f>
        <v>9.3449874997368898E-3</v>
      </c>
      <c r="EC164" s="805"/>
      <c r="ED164" s="1104"/>
      <c r="EE164" s="650"/>
      <c r="EF164" s="1110"/>
      <c r="EG164" s="1108"/>
      <c r="EH164" s="1108"/>
      <c r="EI164" s="1108"/>
      <c r="EJ164" s="1108"/>
      <c r="EK164" s="1108"/>
      <c r="EL164" s="1108"/>
      <c r="EM164" s="1110"/>
      <c r="EN164" s="1108"/>
      <c r="EO164" s="1108"/>
      <c r="EP164" s="1108"/>
      <c r="EQ164" s="1108"/>
      <c r="ER164" s="1110"/>
      <c r="ES164" s="1108"/>
      <c r="ET164" s="1108"/>
      <c r="EU164" s="1108"/>
      <c r="EV164" s="1108"/>
      <c r="EW164" s="1108"/>
      <c r="EX164" s="1111"/>
      <c r="EY164" s="2"/>
      <c r="EZ164" s="2"/>
      <c r="FA164" s="2"/>
      <c r="FB164" s="2"/>
      <c r="FC164" s="2"/>
      <c r="FD164" s="2"/>
      <c r="FE164" s="2"/>
      <c r="FF164" s="2"/>
      <c r="FG164" s="2"/>
      <c r="FH164" s="2"/>
      <c r="FI164" s="2"/>
      <c r="FJ164" s="420"/>
      <c r="FK164" s="421"/>
      <c r="FL164" s="422"/>
      <c r="FM164" s="970"/>
    </row>
    <row r="165" spans="1:169" s="13" customFormat="1" ht="12.75" customHeight="1">
      <c r="A165" s="221"/>
      <c r="B165" s="402"/>
      <c r="C165" s="403"/>
      <c r="D165" s="646"/>
      <c r="E165" s="404"/>
      <c r="F165" s="405"/>
      <c r="G165" s="405"/>
      <c r="H165" s="405"/>
      <c r="I165" s="637" cm="1">
        <f t="array" ref="I165">IF($CI165=0,0,IFERROR(INDEX(MHR[],$CI165,MATCH($CA165,MHR!$B$4:$AY$4,0)),0))</f>
        <v>0</v>
      </c>
      <c r="J165" s="634">
        <f t="shared" si="432"/>
        <v>0</v>
      </c>
      <c r="K165" s="406"/>
      <c r="L165" s="407"/>
      <c r="M165" s="871"/>
      <c r="N165" s="407"/>
      <c r="O165" s="405"/>
      <c r="P165" s="645" cm="1">
        <f t="array" ref="P165">IF($K165=0,0,IFERROR(ROUNDUP(IF(ISNUMBER($K165),$K165,INDEX($D$1:$D165,$CD165)*INDEX(Premises!$A$13:$F$13,1,$CH165)/IF(OR($K165="T",$K165="D"),250,IF($K165="W",50,IF($K165="M",12,IF(OR($K165="HJ",$K165="HY"),2,IF(OR($K165="J",$K165="Y"),1,0)))))),0),0))</f>
        <v>0</v>
      </c>
      <c r="Q165" s="637" cm="1">
        <f t="array" ref="Q165">IF($K165=0,0,IFERROR(INDEX(Premises!$A$22:$F$22,1,$CH165)*100/INDEX(Premises!$A$16:$F$16,1,$CH165),0))</f>
        <v>0</v>
      </c>
      <c r="R165" s="634">
        <f t="shared" si="433"/>
        <v>0</v>
      </c>
      <c r="S165" s="408"/>
      <c r="T165" s="409"/>
      <c r="U165" s="637" cm="1">
        <f t="array" ref="U165">IF(COUNTBLANK($S165:$T165),0,
IF(AND(INDEX(MHR[Schichtmodell],$CI165)&lt;&gt;0,INDEX(MHR[Schichtmodell],$CI165)&lt;&gt;INDEX(Premises!$A$20:$F$20,1,$CH165)),ExchangeRate*
IF(OR($T165="M",$T165="U"),IF(INDEX(MHR[Schichtmodell],$CI165)=1,INDEX(LOC[M1S],INDEX(Premises!$A$18:$F$18,1,$CH165+1)),IF(INDEX(MHR[Schichtmodell],$CI165)=2,INDEX(LOC[M2S],INDEX(Premises!$A$18:$F$18,1,$CH165+1),IF(INDEX(MHR[Schichtmodell],$CI165)=3,INDEX(LOC[M3S],INDEX(Premises!$A$18:$F$18,1,$CH165+1)),0)))),
IF(INDEX(MHR[Schichtmodell],$CI165)=1,INDEX(LOC[F1S],INDEX(Premises!$A$18:$F$18,1,$CH165+1)),IF(INDEX(MHR[Schichtmodell],$CI165)=2,INDEX(LOC[F2S],INDEX(Premises!$A$18:$F$18,1,$CH165+1)),IF(INDEX(MHR[Schichtmodell],$CI165)=3,INDEX(LOC[F3S],INDEX(Premises!$A$18:$F$18,1,$CH165+1)),0)))),
IF(OR($T165="M",$T165="U"),INDEX(Premises!$A$21:$F$21,1,$CH165),
IF(OR($T165="F",$T165="S"),INDEX(Premises!$A$22:$F$22,1,$CH165),0)))*100/INDEX(Premises!$A$16:$F$16,1,$CH165))</f>
        <v>0</v>
      </c>
      <c r="V165" s="631">
        <f t="shared" si="434"/>
        <v>0</v>
      </c>
      <c r="W165" s="410"/>
      <c r="X165" s="403"/>
      <c r="Y165" s="411"/>
      <c r="Z165" s="412"/>
      <c r="AA165" s="628">
        <f t="shared" si="435"/>
        <v>0</v>
      </c>
      <c r="AB165" s="410"/>
      <c r="AC165" s="403"/>
      <c r="AD165" s="411"/>
      <c r="AE165" s="413"/>
      <c r="AF165" s="628">
        <f t="shared" si="436"/>
        <v>0</v>
      </c>
      <c r="AG165" s="629" cm="1">
        <f t="array" ref="AG165">IF(($J165+$V165+$AF165)=0,0,INDEX(Premises!$A$30:$F$30,1,$CH165)/100)</f>
        <v>0</v>
      </c>
      <c r="AH165" s="414"/>
      <c r="AI165" s="415"/>
      <c r="AJ165" s="416"/>
      <c r="AK165" s="630">
        <f t="shared" si="437"/>
        <v>0</v>
      </c>
      <c r="AL165" s="631">
        <f t="shared" si="438"/>
        <v>0</v>
      </c>
      <c r="AM165" s="632" cm="1">
        <f t="array" ref="AM165">IF($CI165=0,0,IFERROR(INDEX(MHR[],$CI165,MATCH($CA165,MHR!$B$4:$AY$4,0)+11),0))</f>
        <v>0</v>
      </c>
      <c r="AN165" s="633" cm="1">
        <f t="array" ref="AN165">IF(($J165+$V165)=0,0,IFERROR(IF(INDEX(Premises!$A$41:$F$41,1,$CH165)&lt;&gt;0,INDEX(Premises!$A$41:$F$41,1,$CH165)/100,(IFERROR(($J165/$I165)*$AM165,0)/($V165+$J165+$R165+$AL165))),0))</f>
        <v>0</v>
      </c>
      <c r="AO165" s="634">
        <f t="shared" si="439"/>
        <v>0</v>
      </c>
      <c r="AP165" s="635">
        <f t="shared" si="440"/>
        <v>0</v>
      </c>
      <c r="AQ165" s="410"/>
      <c r="AR165" s="409"/>
      <c r="AS165" s="636" cm="1">
        <f t="array" ref="AS165">IF($CJ165=0,0,IFERROR(INDEX(MAT[Einheit],$CJ165,1),0))</f>
        <v>0</v>
      </c>
      <c r="AT165" s="637" cm="1">
        <f t="array" ref="AT165">IF($CJ165=0,0,IFERROR(INDEX(MAT[Preis],$CJ165,1),0))</f>
        <v>0</v>
      </c>
      <c r="AU165" s="638">
        <f t="shared" si="441"/>
        <v>0</v>
      </c>
      <c r="AV165" s="639" cm="1">
        <f t="array" ref="AV165">IF($AU165&lt;=0,0,INDEX(Premises!$A$30:$F$30,1,$CH165)/100)</f>
        <v>0</v>
      </c>
      <c r="AW165" s="409"/>
      <c r="AX165" s="631">
        <f t="shared" si="442"/>
        <v>0</v>
      </c>
      <c r="AY165" s="640" cm="1">
        <f t="array" ref="AY165">IF($AT165&lt;=0,0,IFERROR(IF(INDEX(Premises!$A$42:$F$42,1,$CH165)&lt;&gt;0,INDEX(Premises!$A$42:$F$42,1,$CH165)/100,(INDEX(MAT[],$CJ165,MATCH($CA165,MAT!$B$4:$AE$4,0))/($AR165*$CK165*INDEX(Premises!$A$13:$F$13,1,$CH165))+INDEX(MAT[],$CJ165,MATCH($CA165,MAT!$B$4:$AE$4,0)+7))/$AT165),0))</f>
        <v>0</v>
      </c>
      <c r="AZ165" s="631">
        <f t="shared" si="443"/>
        <v>0</v>
      </c>
      <c r="BA165" s="635">
        <f t="shared" si="444"/>
        <v>0</v>
      </c>
      <c r="BB165" s="635">
        <f t="shared" si="445"/>
        <v>0</v>
      </c>
      <c r="BC165" s="639" cm="1">
        <f t="array" ref="BC165">IF($BB165&lt;=0,0,IF(BC$2=-1,0,INDEX(Premises!$A$32:$F$32,1,$CH165)/100))</f>
        <v>0</v>
      </c>
      <c r="BD165" s="631">
        <f t="shared" si="446"/>
        <v>0</v>
      </c>
      <c r="BE165" s="639" cm="1">
        <f t="array" ref="BE165">IF($BB165&lt;=0,0,IF(BE$2=-1,0,INDEX(Premises!$A$33:$F$33,1,$CH165)/100))</f>
        <v>0</v>
      </c>
      <c r="BF165" s="631">
        <f t="shared" si="447"/>
        <v>0</v>
      </c>
      <c r="BG165" s="639" cm="1">
        <f t="array" ref="BG165">IF($BB165&lt;=0,0,IF(BG$2=-1,0,INDEX(Premises!$A$31:$F$31,1,$CH165)/100))</f>
        <v>0</v>
      </c>
      <c r="BH165" s="631">
        <f t="shared" si="448"/>
        <v>0</v>
      </c>
      <c r="BI165" s="635">
        <f t="shared" si="449"/>
        <v>0</v>
      </c>
      <c r="BJ165" s="639" cm="1">
        <f t="array" ref="BJ165">IF($BB165&lt;=0,0,IF(BJ$2=-1,0,INDEX(Premises!$A$35:$F$35,1,$CH165)/100))</f>
        <v>0</v>
      </c>
      <c r="BK165" s="631">
        <f t="shared" si="450"/>
        <v>0</v>
      </c>
      <c r="BL165" s="639" cm="1">
        <f t="array" ref="BL165">IF($BB165&lt;=0,0,IF(BL$2=-1,0,INDEX(Premises!$A$36:$F$36,1,$CH165)/100))</f>
        <v>0</v>
      </c>
      <c r="BM165" s="631">
        <f t="shared" si="451"/>
        <v>0</v>
      </c>
      <c r="BN165" s="639" cm="1">
        <f t="array" ref="BN165">IF($BB165&lt;=0,0,IF(BN$2=-1,0,INDEX(Premises!$A$34:$F$34,1,$CH165)/100))</f>
        <v>0</v>
      </c>
      <c r="BO165" s="631">
        <f t="shared" si="452"/>
        <v>0</v>
      </c>
      <c r="BP165" s="639" cm="1">
        <f t="array" ref="BP165">IF($BI165=0,0,INDEX(Premises!$A$37:$F$37,1,$CH165)/100)</f>
        <v>0</v>
      </c>
      <c r="BQ165" s="409"/>
      <c r="BR165" s="631">
        <f t="shared" si="453"/>
        <v>0</v>
      </c>
      <c r="BS165" s="641">
        <f t="shared" si="454"/>
        <v>0</v>
      </c>
      <c r="BT165" s="641">
        <f t="shared" si="455"/>
        <v>0</v>
      </c>
      <c r="BU165" s="642">
        <f t="shared" si="456"/>
        <v>0</v>
      </c>
      <c r="BV165" s="1147"/>
      <c r="BW165" s="418"/>
      <c r="BX165" s="418"/>
      <c r="BY165" s="419"/>
      <c r="BZ165" s="968"/>
      <c r="CA165" s="280" cm="1">
        <f t="array" ref="CA165">IF($BZ165&gt;0,VALUE(LEFT($BZ165,IF(ISERROR(FIND("-",$BZ165)),LEN($BZ165),FIND("-",$BZ165)-1))),INDEX($CA$1:$CA165,MAX(1,$CD165)))</f>
        <v>1</v>
      </c>
      <c r="CB165" s="280" cm="1">
        <f t="array" ref="CB165">IF($BT165=0,0,IF(LEN($BZ165)-LEN(SUBSTITUTE($BZ165,"-",""))&gt;1,
VALUE(MID($BZ165,FIND("-",$BZ165)+1,FIND("-",$BZ165,FIND("-",$BZ165)+1)-FIND("-",$BZ165)-1)),IF($BZ165&gt;0,0,INDEX($CB$1:$CB165,MAX(1,$CD165)))))</f>
        <v>0</v>
      </c>
      <c r="CC165" s="280" cm="1">
        <f t="array" ref="CC165">IF($BT165=0,0,IF(NOT(ISERROR(FIND("-",BZ165))),
VALUE(RIGHT($BZ165,LEN($BZ165)-IF(LEN($BZ165)-LEN(SUBSTITUTE($BZ165,"-",""))=1,FIND("-",$BZ165),FIND("-",$BZ165,FIND("-",$BZ165)+1)))),
IF($BZ165&gt;0,0,INDEX($CC$1:$CC165,MAX(1,$CD165)))))</f>
        <v>0</v>
      </c>
      <c r="CD165" s="393">
        <f>MATCH(0,$CE$1:$CE165,-1)</f>
        <v>163</v>
      </c>
      <c r="CE165" s="280"/>
      <c r="CF165" s="394"/>
      <c r="CG165" s="393" cm="1">
        <f t="array" ref="CG165">INDEX($CG$1:$CG165,$CD165)</f>
        <v>21</v>
      </c>
      <c r="CH165" s="280">
        <f>MATCH($CA165,Premises!$A$10:$F$10,0)</f>
        <v>4</v>
      </c>
      <c r="CI165" s="280">
        <f>IF(ISBLANK($E165),0,IFERROR(MATCH($E165,MHR[Bezeichnung],0),0))</f>
        <v>0</v>
      </c>
      <c r="CJ165" s="394">
        <f>IF(ISBLANK($AQ165),0,IFERROR(MATCH($AQ165,MAT[Bezeichnung],0),0))</f>
        <v>0</v>
      </c>
      <c r="CK165" s="280" cm="1">
        <f t="array" ref="CK165">INDEX($D$1:$D165,$CD165)</f>
        <v>1</v>
      </c>
      <c r="CL165" s="280"/>
      <c r="CM165" s="395"/>
      <c r="CN165" s="396" cm="1">
        <f t="array" ref="CN165">IF($CB165=0,0,IF($CB165=INDEX($CB$1:$CB165,$CD165),INDEX($CN$1:$CN165,$CD165),$CP165))</f>
        <v>0</v>
      </c>
      <c r="CO165" s="395"/>
      <c r="CP165" s="396" cm="1">
        <f t="array" ref="CP165">IF($CC165=0,0,INDEX($CP$1:$CP165,$CD165))</f>
        <v>0</v>
      </c>
      <c r="CQ165" s="397"/>
      <c r="CR165" s="398"/>
      <c r="CS165" s="398"/>
      <c r="CT165" s="1152"/>
      <c r="CU165" s="1149"/>
      <c r="CV165" s="647">
        <f t="shared" si="457"/>
        <v>0</v>
      </c>
      <c r="CW165" s="648">
        <f t="shared" si="458"/>
        <v>0</v>
      </c>
      <c r="CX165" s="648">
        <f t="shared" si="459"/>
        <v>0</v>
      </c>
      <c r="CY165" s="648">
        <f t="shared" si="460"/>
        <v>0</v>
      </c>
      <c r="CZ165" s="648">
        <f t="shared" si="461"/>
        <v>0</v>
      </c>
      <c r="DA165" s="648">
        <f t="shared" si="462"/>
        <v>0</v>
      </c>
      <c r="DB165" s="648">
        <f t="shared" si="463"/>
        <v>0</v>
      </c>
      <c r="DC165" s="649">
        <f t="shared" si="464"/>
        <v>0</v>
      </c>
      <c r="DD165" s="648">
        <f t="shared" si="465"/>
        <v>0</v>
      </c>
      <c r="DE165" s="648">
        <f t="shared" si="466"/>
        <v>0</v>
      </c>
      <c r="DF165" s="648">
        <f t="shared" si="467"/>
        <v>0</v>
      </c>
      <c r="DG165" s="649">
        <f t="shared" si="468"/>
        <v>0</v>
      </c>
      <c r="DH165" s="649">
        <f t="shared" si="469"/>
        <v>0</v>
      </c>
      <c r="DI165" s="648">
        <f t="shared" si="470"/>
        <v>0</v>
      </c>
      <c r="DJ165" s="648">
        <f t="shared" si="471"/>
        <v>0</v>
      </c>
      <c r="DK165" s="648">
        <f t="shared" si="472"/>
        <v>0</v>
      </c>
      <c r="DL165" s="648">
        <f t="shared" si="473"/>
        <v>0</v>
      </c>
      <c r="DM165" s="648">
        <f t="shared" si="474"/>
        <v>0</v>
      </c>
      <c r="DN165" s="648">
        <f t="shared" si="475"/>
        <v>0</v>
      </c>
      <c r="DO165" s="648">
        <f t="shared" si="476"/>
        <v>0</v>
      </c>
      <c r="DP165" s="651">
        <f t="shared" si="477"/>
        <v>0</v>
      </c>
      <c r="DQ165" s="951">
        <f>IF($CB165=0,0,$DP165*_xlfn.XLOOKUP($CB165,Premises!$A$10:$F$10,Premises!$A$30:$F$30)/100)</f>
        <v>0</v>
      </c>
      <c r="DR165" s="650">
        <f>IFERROR(SUM($DP165:$DQ165)*IF(INDEX(Premises!$A$42:$F$42,1,MATCH($CB165,Premises!$A$10:$F$10,0))&gt;0,INDEX(Premises!$A$42:$F$42,1,MATCH($CB165,Premises!$A$10:$F$10,0))%,$CN165),0)</f>
        <v>0</v>
      </c>
      <c r="DS165" s="650" cm="1">
        <f t="array" ref="DS165">IF($CB165=0,0,SUM($DP165:$DR165)*_xlfn.XLOOKUP($CB165,Premises!$A$10:$F$10,IF(INDEX(Settings[],MATCH(3001,Settings[ID],0),2)="B",Premises!$A$33:$F$33,Premises!$A$31:$F$31))/100)</f>
        <v>0</v>
      </c>
      <c r="DT165" s="650" cm="1">
        <f t="array" ref="DT165">IF($CB165=0,0,$DP165*_xlfn.XLOOKUP($CB165,Premises!$A$10:$F$10,IF(INDEX(Settings[],MATCH(3002,Settings[ID],0),2)="B",Premises!$A$36:$F$36,Premises!$A$34:$F$34))/100)</f>
        <v>0</v>
      </c>
      <c r="DU165" s="650">
        <f>IF($CB165=0,0,SUM($DP165:$DT165)*_xlfn.XLOOKUP($CB165,Premises!$A$10:$F$10,Premises!$A$37:$F$37)/100)</f>
        <v>0</v>
      </c>
      <c r="DV165" s="954">
        <f t="shared" si="478"/>
        <v>0</v>
      </c>
      <c r="DW165" s="951">
        <f>IF($CC165=0,0,$DV165*_xlfn.XLOOKUP($CC165,Premises!$A$10:$F$10,Premises!$A$30:$F$30)/100)</f>
        <v>0</v>
      </c>
      <c r="DX165" s="650">
        <f>IFERROR(SUM($DV165:$DW165)*IF(INDEX(Premises!$A$42:$F$42,1,MATCH($CC165,Premises!$A$10:$F$10,0))&gt;0,INDEX(Premises!$A$42:$F$42,1,MATCH($CC165,Premises!$A$10:$F$10,0))%,$CP165),0)</f>
        <v>0</v>
      </c>
      <c r="DY165" s="650" cm="1">
        <f t="array" ref="DY165">IF($CC165=0,0,SUM($DV165:$DX165)*_xlfn.XLOOKUP($CC165,Premises!$A$10:$F$10,IF(INDEX(Settings[],MATCH(3001,Settings[ID],0),2)="B",Premises!$A$33:$F$33,Premises!$A$31:$F$31))/100)</f>
        <v>0</v>
      </c>
      <c r="DZ165" s="650" cm="1">
        <f t="array" ref="DZ165">IF($CC165=0,0,$DV165*_xlfn.XLOOKUP($CC165,Premises!$A$10:$F$10,IF(INDEX(Settings[],MATCH(3002,Settings[ID],0),2)="B",Premises!$A$36:$F$36,Premises!$A$34:$F$34))/100)</f>
        <v>0</v>
      </c>
      <c r="EA165" s="650">
        <f>IF($CC165=0,0,SUM($DV165:$DZ165)*_xlfn.XLOOKUP($CC165,Premises!$A$10:$F$10,Premises!$A$37:$F$37)/100)</f>
        <v>0</v>
      </c>
      <c r="EB165" s="651">
        <f t="shared" si="479"/>
        <v>0</v>
      </c>
      <c r="EC165" s="805"/>
      <c r="ED165" s="1104"/>
      <c r="EE165" s="650"/>
      <c r="EF165" s="1110"/>
      <c r="EG165" s="1108"/>
      <c r="EH165" s="1108"/>
      <c r="EI165" s="1108"/>
      <c r="EJ165" s="1108"/>
      <c r="EK165" s="1108"/>
      <c r="EL165" s="1108"/>
      <c r="EM165" s="1110"/>
      <c r="EN165" s="1108"/>
      <c r="EO165" s="1108"/>
      <c r="EP165" s="1108"/>
      <c r="EQ165" s="1108"/>
      <c r="ER165" s="1110"/>
      <c r="ES165" s="1108"/>
      <c r="ET165" s="1108"/>
      <c r="EU165" s="1108"/>
      <c r="EV165" s="1108"/>
      <c r="EW165" s="1108"/>
      <c r="EX165" s="1111"/>
      <c r="EY165" s="2"/>
      <c r="EZ165" s="2"/>
      <c r="FA165" s="2"/>
      <c r="FB165" s="2"/>
      <c r="FC165" s="2"/>
      <c r="FD165" s="2"/>
      <c r="FE165" s="2"/>
      <c r="FF165" s="2"/>
      <c r="FG165" s="2"/>
      <c r="FH165" s="2"/>
      <c r="FI165" s="2"/>
      <c r="FJ165" s="420"/>
      <c r="FK165" s="421"/>
      <c r="FL165" s="422"/>
      <c r="FM165" s="1153"/>
    </row>
    <row r="166" spans="1:169" s="13" customFormat="1" ht="12.75" customHeight="1">
      <c r="A166" s="221"/>
      <c r="B166" s="1329" t="s">
        <v>4338</v>
      </c>
      <c r="C166" s="403" t="s">
        <v>4347</v>
      </c>
      <c r="D166" s="646"/>
      <c r="E166" s="404" t="s">
        <v>4345</v>
      </c>
      <c r="F166" s="405">
        <v>1</v>
      </c>
      <c r="G166" s="405" t="s">
        <v>93</v>
      </c>
      <c r="H166" s="405">
        <v>41.6</v>
      </c>
      <c r="I166" s="637" cm="1">
        <f t="array" ref="I166">IF($CI166=0,0,IFERROR(INDEX(MHR[],$CI166,MATCH($CA166,MHR!$B$4:$AY$4,0)),0))</f>
        <v>50.88640625</v>
      </c>
      <c r="J166" s="634">
        <f t="shared" si="432"/>
        <v>3.3978636651976491E-4</v>
      </c>
      <c r="K166" s="406" t="s">
        <v>49</v>
      </c>
      <c r="L166" s="407">
        <v>30</v>
      </c>
      <c r="M166" s="871">
        <v>2</v>
      </c>
      <c r="N166" s="407"/>
      <c r="O166" s="405"/>
      <c r="P166" s="645" cm="1">
        <f t="array" ref="P166">IF($K166=0,0,IFERROR(ROUNDUP(IF(ISNUMBER($K166),$K166,INDEX($D$1:$D166,$CD166)*INDEX(Premises!$A$13:$F$13,1,$CH166)/IF(OR($K166="T",$K166="D"),250,IF($K166="W",50,IF($K166="M",12,IF(OR($K166="HJ",$K166="HY"),2,IF(OR($K166="J",$K166="Y"),1,0)))))),0),0))</f>
        <v>3334</v>
      </c>
      <c r="Q166" s="637" cm="1">
        <f t="array" ref="Q166">IF($K166=0,0,IFERROR(INDEX(Premises!$A$22:$F$22,1,$CH166)*100/INDEX(Premises!$A$16:$F$16,1,$CH166),0))</f>
        <v>16.925000000000001</v>
      </c>
      <c r="R166" s="634">
        <f t="shared" si="433"/>
        <v>1.2707919353629275E-2</v>
      </c>
      <c r="S166" s="408">
        <v>1</v>
      </c>
      <c r="T166" s="409" t="s">
        <v>275</v>
      </c>
      <c r="U166" s="637" cm="1">
        <f t="array" ref="U166">IF(COUNTBLANK($S166:$T166),0,
IF(AND(INDEX(MHR[Schichtmodell],$CI166)&lt;&gt;0,INDEX(MHR[Schichtmodell],$CI166)&lt;&gt;INDEX(Premises!$A$20:$F$20,1,$CH166)),ExchangeRate*
IF(OR($T166="M",$T166="U"),IF(INDEX(MHR[Schichtmodell],$CI166)=1,INDEX(LOC[M1S],INDEX(Premises!$A$18:$F$18,1,$CH166+1)),IF(INDEX(MHR[Schichtmodell],$CI166)=2,INDEX(LOC[M2S],INDEX(Premises!$A$18:$F$18,1,$CH166+1),IF(INDEX(MHR[Schichtmodell],$CI166)=3,INDEX(LOC[M3S],INDEX(Premises!$A$18:$F$18,1,$CH166+1)),0)))),
IF(INDEX(MHR[Schichtmodell],$CI166)=1,INDEX(LOC[F1S],INDEX(Premises!$A$18:$F$18,1,$CH166+1)),IF(INDEX(MHR[Schichtmodell],$CI166)=2,INDEX(LOC[F2S],INDEX(Premises!$A$18:$F$18,1,$CH166+1)),IF(INDEX(MHR[Schichtmodell],$CI166)=3,INDEX(LOC[F3S],INDEX(Premises!$A$18:$F$18,1,$CH166+1)),0)))),
IF(OR($T166="M",$T166="U"),INDEX(Premises!$A$21:$F$21,1,$CH166),
IF(OR($T166="F",$T166="S"),INDEX(Premises!$A$22:$F$22,1,$CH166),0)))*100/INDEX(Premises!$A$16:$F$16,1,$CH166))</f>
        <v>12.037500000000001</v>
      </c>
      <c r="V166" s="631">
        <f t="shared" si="434"/>
        <v>8.0378605769230766E-5</v>
      </c>
      <c r="W166" s="410"/>
      <c r="X166" s="403"/>
      <c r="Y166" s="411"/>
      <c r="Z166" s="412"/>
      <c r="AA166" s="628">
        <f t="shared" si="435"/>
        <v>0</v>
      </c>
      <c r="AB166" s="410"/>
      <c r="AC166" s="403"/>
      <c r="AD166" s="411"/>
      <c r="AE166" s="413"/>
      <c r="AF166" s="628">
        <f t="shared" si="436"/>
        <v>0</v>
      </c>
      <c r="AG166" s="629" cm="1">
        <f t="array" ref="AG166">IF(($J166+$V166+$AF166)=0,0,INDEX(Premises!$A$30:$F$30,1,$CH166)/100)</f>
        <v>0.01</v>
      </c>
      <c r="AH166" s="414"/>
      <c r="AI166" s="415"/>
      <c r="AJ166" s="416"/>
      <c r="AK166" s="630">
        <f t="shared" si="437"/>
        <v>0</v>
      </c>
      <c r="AL166" s="631">
        <f t="shared" si="438"/>
        <v>4.2016497228899566E-6</v>
      </c>
      <c r="AM166" s="632" cm="1">
        <f t="array" ref="AM166">IF($CI166=0,0,IFERROR(INDEX(MHR[],$CI166,MATCH($CA166,MHR!$B$4:$AY$4,0)+11),0))</f>
        <v>4.2450010155189757</v>
      </c>
      <c r="AN166" s="633" cm="1">
        <f t="array" ref="AN166">IF(($J166+$V166)=0,0,IFERROR(IF(INDEX(Premises!$A$41:$F$41,1,$CH166)&lt;&gt;0,INDEX(Premises!$A$41:$F$41,1,$CH166)/100,(IFERROR(($J166/$I166)*$AM166,0)/($V166+$J166+$R166+$AL166))),0))</f>
        <v>2.1584482242966623E-3</v>
      </c>
      <c r="AO166" s="634">
        <f t="shared" si="439"/>
        <v>2.8345359345078627E-5</v>
      </c>
      <c r="AP166" s="635">
        <f t="shared" si="440"/>
        <v>1.3160631334986241E-2</v>
      </c>
      <c r="AQ166" s="410"/>
      <c r="AR166" s="409"/>
      <c r="AS166" s="636" cm="1">
        <f t="array" ref="AS166">IF($CJ166=0,0,IFERROR(INDEX(MAT[Einheit],$CJ166,1),0))</f>
        <v>0</v>
      </c>
      <c r="AT166" s="637" cm="1">
        <f t="array" ref="AT166">IF($CJ166=0,0,IFERROR(INDEX(MAT[Preis],$CJ166,1),0))</f>
        <v>0</v>
      </c>
      <c r="AU166" s="638">
        <f t="shared" si="441"/>
        <v>0</v>
      </c>
      <c r="AV166" s="639" cm="1">
        <f t="array" ref="AV166">IF($AU166&lt;=0,0,INDEX(Premises!$A$30:$F$30,1,$CH166)/100)</f>
        <v>0</v>
      </c>
      <c r="AW166" s="409"/>
      <c r="AX166" s="631">
        <f t="shared" si="442"/>
        <v>0</v>
      </c>
      <c r="AY166" s="640" cm="1">
        <f t="array" ref="AY166">IF($AT166&lt;=0,0,IFERROR(IF(INDEX(Premises!$A$42:$F$42,1,$CH166)&lt;&gt;0,INDEX(Premises!$A$42:$F$42,1,$CH166)/100,(INDEX(MAT[],$CJ166,MATCH($CA166,MAT!$B$4:$AE$4,0))/($AR166*$CK166*INDEX(Premises!$A$13:$F$13,1,$CH166))+INDEX(MAT[],$CJ166,MATCH($CA166,MAT!$B$4:$AE$4,0)+7))/$AT166),0))</f>
        <v>0</v>
      </c>
      <c r="AZ166" s="631">
        <f t="shared" si="443"/>
        <v>0</v>
      </c>
      <c r="BA166" s="635">
        <f t="shared" si="444"/>
        <v>0</v>
      </c>
      <c r="BB166" s="635">
        <f t="shared" si="445"/>
        <v>1.3160631334986241E-2</v>
      </c>
      <c r="BC166" s="639" cm="1">
        <f t="array" ref="BC166">IF($BB166&lt;=0,0,IF(BC$2=-1,0,INDEX(Premises!$A$32:$F$32,1,$CH166)/100))</f>
        <v>0</v>
      </c>
      <c r="BD166" s="631">
        <f t="shared" si="446"/>
        <v>0</v>
      </c>
      <c r="BE166" s="639" cm="1">
        <f t="array" ref="BE166">IF($BB166&lt;=0,0,IF(BE$2=-1,0,INDEX(Premises!$A$33:$F$33,1,$CH166)/100))</f>
        <v>0</v>
      </c>
      <c r="BF166" s="631">
        <f t="shared" si="447"/>
        <v>0</v>
      </c>
      <c r="BG166" s="639" cm="1">
        <f t="array" ref="BG166">IF($BB166&lt;=0,0,IF(BG$2=-1,0,INDEX(Premises!$A$31:$F$31,1,$CH166)/100))</f>
        <v>0.125</v>
      </c>
      <c r="BH166" s="631">
        <f t="shared" si="448"/>
        <v>1.6445537106579188E-3</v>
      </c>
      <c r="BI166" s="635">
        <f t="shared" si="449"/>
        <v>1.4805185045644161E-2</v>
      </c>
      <c r="BJ166" s="639" cm="1">
        <f t="array" ref="BJ166">IF($BB166&lt;=0,0,IF(BJ$2=-1,0,INDEX(Premises!$A$35:$F$35,1,$CH166)/100))</f>
        <v>0</v>
      </c>
      <c r="BK166" s="631">
        <f t="shared" si="450"/>
        <v>0</v>
      </c>
      <c r="BL166" s="639" cm="1">
        <f t="array" ref="BL166">IF($BB166&lt;=0,0,IF(BL$2=-1,0,INDEX(Premises!$A$36:$F$36,1,$CH166)/100))</f>
        <v>0</v>
      </c>
      <c r="BM166" s="631">
        <f t="shared" si="451"/>
        <v>0</v>
      </c>
      <c r="BN166" s="639" cm="1">
        <f t="array" ref="BN166">IF($BB166&lt;=0,0,IF(BN$2=-1,0,INDEX(Premises!$A$34:$F$34,1,$CH166)/100))</f>
        <v>0.06</v>
      </c>
      <c r="BO166" s="631">
        <f t="shared" si="452"/>
        <v>7.8938578111580103E-4</v>
      </c>
      <c r="BP166" s="639" cm="1">
        <f t="array" ref="BP166">IF($BI166=0,0,INDEX(Premises!$A$37:$F$37,1,$CH166)/100)</f>
        <v>0</v>
      </c>
      <c r="BQ166" s="409"/>
      <c r="BR166" s="631">
        <f t="shared" si="453"/>
        <v>0</v>
      </c>
      <c r="BS166" s="641">
        <f t="shared" si="454"/>
        <v>1.5594570826759961E-2</v>
      </c>
      <c r="BT166" s="641">
        <f t="shared" si="455"/>
        <v>1.5594570826759961E-2</v>
      </c>
      <c r="BU166" s="642">
        <f t="shared" si="456"/>
        <v>1</v>
      </c>
      <c r="BV166" s="1147"/>
      <c r="BW166" s="418"/>
      <c r="BX166" s="418"/>
      <c r="BY166" s="419"/>
      <c r="BZ166" s="968"/>
      <c r="CA166" s="280" cm="1">
        <f t="array" ref="CA166">IF($BZ166&gt;0,VALUE(LEFT($BZ166,IF(ISERROR(FIND("-",$BZ166)),LEN($BZ166),FIND("-",$BZ166)-1))),INDEX($CA$1:$CA166,MAX(1,$CD166)))</f>
        <v>1</v>
      </c>
      <c r="CB166" s="280" cm="1">
        <f t="array" ref="CB166">IF($BT166=0,0,IF(LEN($BZ166)-LEN(SUBSTITUTE($BZ166,"-",""))&gt;1,
VALUE(MID($BZ166,FIND("-",$BZ166)+1,FIND("-",$BZ166,FIND("-",$BZ166)+1)-FIND("-",$BZ166)-1)),IF($BZ166&gt;0,0,INDEX($CB$1:$CB166,MAX(1,$CD166)))))</f>
        <v>0</v>
      </c>
      <c r="CC166" s="280" cm="1">
        <f t="array" ref="CC166">IF($BT166=0,0,IF(NOT(ISERROR(FIND("-",BZ166))),
VALUE(RIGHT($BZ166,LEN($BZ166)-IF(LEN($BZ166)-LEN(SUBSTITUTE($BZ166,"-",""))=1,FIND("-",$BZ166),FIND("-",$BZ166,FIND("-",$BZ166)+1)))),
IF($BZ166&gt;0,0,INDEX($CC$1:$CC166,MAX(1,$CD166)))))</f>
        <v>0</v>
      </c>
      <c r="CD166" s="393">
        <f>MATCH(0,$CE$1:$CE166,-1)</f>
        <v>163</v>
      </c>
      <c r="CE166" s="280"/>
      <c r="CF166" s="394"/>
      <c r="CG166" s="393" cm="1">
        <f t="array" ref="CG166">INDEX($CG$1:$CG166,$CD166)</f>
        <v>21</v>
      </c>
      <c r="CH166" s="280">
        <f>MATCH($CA166,Premises!$A$10:$F$10,0)</f>
        <v>4</v>
      </c>
      <c r="CI166" s="280">
        <f>IF(ISBLANK($E166),0,IFERROR(MATCH($E166,MHR[Bezeichnung],0),0))</f>
        <v>6</v>
      </c>
      <c r="CJ166" s="394">
        <f>IF(ISBLANK($AQ166),0,IFERROR(MATCH($AQ166,MAT[Bezeichnung],0),0))</f>
        <v>0</v>
      </c>
      <c r="CK166" s="280" cm="1">
        <f t="array" ref="CK166">INDEX($D$1:$D166,$CD166)</f>
        <v>1</v>
      </c>
      <c r="CL166" s="280"/>
      <c r="CM166" s="395"/>
      <c r="CN166" s="396" cm="1">
        <f t="array" ref="CN166">IF($CB166=0,0,IF($CB166=INDEX($CB$1:$CB166,$CD166),INDEX($CN$1:$CN166,$CD166),$CP166))</f>
        <v>0</v>
      </c>
      <c r="CO166" s="395"/>
      <c r="CP166" s="396" cm="1">
        <f t="array" ref="CP166">IF($CC166=0,0,INDEX($CP$1:$CP166,$CD166))</f>
        <v>0</v>
      </c>
      <c r="CQ166" s="397"/>
      <c r="CR166" s="398"/>
      <c r="CS166" s="398"/>
      <c r="CT166" s="1152"/>
      <c r="CU166" s="1149"/>
      <c r="CV166" s="647">
        <f t="shared" si="457"/>
        <v>3.3978636651976491E-4</v>
      </c>
      <c r="CW166" s="648">
        <f t="shared" si="458"/>
        <v>1.2707919353629275E-2</v>
      </c>
      <c r="CX166" s="648">
        <f t="shared" si="459"/>
        <v>8.0378605769230766E-5</v>
      </c>
      <c r="CY166" s="648">
        <f t="shared" si="460"/>
        <v>0</v>
      </c>
      <c r="CZ166" s="648">
        <f t="shared" si="461"/>
        <v>0</v>
      </c>
      <c r="DA166" s="648">
        <f t="shared" si="462"/>
        <v>4.2016497228899566E-6</v>
      </c>
      <c r="DB166" s="648">
        <f t="shared" si="463"/>
        <v>2.8345359345078627E-5</v>
      </c>
      <c r="DC166" s="649">
        <f t="shared" si="464"/>
        <v>1.3160631334986241E-2</v>
      </c>
      <c r="DD166" s="648">
        <f t="shared" si="465"/>
        <v>0</v>
      </c>
      <c r="DE166" s="648">
        <f t="shared" si="466"/>
        <v>0</v>
      </c>
      <c r="DF166" s="648">
        <f t="shared" si="467"/>
        <v>0</v>
      </c>
      <c r="DG166" s="649">
        <f t="shared" si="468"/>
        <v>0</v>
      </c>
      <c r="DH166" s="649">
        <f t="shared" si="469"/>
        <v>1.3160631334986241E-2</v>
      </c>
      <c r="DI166" s="648">
        <f t="shared" si="470"/>
        <v>0</v>
      </c>
      <c r="DJ166" s="648">
        <f t="shared" si="471"/>
        <v>0</v>
      </c>
      <c r="DK166" s="648">
        <f t="shared" si="472"/>
        <v>1.6445537106579188E-3</v>
      </c>
      <c r="DL166" s="648">
        <f t="shared" si="473"/>
        <v>0</v>
      </c>
      <c r="DM166" s="648">
        <f t="shared" si="474"/>
        <v>0</v>
      </c>
      <c r="DN166" s="648">
        <f t="shared" si="475"/>
        <v>7.8938578111580103E-4</v>
      </c>
      <c r="DO166" s="648">
        <f t="shared" si="476"/>
        <v>0</v>
      </c>
      <c r="DP166" s="651">
        <f t="shared" si="477"/>
        <v>1.5594570826759961E-2</v>
      </c>
      <c r="DQ166" s="951">
        <f>IF($CB166=0,0,$DP166*_xlfn.XLOOKUP($CB166,Premises!$A$10:$F$10,Premises!$A$30:$F$30)/100)</f>
        <v>0</v>
      </c>
      <c r="DR166" s="650">
        <f>IFERROR(SUM($DP166:$DQ166)*IF(INDEX(Premises!$A$42:$F$42,1,MATCH($CB166,Premises!$A$10:$F$10,0))&gt;0,INDEX(Premises!$A$42:$F$42,1,MATCH($CB166,Premises!$A$10:$F$10,0))%,$CN166),0)</f>
        <v>0</v>
      </c>
      <c r="DS166" s="650" cm="1">
        <f t="array" ref="DS166">IF($CB166=0,0,SUM($DP166:$DR166)*_xlfn.XLOOKUP($CB166,Premises!$A$10:$F$10,IF(INDEX(Settings[],MATCH(3001,Settings[ID],0),2)="B",Premises!$A$33:$F$33,Premises!$A$31:$F$31))/100)</f>
        <v>0</v>
      </c>
      <c r="DT166" s="650" cm="1">
        <f t="array" ref="DT166">IF($CB166=0,0,$DP166*_xlfn.XLOOKUP($CB166,Premises!$A$10:$F$10,IF(INDEX(Settings[],MATCH(3002,Settings[ID],0),2)="B",Premises!$A$36:$F$36,Premises!$A$34:$F$34))/100)</f>
        <v>0</v>
      </c>
      <c r="DU166" s="650">
        <f>IF($CB166=0,0,SUM($DP166:$DT166)*_xlfn.XLOOKUP($CB166,Premises!$A$10:$F$10,Premises!$A$37:$F$37)/100)</f>
        <v>0</v>
      </c>
      <c r="DV166" s="954">
        <f t="shared" si="478"/>
        <v>1.5594570826759961E-2</v>
      </c>
      <c r="DW166" s="951">
        <f>IF($CC166=0,0,$DV166*_xlfn.XLOOKUP($CC166,Premises!$A$10:$F$10,Premises!$A$30:$F$30)/100)</f>
        <v>0</v>
      </c>
      <c r="DX166" s="650">
        <f>IFERROR(SUM($DV166:$DW166)*IF(INDEX(Premises!$A$42:$F$42,1,MATCH($CC166,Premises!$A$10:$F$10,0))&gt;0,INDEX(Premises!$A$42:$F$42,1,MATCH($CC166,Premises!$A$10:$F$10,0))%,$CP166),0)</f>
        <v>0</v>
      </c>
      <c r="DY166" s="650" cm="1">
        <f t="array" ref="DY166">IF($CC166=0,0,SUM($DV166:$DX166)*_xlfn.XLOOKUP($CC166,Premises!$A$10:$F$10,IF(INDEX(Settings[],MATCH(3001,Settings[ID],0),2)="B",Premises!$A$33:$F$33,Premises!$A$31:$F$31))/100)</f>
        <v>0</v>
      </c>
      <c r="DZ166" s="650" cm="1">
        <f t="array" ref="DZ166">IF($CC166=0,0,$DV166*_xlfn.XLOOKUP($CC166,Premises!$A$10:$F$10,IF(INDEX(Settings[],MATCH(3002,Settings[ID],0),2)="B",Premises!$A$36:$F$36,Premises!$A$34:$F$34))/100)</f>
        <v>0</v>
      </c>
      <c r="EA166" s="650">
        <f>IF($CC166=0,0,SUM($DV166:$DZ166)*_xlfn.XLOOKUP($CC166,Premises!$A$10:$F$10,Premises!$A$37:$F$37)/100)</f>
        <v>0</v>
      </c>
      <c r="EB166" s="651">
        <f t="shared" si="479"/>
        <v>1.5594570826759961E-2</v>
      </c>
      <c r="EC166" s="805"/>
      <c r="ED166" s="1104"/>
      <c r="EE166" s="650"/>
      <c r="EF166" s="1110"/>
      <c r="EG166" s="1108"/>
      <c r="EH166" s="1108"/>
      <c r="EI166" s="1108"/>
      <c r="EJ166" s="1108"/>
      <c r="EK166" s="1108"/>
      <c r="EL166" s="1108"/>
      <c r="EM166" s="1110"/>
      <c r="EN166" s="1108"/>
      <c r="EO166" s="1108"/>
      <c r="EP166" s="1108"/>
      <c r="EQ166" s="1108"/>
      <c r="ER166" s="1110"/>
      <c r="ES166" s="1108"/>
      <c r="ET166" s="1108"/>
      <c r="EU166" s="1108"/>
      <c r="EV166" s="1108"/>
      <c r="EW166" s="1108"/>
      <c r="EX166" s="1111"/>
      <c r="EY166" s="2"/>
      <c r="EZ166" s="2"/>
      <c r="FA166" s="2"/>
      <c r="FB166" s="2"/>
      <c r="FC166" s="2"/>
      <c r="FD166" s="2"/>
      <c r="FE166" s="2"/>
      <c r="FF166" s="2"/>
      <c r="FG166" s="2"/>
      <c r="FH166" s="2"/>
      <c r="FI166" s="2"/>
      <c r="FJ166" s="420"/>
      <c r="FK166" s="421"/>
      <c r="FL166" s="422"/>
      <c r="FM166" s="1153"/>
    </row>
    <row r="167" spans="1:169" s="13" customFormat="1" ht="12.75" customHeight="1">
      <c r="A167" s="221"/>
      <c r="B167" s="1329"/>
      <c r="C167" s="403"/>
      <c r="D167" s="646"/>
      <c r="E167" s="404"/>
      <c r="F167" s="405"/>
      <c r="G167" s="405"/>
      <c r="H167" s="405"/>
      <c r="I167" s="637" cm="1">
        <f t="array" ref="I167">IF($CI167=0,0,IFERROR(INDEX(MHR[],$CI167,MATCH($CA167,MHR!$B$4:$AY$4,0)),0))</f>
        <v>0</v>
      </c>
      <c r="J167" s="634">
        <f t="shared" si="432"/>
        <v>0</v>
      </c>
      <c r="K167" s="406"/>
      <c r="L167" s="407"/>
      <c r="M167" s="871"/>
      <c r="N167" s="407"/>
      <c r="O167" s="405"/>
      <c r="P167" s="645" cm="1">
        <f t="array" ref="P167">IF($K167=0,0,IFERROR(ROUNDUP(IF(ISNUMBER($K167),$K167,INDEX($D$1:$D167,$CD167)*INDEX(Premises!$A$13:$F$13,1,$CH167)/IF(OR($K167="T",$K167="D"),250,IF($K167="W",50,IF($K167="M",12,IF(OR($K167="HJ",$K167="HY"),2,IF(OR($K167="J",$K167="Y"),1,0)))))),0),0))</f>
        <v>0</v>
      </c>
      <c r="Q167" s="637" cm="1">
        <f t="array" ref="Q167">IF($K167=0,0,IFERROR(INDEX(Premises!$A$22:$F$22,1,$CH167)*100/INDEX(Premises!$A$16:$F$16,1,$CH167),0))</f>
        <v>0</v>
      </c>
      <c r="R167" s="634">
        <f t="shared" si="433"/>
        <v>0</v>
      </c>
      <c r="S167" s="408"/>
      <c r="T167" s="409"/>
      <c r="U167" s="637" cm="1">
        <f t="array" ref="U167">IF(COUNTBLANK($S167:$T167),0,
IF(AND(INDEX(MHR[Schichtmodell],$CI167)&lt;&gt;0,INDEX(MHR[Schichtmodell],$CI167)&lt;&gt;INDEX(Premises!$A$20:$F$20,1,$CH167)),ExchangeRate*
IF(OR($T167="M",$T167="U"),IF(INDEX(MHR[Schichtmodell],$CI167)=1,INDEX(LOC[M1S],INDEX(Premises!$A$18:$F$18,1,$CH167+1)),IF(INDEX(MHR[Schichtmodell],$CI167)=2,INDEX(LOC[M2S],INDEX(Premises!$A$18:$F$18,1,$CH167+1),IF(INDEX(MHR[Schichtmodell],$CI167)=3,INDEX(LOC[M3S],INDEX(Premises!$A$18:$F$18,1,$CH167+1)),0)))),
IF(INDEX(MHR[Schichtmodell],$CI167)=1,INDEX(LOC[F1S],INDEX(Premises!$A$18:$F$18,1,$CH167+1)),IF(INDEX(MHR[Schichtmodell],$CI167)=2,INDEX(LOC[F2S],INDEX(Premises!$A$18:$F$18,1,$CH167+1)),IF(INDEX(MHR[Schichtmodell],$CI167)=3,INDEX(LOC[F3S],INDEX(Premises!$A$18:$F$18,1,$CH167+1)),0)))),
IF(OR($T167="M",$T167="U"),INDEX(Premises!$A$21:$F$21,1,$CH167),
IF(OR($T167="F",$T167="S"),INDEX(Premises!$A$22:$F$22,1,$CH167),0)))*100/INDEX(Premises!$A$16:$F$16,1,$CH167))</f>
        <v>0</v>
      </c>
      <c r="V167" s="631">
        <f t="shared" si="434"/>
        <v>0</v>
      </c>
      <c r="W167" s="410"/>
      <c r="X167" s="403"/>
      <c r="Y167" s="411"/>
      <c r="Z167" s="412"/>
      <c r="AA167" s="628">
        <f t="shared" si="435"/>
        <v>0</v>
      </c>
      <c r="AB167" s="410"/>
      <c r="AC167" s="403"/>
      <c r="AD167" s="411"/>
      <c r="AE167" s="413"/>
      <c r="AF167" s="628">
        <f t="shared" si="436"/>
        <v>0</v>
      </c>
      <c r="AG167" s="629" cm="1">
        <f t="array" ref="AG167">IF(($J167+$V167+$AF167)=0,0,INDEX(Premises!$A$30:$F$30,1,$CH167)/100)</f>
        <v>0</v>
      </c>
      <c r="AH167" s="414"/>
      <c r="AI167" s="415"/>
      <c r="AJ167" s="416"/>
      <c r="AK167" s="630">
        <f t="shared" si="437"/>
        <v>0</v>
      </c>
      <c r="AL167" s="631">
        <f t="shared" si="438"/>
        <v>0</v>
      </c>
      <c r="AM167" s="632" cm="1">
        <f t="array" ref="AM167">IF($CI167=0,0,IFERROR(INDEX(MHR[],$CI167,MATCH($CA167,MHR!$B$4:$AY$4,0)+11),0))</f>
        <v>0</v>
      </c>
      <c r="AN167" s="633" cm="1">
        <f t="array" ref="AN167">IF(($J167+$V167)=0,0,IFERROR(IF(INDEX(Premises!$A$41:$F$41,1,$CH167)&lt;&gt;0,INDEX(Premises!$A$41:$F$41,1,$CH167)/100,(IFERROR(($J167/$I167)*$AM167,0)/($V167+$J167+$R167+$AL167))),0))</f>
        <v>0</v>
      </c>
      <c r="AO167" s="634">
        <f t="shared" si="439"/>
        <v>0</v>
      </c>
      <c r="AP167" s="635">
        <f t="shared" si="440"/>
        <v>0</v>
      </c>
      <c r="AQ167" s="410"/>
      <c r="AR167" s="409"/>
      <c r="AS167" s="636" cm="1">
        <f t="array" ref="AS167">IF($CJ167=0,0,IFERROR(INDEX(MAT[Einheit],$CJ167,1),0))</f>
        <v>0</v>
      </c>
      <c r="AT167" s="637" cm="1">
        <f t="array" ref="AT167">IF($CJ167=0,0,IFERROR(INDEX(MAT[Preis],$CJ167,1),0))</f>
        <v>0</v>
      </c>
      <c r="AU167" s="638">
        <f t="shared" si="441"/>
        <v>0</v>
      </c>
      <c r="AV167" s="639" cm="1">
        <f t="array" ref="AV167">IF($AU167&lt;=0,0,INDEX(Premises!$A$30:$F$30,1,$CH167)/100)</f>
        <v>0</v>
      </c>
      <c r="AW167" s="409"/>
      <c r="AX167" s="631">
        <f t="shared" si="442"/>
        <v>0</v>
      </c>
      <c r="AY167" s="640" cm="1">
        <f t="array" ref="AY167">IF($AT167&lt;=0,0,IFERROR(IF(INDEX(Premises!$A$42:$F$42,1,$CH167)&lt;&gt;0,INDEX(Premises!$A$42:$F$42,1,$CH167)/100,(INDEX(MAT[],$CJ167,MATCH($CA167,MAT!$B$4:$AE$4,0))/($AR167*$CK167*INDEX(Premises!$A$13:$F$13,1,$CH167))+INDEX(MAT[],$CJ167,MATCH($CA167,MAT!$B$4:$AE$4,0)+7))/$AT167),0))</f>
        <v>0</v>
      </c>
      <c r="AZ167" s="631">
        <f t="shared" si="443"/>
        <v>0</v>
      </c>
      <c r="BA167" s="635">
        <f t="shared" si="444"/>
        <v>0</v>
      </c>
      <c r="BB167" s="635">
        <f t="shared" si="445"/>
        <v>0</v>
      </c>
      <c r="BC167" s="639" cm="1">
        <f t="array" ref="BC167">IF($BB167&lt;=0,0,IF(BC$2=-1,0,INDEX(Premises!$A$32:$F$32,1,$CH167)/100))</f>
        <v>0</v>
      </c>
      <c r="BD167" s="631">
        <f t="shared" si="446"/>
        <v>0</v>
      </c>
      <c r="BE167" s="639" cm="1">
        <f t="array" ref="BE167">IF($BB167&lt;=0,0,IF(BE$2=-1,0,INDEX(Premises!$A$33:$F$33,1,$CH167)/100))</f>
        <v>0</v>
      </c>
      <c r="BF167" s="631">
        <f t="shared" si="447"/>
        <v>0</v>
      </c>
      <c r="BG167" s="639" cm="1">
        <f t="array" ref="BG167">IF($BB167&lt;=0,0,IF(BG$2=-1,0,INDEX(Premises!$A$31:$F$31,1,$CH167)/100))</f>
        <v>0</v>
      </c>
      <c r="BH167" s="631">
        <f t="shared" si="448"/>
        <v>0</v>
      </c>
      <c r="BI167" s="635">
        <f t="shared" si="449"/>
        <v>0</v>
      </c>
      <c r="BJ167" s="639" cm="1">
        <f t="array" ref="BJ167">IF($BB167&lt;=0,0,IF(BJ$2=-1,0,INDEX(Premises!$A$35:$F$35,1,$CH167)/100))</f>
        <v>0</v>
      </c>
      <c r="BK167" s="631">
        <f t="shared" si="450"/>
        <v>0</v>
      </c>
      <c r="BL167" s="639" cm="1">
        <f t="array" ref="BL167">IF($BB167&lt;=0,0,IF(BL$2=-1,0,INDEX(Premises!$A$36:$F$36,1,$CH167)/100))</f>
        <v>0</v>
      </c>
      <c r="BM167" s="631">
        <f t="shared" si="451"/>
        <v>0</v>
      </c>
      <c r="BN167" s="639" cm="1">
        <f t="array" ref="BN167">IF($BB167&lt;=0,0,IF(BN$2=-1,0,INDEX(Premises!$A$34:$F$34,1,$CH167)/100))</f>
        <v>0</v>
      </c>
      <c r="BO167" s="631">
        <f t="shared" si="452"/>
        <v>0</v>
      </c>
      <c r="BP167" s="639" cm="1">
        <f t="array" ref="BP167">IF($BI167=0,0,INDEX(Premises!$A$37:$F$37,1,$CH167)/100)</f>
        <v>0</v>
      </c>
      <c r="BQ167" s="409"/>
      <c r="BR167" s="631">
        <f t="shared" si="453"/>
        <v>0</v>
      </c>
      <c r="BS167" s="641">
        <f t="shared" si="454"/>
        <v>0</v>
      </c>
      <c r="BT167" s="641">
        <f t="shared" si="455"/>
        <v>0</v>
      </c>
      <c r="BU167" s="642">
        <f t="shared" si="456"/>
        <v>0</v>
      </c>
      <c r="BV167" s="417"/>
      <c r="BW167" s="418"/>
      <c r="BX167" s="418"/>
      <c r="BY167" s="419"/>
      <c r="BZ167" s="968"/>
      <c r="CA167" s="280" cm="1">
        <f t="array" ref="CA167">IF($BZ167&gt;0,VALUE(LEFT($BZ167,IF(ISERROR(FIND("-",$BZ167)),LEN($BZ167),FIND("-",$BZ167)-1))),INDEX($CA$1:$CA167,MAX(1,$CD167)))</f>
        <v>1</v>
      </c>
      <c r="CB167" s="280" cm="1">
        <f t="array" ref="CB167">IF($BT167=0,0,IF(LEN($BZ167)-LEN(SUBSTITUTE($BZ167,"-",""))&gt;1,
VALUE(MID($BZ167,FIND("-",$BZ167)+1,FIND("-",$BZ167,FIND("-",$BZ167)+1)-FIND("-",$BZ167)-1)),IF($BZ167&gt;0,0,INDEX($CB$1:$CB167,MAX(1,$CD167)))))</f>
        <v>0</v>
      </c>
      <c r="CC167" s="280" cm="1">
        <f t="array" ref="CC167">IF($BT167=0,0,IF(NOT(ISERROR(FIND("-",BZ167))),
VALUE(RIGHT($BZ167,LEN($BZ167)-IF(LEN($BZ167)-LEN(SUBSTITUTE($BZ167,"-",""))=1,FIND("-",$BZ167),FIND("-",$BZ167,FIND("-",$BZ167)+1)))),
IF($BZ167&gt;0,0,INDEX($CC$1:$CC167,MAX(1,$CD167)))))</f>
        <v>0</v>
      </c>
      <c r="CD167" s="393">
        <f>MATCH(0,$CE$1:$CE167,-1)</f>
        <v>163</v>
      </c>
      <c r="CE167" s="280"/>
      <c r="CF167" s="394"/>
      <c r="CG167" s="393" cm="1">
        <f t="array" ref="CG167">INDEX($CG$1:$CG167,$CD167)</f>
        <v>21</v>
      </c>
      <c r="CH167" s="280">
        <f>MATCH($CA167,Premises!$A$10:$F$10,0)</f>
        <v>4</v>
      </c>
      <c r="CI167" s="280">
        <f>IF(ISBLANK($E167),0,IFERROR(MATCH($E167,MHR[Bezeichnung],0),0))</f>
        <v>0</v>
      </c>
      <c r="CJ167" s="394">
        <f>IF(ISBLANK($AQ167),0,IFERROR(MATCH($AQ167,MAT[Bezeichnung],0),0))</f>
        <v>0</v>
      </c>
      <c r="CK167" s="280" cm="1">
        <f t="array" ref="CK167">INDEX($D$1:$D167,$CD167)</f>
        <v>1</v>
      </c>
      <c r="CL167" s="280"/>
      <c r="CM167" s="395"/>
      <c r="CN167" s="396" cm="1">
        <f t="array" ref="CN167">IF($CB167=0,0,IF($CB167=INDEX($CB$1:$CB167,$CD167),INDEX($CN$1:$CN167,$CD167),$CP167))</f>
        <v>0</v>
      </c>
      <c r="CO167" s="395"/>
      <c r="CP167" s="396" cm="1">
        <f t="array" ref="CP167">IF($CC167=0,0,INDEX($CP$1:$CP167,$CD167))</f>
        <v>0</v>
      </c>
      <c r="CQ167" s="397"/>
      <c r="CR167" s="398"/>
      <c r="CS167" s="398"/>
      <c r="CT167" s="970"/>
      <c r="CU167" s="2"/>
      <c r="CV167" s="647">
        <f t="shared" si="457"/>
        <v>0</v>
      </c>
      <c r="CW167" s="648">
        <f t="shared" si="458"/>
        <v>0</v>
      </c>
      <c r="CX167" s="648">
        <f t="shared" si="459"/>
        <v>0</v>
      </c>
      <c r="CY167" s="648">
        <f t="shared" si="460"/>
        <v>0</v>
      </c>
      <c r="CZ167" s="648">
        <f t="shared" si="461"/>
        <v>0</v>
      </c>
      <c r="DA167" s="648">
        <f t="shared" si="462"/>
        <v>0</v>
      </c>
      <c r="DB167" s="648">
        <f t="shared" si="463"/>
        <v>0</v>
      </c>
      <c r="DC167" s="649">
        <f t="shared" si="464"/>
        <v>0</v>
      </c>
      <c r="DD167" s="648">
        <f t="shared" si="465"/>
        <v>0</v>
      </c>
      <c r="DE167" s="648">
        <f t="shared" si="466"/>
        <v>0</v>
      </c>
      <c r="DF167" s="648">
        <f t="shared" si="467"/>
        <v>0</v>
      </c>
      <c r="DG167" s="649">
        <f t="shared" si="468"/>
        <v>0</v>
      </c>
      <c r="DH167" s="649">
        <f t="shared" si="469"/>
        <v>0</v>
      </c>
      <c r="DI167" s="648">
        <f t="shared" si="470"/>
        <v>0</v>
      </c>
      <c r="DJ167" s="648">
        <f t="shared" si="471"/>
        <v>0</v>
      </c>
      <c r="DK167" s="648">
        <f t="shared" si="472"/>
        <v>0</v>
      </c>
      <c r="DL167" s="648">
        <f t="shared" si="473"/>
        <v>0</v>
      </c>
      <c r="DM167" s="648">
        <f t="shared" si="474"/>
        <v>0</v>
      </c>
      <c r="DN167" s="648">
        <f t="shared" si="475"/>
        <v>0</v>
      </c>
      <c r="DO167" s="648">
        <f t="shared" si="476"/>
        <v>0</v>
      </c>
      <c r="DP167" s="651">
        <f t="shared" si="477"/>
        <v>0</v>
      </c>
      <c r="DQ167" s="951">
        <f>IF($CB167=0,0,$DP167*_xlfn.XLOOKUP($CB167,Premises!$A$10:$F$10,Premises!$A$30:$F$30)/100)</f>
        <v>0</v>
      </c>
      <c r="DR167" s="650">
        <f>IFERROR(SUM($DP167:$DQ167)*IF(INDEX(Premises!$A$42:$F$42,1,MATCH($CB167,Premises!$A$10:$F$10,0))&gt;0,INDEX(Premises!$A$42:$F$42,1,MATCH($CB167,Premises!$A$10:$F$10,0))%,$CN167),0)</f>
        <v>0</v>
      </c>
      <c r="DS167" s="650" cm="1">
        <f t="array" ref="DS167">IF($CB167=0,0,SUM($DP167:$DR167)*_xlfn.XLOOKUP($CB167,Premises!$A$10:$F$10,IF(INDEX(Settings[],MATCH(3001,Settings[ID],0),2)="B",Premises!$A$33:$F$33,Premises!$A$31:$F$31))/100)</f>
        <v>0</v>
      </c>
      <c r="DT167" s="650" cm="1">
        <f t="array" ref="DT167">IF($CB167=0,0,$DP167*_xlfn.XLOOKUP($CB167,Premises!$A$10:$F$10,IF(INDEX(Settings[],MATCH(3002,Settings[ID],0),2)="B",Premises!$A$36:$F$36,Premises!$A$34:$F$34))/100)</f>
        <v>0</v>
      </c>
      <c r="DU167" s="650">
        <f>IF($CB167=0,0,SUM($DP167:$DT167)*_xlfn.XLOOKUP($CB167,Premises!$A$10:$F$10,Premises!$A$37:$F$37)/100)</f>
        <v>0</v>
      </c>
      <c r="DV167" s="954">
        <f t="shared" si="478"/>
        <v>0</v>
      </c>
      <c r="DW167" s="951">
        <f>IF($CC167=0,0,$DV167*_xlfn.XLOOKUP($CC167,Premises!$A$10:$F$10,Premises!$A$30:$F$30)/100)</f>
        <v>0</v>
      </c>
      <c r="DX167" s="650">
        <f>IFERROR(SUM($DV167:$DW167)*IF(INDEX(Premises!$A$42:$F$42,1,MATCH($CC167,Premises!$A$10:$F$10,0))&gt;0,INDEX(Premises!$A$42:$F$42,1,MATCH($CC167,Premises!$A$10:$F$10,0))%,$CP167),0)</f>
        <v>0</v>
      </c>
      <c r="DY167" s="650" cm="1">
        <f t="array" ref="DY167">IF($CC167=0,0,SUM($DV167:$DX167)*_xlfn.XLOOKUP($CC167,Premises!$A$10:$F$10,IF(INDEX(Settings[],MATCH(3001,Settings[ID],0),2)="B",Premises!$A$33:$F$33,Premises!$A$31:$F$31))/100)</f>
        <v>0</v>
      </c>
      <c r="DZ167" s="650" cm="1">
        <f t="array" ref="DZ167">IF($CC167=0,0,$DV167*_xlfn.XLOOKUP($CC167,Premises!$A$10:$F$10,IF(INDEX(Settings[],MATCH(3002,Settings[ID],0),2)="B",Premises!$A$36:$F$36,Premises!$A$34:$F$34))/100)</f>
        <v>0</v>
      </c>
      <c r="EA167" s="650">
        <f>IF($CC167=0,0,SUM($DV167:$DZ167)*_xlfn.XLOOKUP($CC167,Premises!$A$10:$F$10,Premises!$A$37:$F$37)/100)</f>
        <v>0</v>
      </c>
      <c r="EB167" s="651">
        <f t="shared" si="479"/>
        <v>0</v>
      </c>
      <c r="EC167" s="805"/>
      <c r="ED167" s="1104"/>
      <c r="EE167" s="650"/>
      <c r="EF167" s="1110"/>
      <c r="EG167" s="1108"/>
      <c r="EH167" s="1108"/>
      <c r="EI167" s="1108"/>
      <c r="EJ167" s="1108"/>
      <c r="EK167" s="1108"/>
      <c r="EL167" s="1108"/>
      <c r="EM167" s="1110"/>
      <c r="EN167" s="1108"/>
      <c r="EO167" s="1108"/>
      <c r="EP167" s="1108"/>
      <c r="EQ167" s="1108"/>
      <c r="ER167" s="1110"/>
      <c r="ES167" s="1108"/>
      <c r="ET167" s="1108"/>
      <c r="EU167" s="1108"/>
      <c r="EV167" s="1108"/>
      <c r="EW167" s="1108"/>
      <c r="EX167" s="1111"/>
      <c r="EY167" s="2"/>
      <c r="EZ167" s="2"/>
      <c r="FA167" s="2"/>
      <c r="FB167" s="2"/>
      <c r="FC167" s="2"/>
      <c r="FD167" s="2"/>
      <c r="FE167" s="2"/>
      <c r="FF167" s="2"/>
      <c r="FG167" s="2"/>
      <c r="FH167" s="2"/>
      <c r="FI167" s="2"/>
      <c r="FJ167" s="420"/>
      <c r="FK167" s="421"/>
      <c r="FL167" s="422"/>
      <c r="FM167" s="970"/>
    </row>
    <row r="168" spans="1:169" s="13" customFormat="1" ht="12.75" customHeight="1">
      <c r="A168" s="221"/>
      <c r="B168" s="1329" t="s">
        <v>4339</v>
      </c>
      <c r="C168" s="403" t="s">
        <v>4347</v>
      </c>
      <c r="D168" s="646"/>
      <c r="E168" s="404" t="s">
        <v>4345</v>
      </c>
      <c r="F168" s="405">
        <v>1</v>
      </c>
      <c r="G168" s="405" t="s">
        <v>93</v>
      </c>
      <c r="H168" s="405">
        <v>41.6</v>
      </c>
      <c r="I168" s="637" cm="1">
        <f t="array" ref="I168">IF($CI168=0,0,IFERROR(INDEX(MHR[],$CI168,MATCH($CA168,MHR!$B$4:$AY$4,0)),0))</f>
        <v>50.88640625</v>
      </c>
      <c r="J168" s="634">
        <f t="shared" si="432"/>
        <v>3.3978636651976491E-4</v>
      </c>
      <c r="K168" s="406" t="s">
        <v>49</v>
      </c>
      <c r="L168" s="407">
        <v>30</v>
      </c>
      <c r="M168" s="871">
        <v>2</v>
      </c>
      <c r="N168" s="407"/>
      <c r="O168" s="405"/>
      <c r="P168" s="645" cm="1">
        <f t="array" ref="P168">IF($K168=0,0,IFERROR(ROUNDUP(IF(ISNUMBER($K168),$K168,INDEX($D$1:$D168,$CD168)*INDEX(Premises!$A$13:$F$13,1,$CH168)/IF(OR($K168="T",$K168="D"),250,IF($K168="W",50,IF($K168="M",12,IF(OR($K168="HJ",$K168="HY"),2,IF(OR($K168="J",$K168="Y"),1,0)))))),0),0))</f>
        <v>3334</v>
      </c>
      <c r="Q168" s="637" cm="1">
        <f t="array" ref="Q168">IF($K168=0,0,IFERROR(INDEX(Premises!$A$22:$F$22,1,$CH168)*100/INDEX(Premises!$A$16:$F$16,1,$CH168),0))</f>
        <v>16.925000000000001</v>
      </c>
      <c r="R168" s="634">
        <f t="shared" si="433"/>
        <v>1.2707919353629275E-2</v>
      </c>
      <c r="S168" s="408">
        <v>1</v>
      </c>
      <c r="T168" s="409" t="s">
        <v>275</v>
      </c>
      <c r="U168" s="637" cm="1">
        <f t="array" ref="U168">IF(COUNTBLANK($S168:$T168),0,
IF(AND(INDEX(MHR[Schichtmodell],$CI168)&lt;&gt;0,INDEX(MHR[Schichtmodell],$CI168)&lt;&gt;INDEX(Premises!$A$20:$F$20,1,$CH168)),ExchangeRate*
IF(OR($T168="M",$T168="U"),IF(INDEX(MHR[Schichtmodell],$CI168)=1,INDEX(LOC[M1S],INDEX(Premises!$A$18:$F$18,1,$CH168+1)),IF(INDEX(MHR[Schichtmodell],$CI168)=2,INDEX(LOC[M2S],INDEX(Premises!$A$18:$F$18,1,$CH168+1),IF(INDEX(MHR[Schichtmodell],$CI168)=3,INDEX(LOC[M3S],INDEX(Premises!$A$18:$F$18,1,$CH168+1)),0)))),
IF(INDEX(MHR[Schichtmodell],$CI168)=1,INDEX(LOC[F1S],INDEX(Premises!$A$18:$F$18,1,$CH168+1)),IF(INDEX(MHR[Schichtmodell],$CI168)=2,INDEX(LOC[F2S],INDEX(Premises!$A$18:$F$18,1,$CH168+1)),IF(INDEX(MHR[Schichtmodell],$CI168)=3,INDEX(LOC[F3S],INDEX(Premises!$A$18:$F$18,1,$CH168+1)),0)))),
IF(OR($T168="M",$T168="U"),INDEX(Premises!$A$21:$F$21,1,$CH168),
IF(OR($T168="F",$T168="S"),INDEX(Premises!$A$22:$F$22,1,$CH168),0)))*100/INDEX(Premises!$A$16:$F$16,1,$CH168))</f>
        <v>12.037500000000001</v>
      </c>
      <c r="V168" s="631">
        <f t="shared" si="434"/>
        <v>8.0378605769230766E-5</v>
      </c>
      <c r="W168" s="410"/>
      <c r="X168" s="403"/>
      <c r="Y168" s="411"/>
      <c r="Z168" s="412"/>
      <c r="AA168" s="628">
        <f t="shared" si="435"/>
        <v>0</v>
      </c>
      <c r="AB168" s="410"/>
      <c r="AC168" s="403"/>
      <c r="AD168" s="411"/>
      <c r="AE168" s="413"/>
      <c r="AF168" s="628">
        <f t="shared" si="436"/>
        <v>0</v>
      </c>
      <c r="AG168" s="629" cm="1">
        <f t="array" ref="AG168">IF(($J168+$V168+$AF168)=0,0,INDEX(Premises!$A$30:$F$30,1,$CH168)/100)</f>
        <v>0.01</v>
      </c>
      <c r="AH168" s="414"/>
      <c r="AI168" s="415"/>
      <c r="AJ168" s="416"/>
      <c r="AK168" s="630">
        <f t="shared" si="437"/>
        <v>0</v>
      </c>
      <c r="AL168" s="631">
        <f t="shared" si="438"/>
        <v>4.2016497228899566E-6</v>
      </c>
      <c r="AM168" s="632" cm="1">
        <f t="array" ref="AM168">IF($CI168=0,0,IFERROR(INDEX(MHR[],$CI168,MATCH($CA168,MHR!$B$4:$AY$4,0)+11),0))</f>
        <v>4.2450010155189757</v>
      </c>
      <c r="AN168" s="633" cm="1">
        <f t="array" ref="AN168">IF(($J168+$V168)=0,0,IFERROR(IF(INDEX(Premises!$A$41:$F$41,1,$CH168)&lt;&gt;0,INDEX(Premises!$A$41:$F$41,1,$CH168)/100,(IFERROR(($J168/$I168)*$AM168,0)/($V168+$J168+$R168+$AL168))),0))</f>
        <v>2.1584482242966623E-3</v>
      </c>
      <c r="AO168" s="634">
        <f t="shared" si="439"/>
        <v>2.8345359345078627E-5</v>
      </c>
      <c r="AP168" s="635">
        <f t="shared" si="440"/>
        <v>1.3160631334986241E-2</v>
      </c>
      <c r="AQ168" s="410"/>
      <c r="AR168" s="409"/>
      <c r="AS168" s="636" cm="1">
        <f t="array" ref="AS168">IF($CJ168=0,0,IFERROR(INDEX(MAT[Einheit],$CJ168,1),0))</f>
        <v>0</v>
      </c>
      <c r="AT168" s="637" cm="1">
        <f t="array" ref="AT168">IF($CJ168=0,0,IFERROR(INDEX(MAT[Preis],$CJ168,1),0))</f>
        <v>0</v>
      </c>
      <c r="AU168" s="638">
        <f t="shared" si="441"/>
        <v>0</v>
      </c>
      <c r="AV168" s="639" cm="1">
        <f t="array" ref="AV168">IF($AU168&lt;=0,0,INDEX(Premises!$A$30:$F$30,1,$CH168)/100)</f>
        <v>0</v>
      </c>
      <c r="AW168" s="409"/>
      <c r="AX168" s="631">
        <f t="shared" si="442"/>
        <v>0</v>
      </c>
      <c r="AY168" s="640" cm="1">
        <f t="array" ref="AY168">IF($AT168&lt;=0,0,IFERROR(IF(INDEX(Premises!$A$42:$F$42,1,$CH168)&lt;&gt;0,INDEX(Premises!$A$42:$F$42,1,$CH168)/100,(INDEX(MAT[],$CJ168,MATCH($CA168,MAT!$B$4:$AE$4,0))/($AR168*$CK168*INDEX(Premises!$A$13:$F$13,1,$CH168))+INDEX(MAT[],$CJ168,MATCH($CA168,MAT!$B$4:$AE$4,0)+7))/$AT168),0))</f>
        <v>0</v>
      </c>
      <c r="AZ168" s="631">
        <f t="shared" si="443"/>
        <v>0</v>
      </c>
      <c r="BA168" s="635">
        <f t="shared" si="444"/>
        <v>0</v>
      </c>
      <c r="BB168" s="635">
        <f t="shared" si="445"/>
        <v>1.3160631334986241E-2</v>
      </c>
      <c r="BC168" s="639" cm="1">
        <f t="array" ref="BC168">IF($BB168&lt;=0,0,IF(BC$2=-1,0,INDEX(Premises!$A$32:$F$32,1,$CH168)/100))</f>
        <v>0</v>
      </c>
      <c r="BD168" s="631">
        <f t="shared" si="446"/>
        <v>0</v>
      </c>
      <c r="BE168" s="639" cm="1">
        <f t="array" ref="BE168">IF($BB168&lt;=0,0,IF(BE$2=-1,0,INDEX(Premises!$A$33:$F$33,1,$CH168)/100))</f>
        <v>0</v>
      </c>
      <c r="BF168" s="631">
        <f t="shared" si="447"/>
        <v>0</v>
      </c>
      <c r="BG168" s="639" cm="1">
        <f t="array" ref="BG168">IF($BB168&lt;=0,0,IF(BG$2=-1,0,INDEX(Premises!$A$31:$F$31,1,$CH168)/100))</f>
        <v>0.125</v>
      </c>
      <c r="BH168" s="631">
        <f t="shared" si="448"/>
        <v>1.6445537106579188E-3</v>
      </c>
      <c r="BI168" s="635">
        <f t="shared" si="449"/>
        <v>1.4805185045644161E-2</v>
      </c>
      <c r="BJ168" s="639" cm="1">
        <f t="array" ref="BJ168">IF($BB168&lt;=0,0,IF(BJ$2=-1,0,INDEX(Premises!$A$35:$F$35,1,$CH168)/100))</f>
        <v>0</v>
      </c>
      <c r="BK168" s="631">
        <f t="shared" si="450"/>
        <v>0</v>
      </c>
      <c r="BL168" s="639" cm="1">
        <f t="array" ref="BL168">IF($BB168&lt;=0,0,IF(BL$2=-1,0,INDEX(Premises!$A$36:$F$36,1,$CH168)/100))</f>
        <v>0</v>
      </c>
      <c r="BM168" s="631">
        <f t="shared" si="451"/>
        <v>0</v>
      </c>
      <c r="BN168" s="639" cm="1">
        <f t="array" ref="BN168">IF($BB168&lt;=0,0,IF(BN$2=-1,0,INDEX(Premises!$A$34:$F$34,1,$CH168)/100))</f>
        <v>0.06</v>
      </c>
      <c r="BO168" s="631">
        <f t="shared" si="452"/>
        <v>7.8938578111580103E-4</v>
      </c>
      <c r="BP168" s="639" cm="1">
        <f t="array" ref="BP168">IF($BI168=0,0,INDEX(Premises!$A$37:$F$37,1,$CH168)/100)</f>
        <v>0</v>
      </c>
      <c r="BQ168" s="409"/>
      <c r="BR168" s="631">
        <f t="shared" si="453"/>
        <v>0</v>
      </c>
      <c r="BS168" s="641">
        <f t="shared" si="454"/>
        <v>1.5594570826759961E-2</v>
      </c>
      <c r="BT168" s="641">
        <f t="shared" si="455"/>
        <v>1.5594570826759961E-2</v>
      </c>
      <c r="BU168" s="642">
        <f t="shared" si="456"/>
        <v>1</v>
      </c>
      <c r="BV168" s="1147"/>
      <c r="BW168" s="418"/>
      <c r="BX168" s="418"/>
      <c r="BY168" s="419"/>
      <c r="BZ168" s="968"/>
      <c r="CA168" s="280" cm="1">
        <f t="array" ref="CA168">IF($BZ168&gt;0,VALUE(LEFT($BZ168,IF(ISERROR(FIND("-",$BZ168)),LEN($BZ168),FIND("-",$BZ168)-1))),INDEX($CA$1:$CA168,MAX(1,$CD168)))</f>
        <v>1</v>
      </c>
      <c r="CB168" s="280" cm="1">
        <f t="array" ref="CB168">IF($BT168=0,0,IF(LEN($BZ168)-LEN(SUBSTITUTE($BZ168,"-",""))&gt;1,
VALUE(MID($BZ168,FIND("-",$BZ168)+1,FIND("-",$BZ168,FIND("-",$BZ168)+1)-FIND("-",$BZ168)-1)),IF($BZ168&gt;0,0,INDEX($CB$1:$CB168,MAX(1,$CD168)))))</f>
        <v>0</v>
      </c>
      <c r="CC168" s="280" cm="1">
        <f t="array" ref="CC168">IF($BT168=0,0,IF(NOT(ISERROR(FIND("-",BZ168))),
VALUE(RIGHT($BZ168,LEN($BZ168)-IF(LEN($BZ168)-LEN(SUBSTITUTE($BZ168,"-",""))=1,FIND("-",$BZ168),FIND("-",$BZ168,FIND("-",$BZ168)+1)))),
IF($BZ168&gt;0,0,INDEX($CC$1:$CC168,MAX(1,$CD168)))))</f>
        <v>0</v>
      </c>
      <c r="CD168" s="393">
        <f>MATCH(0,$CE$1:$CE168,-1)</f>
        <v>163</v>
      </c>
      <c r="CE168" s="280"/>
      <c r="CF168" s="394"/>
      <c r="CG168" s="393" cm="1">
        <f t="array" ref="CG168">INDEX($CG$1:$CG168,$CD168)</f>
        <v>21</v>
      </c>
      <c r="CH168" s="280">
        <f>MATCH($CA168,Premises!$A$10:$F$10,0)</f>
        <v>4</v>
      </c>
      <c r="CI168" s="280">
        <f>IF(ISBLANK($E168),0,IFERROR(MATCH($E168,MHR[Bezeichnung],0),0))</f>
        <v>6</v>
      </c>
      <c r="CJ168" s="394">
        <f>IF(ISBLANK($AQ168),0,IFERROR(MATCH($AQ168,MAT[Bezeichnung],0),0))</f>
        <v>0</v>
      </c>
      <c r="CK168" s="280" cm="1">
        <f t="array" ref="CK168">INDEX($D$1:$D168,$CD168)</f>
        <v>1</v>
      </c>
      <c r="CL168" s="280"/>
      <c r="CM168" s="395"/>
      <c r="CN168" s="396" cm="1">
        <f t="array" ref="CN168">IF($CB168=0,0,IF($CB168=INDEX($CB$1:$CB168,$CD168),INDEX($CN$1:$CN168,$CD168),$CP168))</f>
        <v>0</v>
      </c>
      <c r="CO168" s="395"/>
      <c r="CP168" s="396" cm="1">
        <f t="array" ref="CP168">IF($CC168=0,0,INDEX($CP$1:$CP168,$CD168))</f>
        <v>0</v>
      </c>
      <c r="CQ168" s="397"/>
      <c r="CR168" s="398"/>
      <c r="CS168" s="398"/>
      <c r="CT168" s="1152"/>
      <c r="CU168" s="1149"/>
      <c r="CV168" s="647">
        <f t="shared" si="457"/>
        <v>3.3978636651976491E-4</v>
      </c>
      <c r="CW168" s="648">
        <f t="shared" si="458"/>
        <v>1.2707919353629275E-2</v>
      </c>
      <c r="CX168" s="648">
        <f t="shared" si="459"/>
        <v>8.0378605769230766E-5</v>
      </c>
      <c r="CY168" s="648">
        <f t="shared" si="460"/>
        <v>0</v>
      </c>
      <c r="CZ168" s="648">
        <f t="shared" si="461"/>
        <v>0</v>
      </c>
      <c r="DA168" s="648">
        <f t="shared" si="462"/>
        <v>4.2016497228899566E-6</v>
      </c>
      <c r="DB168" s="648">
        <f t="shared" si="463"/>
        <v>2.8345359345078627E-5</v>
      </c>
      <c r="DC168" s="649">
        <f t="shared" si="464"/>
        <v>1.3160631334986241E-2</v>
      </c>
      <c r="DD168" s="648">
        <f t="shared" si="465"/>
        <v>0</v>
      </c>
      <c r="DE168" s="648">
        <f t="shared" si="466"/>
        <v>0</v>
      </c>
      <c r="DF168" s="648">
        <f t="shared" si="467"/>
        <v>0</v>
      </c>
      <c r="DG168" s="649">
        <f t="shared" si="468"/>
        <v>0</v>
      </c>
      <c r="DH168" s="649">
        <f t="shared" si="469"/>
        <v>1.3160631334986241E-2</v>
      </c>
      <c r="DI168" s="648">
        <f t="shared" si="470"/>
        <v>0</v>
      </c>
      <c r="DJ168" s="648">
        <f t="shared" si="471"/>
        <v>0</v>
      </c>
      <c r="DK168" s="648">
        <f t="shared" si="472"/>
        <v>1.6445537106579188E-3</v>
      </c>
      <c r="DL168" s="648">
        <f t="shared" si="473"/>
        <v>0</v>
      </c>
      <c r="DM168" s="648">
        <f t="shared" si="474"/>
        <v>0</v>
      </c>
      <c r="DN168" s="648">
        <f t="shared" si="475"/>
        <v>7.8938578111580103E-4</v>
      </c>
      <c r="DO168" s="648">
        <f t="shared" si="476"/>
        <v>0</v>
      </c>
      <c r="DP168" s="651">
        <f t="shared" si="477"/>
        <v>1.5594570826759961E-2</v>
      </c>
      <c r="DQ168" s="951">
        <f>IF($CB168=0,0,$DP168*_xlfn.XLOOKUP($CB168,Premises!$A$10:$F$10,Premises!$A$30:$F$30)/100)</f>
        <v>0</v>
      </c>
      <c r="DR168" s="650">
        <f>IFERROR(SUM($DP168:$DQ168)*IF(INDEX(Premises!$A$42:$F$42,1,MATCH($CB168,Premises!$A$10:$F$10,0))&gt;0,INDEX(Premises!$A$42:$F$42,1,MATCH($CB168,Premises!$A$10:$F$10,0))%,$CN168),0)</f>
        <v>0</v>
      </c>
      <c r="DS168" s="650" cm="1">
        <f t="array" ref="DS168">IF($CB168=0,0,SUM($DP168:$DR168)*_xlfn.XLOOKUP($CB168,Premises!$A$10:$F$10,IF(INDEX(Settings[],MATCH(3001,Settings[ID],0),2)="B",Premises!$A$33:$F$33,Premises!$A$31:$F$31))/100)</f>
        <v>0</v>
      </c>
      <c r="DT168" s="650" cm="1">
        <f t="array" ref="DT168">IF($CB168=0,0,$DP168*_xlfn.XLOOKUP($CB168,Premises!$A$10:$F$10,IF(INDEX(Settings[],MATCH(3002,Settings[ID],0),2)="B",Premises!$A$36:$F$36,Premises!$A$34:$F$34))/100)</f>
        <v>0</v>
      </c>
      <c r="DU168" s="650">
        <f>IF($CB168=0,0,SUM($DP168:$DT168)*_xlfn.XLOOKUP($CB168,Premises!$A$10:$F$10,Premises!$A$37:$F$37)/100)</f>
        <v>0</v>
      </c>
      <c r="DV168" s="954">
        <f t="shared" si="478"/>
        <v>1.5594570826759961E-2</v>
      </c>
      <c r="DW168" s="951">
        <f>IF($CC168=0,0,$DV168*_xlfn.XLOOKUP($CC168,Premises!$A$10:$F$10,Premises!$A$30:$F$30)/100)</f>
        <v>0</v>
      </c>
      <c r="DX168" s="650">
        <f>IFERROR(SUM($DV168:$DW168)*IF(INDEX(Premises!$A$42:$F$42,1,MATCH($CC168,Premises!$A$10:$F$10,0))&gt;0,INDEX(Premises!$A$42:$F$42,1,MATCH($CC168,Premises!$A$10:$F$10,0))%,$CP168),0)</f>
        <v>0</v>
      </c>
      <c r="DY168" s="650" cm="1">
        <f t="array" ref="DY168">IF($CC168=0,0,SUM($DV168:$DX168)*_xlfn.XLOOKUP($CC168,Premises!$A$10:$F$10,IF(INDEX(Settings[],MATCH(3001,Settings[ID],0),2)="B",Premises!$A$33:$F$33,Premises!$A$31:$F$31))/100)</f>
        <v>0</v>
      </c>
      <c r="DZ168" s="650" cm="1">
        <f t="array" ref="DZ168">IF($CC168=0,0,$DV168*_xlfn.XLOOKUP($CC168,Premises!$A$10:$F$10,IF(INDEX(Settings[],MATCH(3002,Settings[ID],0),2)="B",Premises!$A$36:$F$36,Premises!$A$34:$F$34))/100)</f>
        <v>0</v>
      </c>
      <c r="EA168" s="650">
        <f>IF($CC168=0,0,SUM($DV168:$DZ168)*_xlfn.XLOOKUP($CC168,Premises!$A$10:$F$10,Premises!$A$37:$F$37)/100)</f>
        <v>0</v>
      </c>
      <c r="EB168" s="651">
        <f t="shared" si="479"/>
        <v>1.5594570826759961E-2</v>
      </c>
      <c r="EC168" s="805"/>
      <c r="ED168" s="1104"/>
      <c r="EE168" s="650"/>
      <c r="EF168" s="1110"/>
      <c r="EG168" s="1108"/>
      <c r="EH168" s="1108"/>
      <c r="EI168" s="1108"/>
      <c r="EJ168" s="1108"/>
      <c r="EK168" s="1108"/>
      <c r="EL168" s="1108"/>
      <c r="EM168" s="1110"/>
      <c r="EN168" s="1108"/>
      <c r="EO168" s="1108"/>
      <c r="EP168" s="1108"/>
      <c r="EQ168" s="1108"/>
      <c r="ER168" s="1110"/>
      <c r="ES168" s="1108"/>
      <c r="ET168" s="1108"/>
      <c r="EU168" s="1108"/>
      <c r="EV168" s="1108"/>
      <c r="EW168" s="1108"/>
      <c r="EX168" s="1111"/>
      <c r="EY168" s="2"/>
      <c r="EZ168" s="2"/>
      <c r="FA168" s="2"/>
      <c r="FB168" s="2"/>
      <c r="FC168" s="2"/>
      <c r="FD168" s="2"/>
      <c r="FE168" s="2"/>
      <c r="FF168" s="2"/>
      <c r="FG168" s="2"/>
      <c r="FH168" s="2"/>
      <c r="FI168" s="2"/>
      <c r="FJ168" s="420"/>
      <c r="FK168" s="421"/>
      <c r="FL168" s="422"/>
      <c r="FM168" s="1153"/>
    </row>
    <row r="169" spans="1:169" s="13" customFormat="1" ht="12.75" customHeight="1">
      <c r="A169" s="221"/>
      <c r="B169" s="1329"/>
      <c r="C169" s="403"/>
      <c r="D169" s="646"/>
      <c r="E169" s="404"/>
      <c r="F169" s="405"/>
      <c r="G169" s="405"/>
      <c r="H169" s="405"/>
      <c r="I169" s="637" cm="1">
        <f t="array" ref="I169">IF($CI169=0,0,IFERROR(INDEX(MHR[],$CI169,MATCH($CA169,MHR!$B$4:$AY$4,0)),0))</f>
        <v>0</v>
      </c>
      <c r="J169" s="634">
        <f t="shared" si="432"/>
        <v>0</v>
      </c>
      <c r="K169" s="406"/>
      <c r="L169" s="407"/>
      <c r="M169" s="871"/>
      <c r="N169" s="407"/>
      <c r="O169" s="405"/>
      <c r="P169" s="645" cm="1">
        <f t="array" ref="P169">IF($K169=0,0,IFERROR(ROUNDUP(IF(ISNUMBER($K169),$K169,INDEX($D$1:$D169,$CD169)*INDEX(Premises!$A$13:$F$13,1,$CH169)/IF(OR($K169="T",$K169="D"),250,IF($K169="W",50,IF($K169="M",12,IF(OR($K169="HJ",$K169="HY"),2,IF(OR($K169="J",$K169="Y"),1,0)))))),0),0))</f>
        <v>0</v>
      </c>
      <c r="Q169" s="637" cm="1">
        <f t="array" ref="Q169">IF($K169=0,0,IFERROR(INDEX(Premises!$A$22:$F$22,1,$CH169)*100/INDEX(Premises!$A$16:$F$16,1,$CH169),0))</f>
        <v>0</v>
      </c>
      <c r="R169" s="634">
        <f t="shared" si="433"/>
        <v>0</v>
      </c>
      <c r="S169" s="408"/>
      <c r="T169" s="409"/>
      <c r="U169" s="637" cm="1">
        <f t="array" ref="U169">IF(COUNTBLANK($S169:$T169),0,
IF(AND(INDEX(MHR[Schichtmodell],$CI169)&lt;&gt;0,INDEX(MHR[Schichtmodell],$CI169)&lt;&gt;INDEX(Premises!$A$20:$F$20,1,$CH169)),ExchangeRate*
IF(OR($T169="M",$T169="U"),IF(INDEX(MHR[Schichtmodell],$CI169)=1,INDEX(LOC[M1S],INDEX(Premises!$A$18:$F$18,1,$CH169+1)),IF(INDEX(MHR[Schichtmodell],$CI169)=2,INDEX(LOC[M2S],INDEX(Premises!$A$18:$F$18,1,$CH169+1),IF(INDEX(MHR[Schichtmodell],$CI169)=3,INDEX(LOC[M3S],INDEX(Premises!$A$18:$F$18,1,$CH169+1)),0)))),
IF(INDEX(MHR[Schichtmodell],$CI169)=1,INDEX(LOC[F1S],INDEX(Premises!$A$18:$F$18,1,$CH169+1)),IF(INDEX(MHR[Schichtmodell],$CI169)=2,INDEX(LOC[F2S],INDEX(Premises!$A$18:$F$18,1,$CH169+1)),IF(INDEX(MHR[Schichtmodell],$CI169)=3,INDEX(LOC[F3S],INDEX(Premises!$A$18:$F$18,1,$CH169+1)),0)))),
IF(OR($T169="M",$T169="U"),INDEX(Premises!$A$21:$F$21,1,$CH169),
IF(OR($T169="F",$T169="S"),INDEX(Premises!$A$22:$F$22,1,$CH169),0)))*100/INDEX(Premises!$A$16:$F$16,1,$CH169))</f>
        <v>0</v>
      </c>
      <c r="V169" s="631">
        <f t="shared" si="434"/>
        <v>0</v>
      </c>
      <c r="W169" s="410"/>
      <c r="X169" s="403"/>
      <c r="Y169" s="411"/>
      <c r="Z169" s="412"/>
      <c r="AA169" s="628">
        <f t="shared" si="435"/>
        <v>0</v>
      </c>
      <c r="AB169" s="410"/>
      <c r="AC169" s="403"/>
      <c r="AD169" s="411"/>
      <c r="AE169" s="413"/>
      <c r="AF169" s="628">
        <f t="shared" si="436"/>
        <v>0</v>
      </c>
      <c r="AG169" s="629" cm="1">
        <f t="array" ref="AG169">IF(($J169+$V169+$AF169)=0,0,INDEX(Premises!$A$30:$F$30,1,$CH169)/100)</f>
        <v>0</v>
      </c>
      <c r="AH169" s="414"/>
      <c r="AI169" s="415"/>
      <c r="AJ169" s="416"/>
      <c r="AK169" s="630">
        <f t="shared" si="437"/>
        <v>0</v>
      </c>
      <c r="AL169" s="631">
        <f t="shared" si="438"/>
        <v>0</v>
      </c>
      <c r="AM169" s="632" cm="1">
        <f t="array" ref="AM169">IF($CI169=0,0,IFERROR(INDEX(MHR[],$CI169,MATCH($CA169,MHR!$B$4:$AY$4,0)+11),0))</f>
        <v>0</v>
      </c>
      <c r="AN169" s="633" cm="1">
        <f t="array" ref="AN169">IF(($J169+$V169)=0,0,IFERROR(IF(INDEX(Premises!$A$41:$F$41,1,$CH169)&lt;&gt;0,INDEX(Premises!$A$41:$F$41,1,$CH169)/100,(IFERROR(($J169/$I169)*$AM169,0)/($V169+$J169+$R169+$AL169))),0))</f>
        <v>0</v>
      </c>
      <c r="AO169" s="634">
        <f t="shared" si="439"/>
        <v>0</v>
      </c>
      <c r="AP169" s="635">
        <f t="shared" si="440"/>
        <v>0</v>
      </c>
      <c r="AQ169" s="410"/>
      <c r="AR169" s="409"/>
      <c r="AS169" s="636" cm="1">
        <f t="array" ref="AS169">IF($CJ169=0,0,IFERROR(INDEX(MAT[Einheit],$CJ169,1),0))</f>
        <v>0</v>
      </c>
      <c r="AT169" s="637" cm="1">
        <f t="array" ref="AT169">IF($CJ169=0,0,IFERROR(INDEX(MAT[Preis],$CJ169,1),0))</f>
        <v>0</v>
      </c>
      <c r="AU169" s="638">
        <f t="shared" si="441"/>
        <v>0</v>
      </c>
      <c r="AV169" s="639" cm="1">
        <f t="array" ref="AV169">IF($AU169&lt;=0,0,INDEX(Premises!$A$30:$F$30,1,$CH169)/100)</f>
        <v>0</v>
      </c>
      <c r="AW169" s="409"/>
      <c r="AX169" s="631">
        <f t="shared" si="442"/>
        <v>0</v>
      </c>
      <c r="AY169" s="640" cm="1">
        <f t="array" ref="AY169">IF($AT169&lt;=0,0,IFERROR(IF(INDEX(Premises!$A$42:$F$42,1,$CH169)&lt;&gt;0,INDEX(Premises!$A$42:$F$42,1,$CH169)/100,(INDEX(MAT[],$CJ169,MATCH($CA169,MAT!$B$4:$AE$4,0))/($AR169*$CK169*INDEX(Premises!$A$13:$F$13,1,$CH169))+INDEX(MAT[],$CJ169,MATCH($CA169,MAT!$B$4:$AE$4,0)+7))/$AT169),0))</f>
        <v>0</v>
      </c>
      <c r="AZ169" s="631">
        <f t="shared" si="443"/>
        <v>0</v>
      </c>
      <c r="BA169" s="635">
        <f t="shared" si="444"/>
        <v>0</v>
      </c>
      <c r="BB169" s="635">
        <f t="shared" si="445"/>
        <v>0</v>
      </c>
      <c r="BC169" s="639" cm="1">
        <f t="array" ref="BC169">IF($BB169&lt;=0,0,IF(BC$2=-1,0,INDEX(Premises!$A$32:$F$32,1,$CH169)/100))</f>
        <v>0</v>
      </c>
      <c r="BD169" s="631">
        <f t="shared" si="446"/>
        <v>0</v>
      </c>
      <c r="BE169" s="639" cm="1">
        <f t="array" ref="BE169">IF($BB169&lt;=0,0,IF(BE$2=-1,0,INDEX(Premises!$A$33:$F$33,1,$CH169)/100))</f>
        <v>0</v>
      </c>
      <c r="BF169" s="631">
        <f t="shared" si="447"/>
        <v>0</v>
      </c>
      <c r="BG169" s="639" cm="1">
        <f t="array" ref="BG169">IF($BB169&lt;=0,0,IF(BG$2=-1,0,INDEX(Premises!$A$31:$F$31,1,$CH169)/100))</f>
        <v>0</v>
      </c>
      <c r="BH169" s="631">
        <f t="shared" si="448"/>
        <v>0</v>
      </c>
      <c r="BI169" s="635">
        <f t="shared" si="449"/>
        <v>0</v>
      </c>
      <c r="BJ169" s="639" cm="1">
        <f t="array" ref="BJ169">IF($BB169&lt;=0,0,IF(BJ$2=-1,0,INDEX(Premises!$A$35:$F$35,1,$CH169)/100))</f>
        <v>0</v>
      </c>
      <c r="BK169" s="631">
        <f t="shared" si="450"/>
        <v>0</v>
      </c>
      <c r="BL169" s="639" cm="1">
        <f t="array" ref="BL169">IF($BB169&lt;=0,0,IF(BL$2=-1,0,INDEX(Premises!$A$36:$F$36,1,$CH169)/100))</f>
        <v>0</v>
      </c>
      <c r="BM169" s="631">
        <f t="shared" si="451"/>
        <v>0</v>
      </c>
      <c r="BN169" s="639" cm="1">
        <f t="array" ref="BN169">IF($BB169&lt;=0,0,IF(BN$2=-1,0,INDEX(Premises!$A$34:$F$34,1,$CH169)/100))</f>
        <v>0</v>
      </c>
      <c r="BO169" s="631">
        <f t="shared" si="452"/>
        <v>0</v>
      </c>
      <c r="BP169" s="639" cm="1">
        <f t="array" ref="BP169">IF($BI169=0,0,INDEX(Premises!$A$37:$F$37,1,$CH169)/100)</f>
        <v>0</v>
      </c>
      <c r="BQ169" s="409"/>
      <c r="BR169" s="631">
        <f t="shared" si="453"/>
        <v>0</v>
      </c>
      <c r="BS169" s="641">
        <f t="shared" si="454"/>
        <v>0</v>
      </c>
      <c r="BT169" s="641">
        <f t="shared" si="455"/>
        <v>0</v>
      </c>
      <c r="BU169" s="642">
        <f t="shared" si="456"/>
        <v>0</v>
      </c>
      <c r="BV169" s="1147"/>
      <c r="BW169" s="418"/>
      <c r="BX169" s="418"/>
      <c r="BY169" s="419"/>
      <c r="BZ169" s="968"/>
      <c r="CA169" s="280" cm="1">
        <f t="array" ref="CA169">IF($BZ169&gt;0,VALUE(LEFT($BZ169,IF(ISERROR(FIND("-",$BZ169)),LEN($BZ169),FIND("-",$BZ169)-1))),INDEX($CA$1:$CA169,MAX(1,$CD169)))</f>
        <v>1</v>
      </c>
      <c r="CB169" s="280" cm="1">
        <f t="array" ref="CB169">IF($BT169=0,0,IF(LEN($BZ169)-LEN(SUBSTITUTE($BZ169,"-",""))&gt;1,
VALUE(MID($BZ169,FIND("-",$BZ169)+1,FIND("-",$BZ169,FIND("-",$BZ169)+1)-FIND("-",$BZ169)-1)),IF($BZ169&gt;0,0,INDEX($CB$1:$CB169,MAX(1,$CD169)))))</f>
        <v>0</v>
      </c>
      <c r="CC169" s="280" cm="1">
        <f t="array" ref="CC169">IF($BT169=0,0,IF(NOT(ISERROR(FIND("-",BZ169))),
VALUE(RIGHT($BZ169,LEN($BZ169)-IF(LEN($BZ169)-LEN(SUBSTITUTE($BZ169,"-",""))=1,FIND("-",$BZ169),FIND("-",$BZ169,FIND("-",$BZ169)+1)))),
IF($BZ169&gt;0,0,INDEX($CC$1:$CC169,MAX(1,$CD169)))))</f>
        <v>0</v>
      </c>
      <c r="CD169" s="393">
        <f>MATCH(0,$CE$1:$CE169,-1)</f>
        <v>163</v>
      </c>
      <c r="CE169" s="280"/>
      <c r="CF169" s="394"/>
      <c r="CG169" s="393" cm="1">
        <f t="array" ref="CG169">INDEX($CG$1:$CG169,$CD169)</f>
        <v>21</v>
      </c>
      <c r="CH169" s="280">
        <f>MATCH($CA169,Premises!$A$10:$F$10,0)</f>
        <v>4</v>
      </c>
      <c r="CI169" s="280">
        <f>IF(ISBLANK($E169),0,IFERROR(MATCH($E169,MHR[Bezeichnung],0),0))</f>
        <v>0</v>
      </c>
      <c r="CJ169" s="394">
        <f>IF(ISBLANK($AQ169),0,IFERROR(MATCH($AQ169,MAT[Bezeichnung],0),0))</f>
        <v>0</v>
      </c>
      <c r="CK169" s="280" cm="1">
        <f t="array" ref="CK169">INDEX($D$1:$D169,$CD169)</f>
        <v>1</v>
      </c>
      <c r="CL169" s="280"/>
      <c r="CM169" s="395"/>
      <c r="CN169" s="396" cm="1">
        <f t="array" ref="CN169">IF($CB169=0,0,IF($CB169=INDEX($CB$1:$CB169,$CD169),INDEX($CN$1:$CN169,$CD169),$CP169))</f>
        <v>0</v>
      </c>
      <c r="CO169" s="395"/>
      <c r="CP169" s="396" cm="1">
        <f t="array" ref="CP169">IF($CC169=0,0,INDEX($CP$1:$CP169,$CD169))</f>
        <v>0</v>
      </c>
      <c r="CQ169" s="397"/>
      <c r="CR169" s="398"/>
      <c r="CS169" s="398"/>
      <c r="CT169" s="1152"/>
      <c r="CU169" s="1149"/>
      <c r="CV169" s="647">
        <f t="shared" si="457"/>
        <v>0</v>
      </c>
      <c r="CW169" s="648">
        <f t="shared" si="458"/>
        <v>0</v>
      </c>
      <c r="CX169" s="648">
        <f t="shared" si="459"/>
        <v>0</v>
      </c>
      <c r="CY169" s="648">
        <f t="shared" si="460"/>
        <v>0</v>
      </c>
      <c r="CZ169" s="648">
        <f t="shared" si="461"/>
        <v>0</v>
      </c>
      <c r="DA169" s="648">
        <f t="shared" si="462"/>
        <v>0</v>
      </c>
      <c r="DB169" s="648">
        <f t="shared" si="463"/>
        <v>0</v>
      </c>
      <c r="DC169" s="649">
        <f t="shared" si="464"/>
        <v>0</v>
      </c>
      <c r="DD169" s="648">
        <f t="shared" si="465"/>
        <v>0</v>
      </c>
      <c r="DE169" s="648">
        <f t="shared" si="466"/>
        <v>0</v>
      </c>
      <c r="DF169" s="648">
        <f t="shared" si="467"/>
        <v>0</v>
      </c>
      <c r="DG169" s="649">
        <f t="shared" si="468"/>
        <v>0</v>
      </c>
      <c r="DH169" s="649">
        <f t="shared" si="469"/>
        <v>0</v>
      </c>
      <c r="DI169" s="648">
        <f t="shared" si="470"/>
        <v>0</v>
      </c>
      <c r="DJ169" s="648">
        <f t="shared" si="471"/>
        <v>0</v>
      </c>
      <c r="DK169" s="648">
        <f t="shared" si="472"/>
        <v>0</v>
      </c>
      <c r="DL169" s="648">
        <f t="shared" si="473"/>
        <v>0</v>
      </c>
      <c r="DM169" s="648">
        <f t="shared" si="474"/>
        <v>0</v>
      </c>
      <c r="DN169" s="648">
        <f t="shared" si="475"/>
        <v>0</v>
      </c>
      <c r="DO169" s="648">
        <f t="shared" si="476"/>
        <v>0</v>
      </c>
      <c r="DP169" s="651">
        <f t="shared" si="477"/>
        <v>0</v>
      </c>
      <c r="DQ169" s="951">
        <f>IF($CB169=0,0,$DP169*_xlfn.XLOOKUP($CB169,Premises!$A$10:$F$10,Premises!$A$30:$F$30)/100)</f>
        <v>0</v>
      </c>
      <c r="DR169" s="650">
        <f>IFERROR(SUM($DP169:$DQ169)*IF(INDEX(Premises!$A$42:$F$42,1,MATCH($CB169,Premises!$A$10:$F$10,0))&gt;0,INDEX(Premises!$A$42:$F$42,1,MATCH($CB169,Premises!$A$10:$F$10,0))%,$CN169),0)</f>
        <v>0</v>
      </c>
      <c r="DS169" s="650" cm="1">
        <f t="array" ref="DS169">IF($CB169=0,0,SUM($DP169:$DR169)*_xlfn.XLOOKUP($CB169,Premises!$A$10:$F$10,IF(INDEX(Settings[],MATCH(3001,Settings[ID],0),2)="B",Premises!$A$33:$F$33,Premises!$A$31:$F$31))/100)</f>
        <v>0</v>
      </c>
      <c r="DT169" s="650" cm="1">
        <f t="array" ref="DT169">IF($CB169=0,0,$DP169*_xlfn.XLOOKUP($CB169,Premises!$A$10:$F$10,IF(INDEX(Settings[],MATCH(3002,Settings[ID],0),2)="B",Premises!$A$36:$F$36,Premises!$A$34:$F$34))/100)</f>
        <v>0</v>
      </c>
      <c r="DU169" s="650">
        <f>IF($CB169=0,0,SUM($DP169:$DT169)*_xlfn.XLOOKUP($CB169,Premises!$A$10:$F$10,Premises!$A$37:$F$37)/100)</f>
        <v>0</v>
      </c>
      <c r="DV169" s="954">
        <f t="shared" si="478"/>
        <v>0</v>
      </c>
      <c r="DW169" s="951">
        <f>IF($CC169=0,0,$DV169*_xlfn.XLOOKUP($CC169,Premises!$A$10:$F$10,Premises!$A$30:$F$30)/100)</f>
        <v>0</v>
      </c>
      <c r="DX169" s="650">
        <f>IFERROR(SUM($DV169:$DW169)*IF(INDEX(Premises!$A$42:$F$42,1,MATCH($CC169,Premises!$A$10:$F$10,0))&gt;0,INDEX(Premises!$A$42:$F$42,1,MATCH($CC169,Premises!$A$10:$F$10,0))%,$CP169),0)</f>
        <v>0</v>
      </c>
      <c r="DY169" s="650" cm="1">
        <f t="array" ref="DY169">IF($CC169=0,0,SUM($DV169:$DX169)*_xlfn.XLOOKUP($CC169,Premises!$A$10:$F$10,IF(INDEX(Settings[],MATCH(3001,Settings[ID],0),2)="B",Premises!$A$33:$F$33,Premises!$A$31:$F$31))/100)</f>
        <v>0</v>
      </c>
      <c r="DZ169" s="650" cm="1">
        <f t="array" ref="DZ169">IF($CC169=0,0,$DV169*_xlfn.XLOOKUP($CC169,Premises!$A$10:$F$10,IF(INDEX(Settings[],MATCH(3002,Settings[ID],0),2)="B",Premises!$A$36:$F$36,Premises!$A$34:$F$34))/100)</f>
        <v>0</v>
      </c>
      <c r="EA169" s="650">
        <f>IF($CC169=0,0,SUM($DV169:$DZ169)*_xlfn.XLOOKUP($CC169,Premises!$A$10:$F$10,Premises!$A$37:$F$37)/100)</f>
        <v>0</v>
      </c>
      <c r="EB169" s="651">
        <f t="shared" si="479"/>
        <v>0</v>
      </c>
      <c r="EC169" s="805"/>
      <c r="ED169" s="1104"/>
      <c r="EE169" s="650"/>
      <c r="EF169" s="1110"/>
      <c r="EG169" s="1108"/>
      <c r="EH169" s="1108"/>
      <c r="EI169" s="1108"/>
      <c r="EJ169" s="1108"/>
      <c r="EK169" s="1108"/>
      <c r="EL169" s="1108"/>
      <c r="EM169" s="1110"/>
      <c r="EN169" s="1108"/>
      <c r="EO169" s="1108"/>
      <c r="EP169" s="1108"/>
      <c r="EQ169" s="1108"/>
      <c r="ER169" s="1110"/>
      <c r="ES169" s="1108"/>
      <c r="ET169" s="1108"/>
      <c r="EU169" s="1108"/>
      <c r="EV169" s="1108"/>
      <c r="EW169" s="1108"/>
      <c r="EX169" s="1111"/>
      <c r="EY169" s="2"/>
      <c r="EZ169" s="2"/>
      <c r="FA169" s="2"/>
      <c r="FB169" s="2"/>
      <c r="FC169" s="2"/>
      <c r="FD169" s="2"/>
      <c r="FE169" s="2"/>
      <c r="FF169" s="2"/>
      <c r="FG169" s="2"/>
      <c r="FH169" s="2"/>
      <c r="FI169" s="2"/>
      <c r="FJ169" s="420"/>
      <c r="FK169" s="421"/>
      <c r="FL169" s="422"/>
      <c r="FM169" s="1153"/>
    </row>
    <row r="170" spans="1:169" s="13" customFormat="1" ht="12.75" customHeight="1">
      <c r="A170" s="221"/>
      <c r="B170" s="1329" t="s">
        <v>4340</v>
      </c>
      <c r="C170" s="403" t="s">
        <v>4347</v>
      </c>
      <c r="D170" s="646"/>
      <c r="E170" s="404" t="s">
        <v>4345</v>
      </c>
      <c r="F170" s="405">
        <v>1</v>
      </c>
      <c r="G170" s="405" t="s">
        <v>93</v>
      </c>
      <c r="H170" s="405">
        <v>41.6</v>
      </c>
      <c r="I170" s="637" cm="1">
        <f t="array" ref="I170">IF($CI170=0,0,IFERROR(INDEX(MHR[],$CI170,MATCH($CA170,MHR!$B$4:$AY$4,0)),0))</f>
        <v>50.88640625</v>
      </c>
      <c r="J170" s="634">
        <f t="shared" si="432"/>
        <v>3.3978636651976491E-4</v>
      </c>
      <c r="K170" s="406" t="s">
        <v>49</v>
      </c>
      <c r="L170" s="407">
        <v>30</v>
      </c>
      <c r="M170" s="871">
        <v>2</v>
      </c>
      <c r="N170" s="407"/>
      <c r="O170" s="405"/>
      <c r="P170" s="645" cm="1">
        <f t="array" ref="P170">IF($K170=0,0,IFERROR(ROUNDUP(IF(ISNUMBER($K170),$K170,INDEX($D$1:$D170,$CD170)*INDEX(Premises!$A$13:$F$13,1,$CH170)/IF(OR($K170="T",$K170="D"),250,IF($K170="W",50,IF($K170="M",12,IF(OR($K170="HJ",$K170="HY"),2,IF(OR($K170="J",$K170="Y"),1,0)))))),0),0))</f>
        <v>3334</v>
      </c>
      <c r="Q170" s="637" cm="1">
        <f t="array" ref="Q170">IF($K170=0,0,IFERROR(INDEX(Premises!$A$22:$F$22,1,$CH170)*100/INDEX(Premises!$A$16:$F$16,1,$CH170),0))</f>
        <v>16.925000000000001</v>
      </c>
      <c r="R170" s="634">
        <f t="shared" si="433"/>
        <v>1.2707919353629275E-2</v>
      </c>
      <c r="S170" s="408">
        <v>1</v>
      </c>
      <c r="T170" s="409" t="s">
        <v>275</v>
      </c>
      <c r="U170" s="637" cm="1">
        <f t="array" ref="U170">IF(COUNTBLANK($S170:$T170),0,
IF(AND(INDEX(MHR[Schichtmodell],$CI170)&lt;&gt;0,INDEX(MHR[Schichtmodell],$CI170)&lt;&gt;INDEX(Premises!$A$20:$F$20,1,$CH170)),ExchangeRate*
IF(OR($T170="M",$T170="U"),IF(INDEX(MHR[Schichtmodell],$CI170)=1,INDEX(LOC[M1S],INDEX(Premises!$A$18:$F$18,1,$CH170+1)),IF(INDEX(MHR[Schichtmodell],$CI170)=2,INDEX(LOC[M2S],INDEX(Premises!$A$18:$F$18,1,$CH170+1),IF(INDEX(MHR[Schichtmodell],$CI170)=3,INDEX(LOC[M3S],INDEX(Premises!$A$18:$F$18,1,$CH170+1)),0)))),
IF(INDEX(MHR[Schichtmodell],$CI170)=1,INDEX(LOC[F1S],INDEX(Premises!$A$18:$F$18,1,$CH170+1)),IF(INDEX(MHR[Schichtmodell],$CI170)=2,INDEX(LOC[F2S],INDEX(Premises!$A$18:$F$18,1,$CH170+1)),IF(INDEX(MHR[Schichtmodell],$CI170)=3,INDEX(LOC[F3S],INDEX(Premises!$A$18:$F$18,1,$CH170+1)),0)))),
IF(OR($T170="M",$T170="U"),INDEX(Premises!$A$21:$F$21,1,$CH170),
IF(OR($T170="F",$T170="S"),INDEX(Premises!$A$22:$F$22,1,$CH170),0)))*100/INDEX(Premises!$A$16:$F$16,1,$CH170))</f>
        <v>12.037500000000001</v>
      </c>
      <c r="V170" s="631">
        <f t="shared" si="434"/>
        <v>8.0378605769230766E-5</v>
      </c>
      <c r="W170" s="410"/>
      <c r="X170" s="403"/>
      <c r="Y170" s="411"/>
      <c r="Z170" s="412"/>
      <c r="AA170" s="628">
        <f t="shared" si="435"/>
        <v>0</v>
      </c>
      <c r="AB170" s="410"/>
      <c r="AC170" s="403"/>
      <c r="AD170" s="411"/>
      <c r="AE170" s="413"/>
      <c r="AF170" s="628">
        <f t="shared" si="436"/>
        <v>0</v>
      </c>
      <c r="AG170" s="629" cm="1">
        <f t="array" ref="AG170">IF(($J170+$V170+$AF170)=0,0,INDEX(Premises!$A$30:$F$30,1,$CH170)/100)</f>
        <v>0.01</v>
      </c>
      <c r="AH170" s="414"/>
      <c r="AI170" s="415"/>
      <c r="AJ170" s="416"/>
      <c r="AK170" s="630">
        <f t="shared" si="437"/>
        <v>0</v>
      </c>
      <c r="AL170" s="631">
        <f t="shared" si="438"/>
        <v>4.2016497228899566E-6</v>
      </c>
      <c r="AM170" s="632" cm="1">
        <f t="array" ref="AM170">IF($CI170=0,0,IFERROR(INDEX(MHR[],$CI170,MATCH($CA170,MHR!$B$4:$AY$4,0)+11),0))</f>
        <v>4.2450010155189757</v>
      </c>
      <c r="AN170" s="633" cm="1">
        <f t="array" ref="AN170">IF(($J170+$V170)=0,0,IFERROR(IF(INDEX(Premises!$A$41:$F$41,1,$CH170)&lt;&gt;0,INDEX(Premises!$A$41:$F$41,1,$CH170)/100,(IFERROR(($J170/$I170)*$AM170,0)/($V170+$J170+$R170+$AL170))),0))</f>
        <v>2.1584482242966623E-3</v>
      </c>
      <c r="AO170" s="634">
        <f t="shared" si="439"/>
        <v>2.8345359345078627E-5</v>
      </c>
      <c r="AP170" s="635">
        <f t="shared" si="440"/>
        <v>1.3160631334986241E-2</v>
      </c>
      <c r="AQ170" s="410"/>
      <c r="AR170" s="409"/>
      <c r="AS170" s="636" cm="1">
        <f t="array" ref="AS170">IF($CJ170=0,0,IFERROR(INDEX(MAT[Einheit],$CJ170,1),0))</f>
        <v>0</v>
      </c>
      <c r="AT170" s="637" cm="1">
        <f t="array" ref="AT170">IF($CJ170=0,0,IFERROR(INDEX(MAT[Preis],$CJ170,1),0))</f>
        <v>0</v>
      </c>
      <c r="AU170" s="638">
        <f t="shared" si="441"/>
        <v>0</v>
      </c>
      <c r="AV170" s="639" cm="1">
        <f t="array" ref="AV170">IF($AU170&lt;=0,0,INDEX(Premises!$A$30:$F$30,1,$CH170)/100)</f>
        <v>0</v>
      </c>
      <c r="AW170" s="409"/>
      <c r="AX170" s="631">
        <f t="shared" si="442"/>
        <v>0</v>
      </c>
      <c r="AY170" s="640" cm="1">
        <f t="array" ref="AY170">IF($AT170&lt;=0,0,IFERROR(IF(INDEX(Premises!$A$42:$F$42,1,$CH170)&lt;&gt;0,INDEX(Premises!$A$42:$F$42,1,$CH170)/100,(INDEX(MAT[],$CJ170,MATCH($CA170,MAT!$B$4:$AE$4,0))/($AR170*$CK170*INDEX(Premises!$A$13:$F$13,1,$CH170))+INDEX(MAT[],$CJ170,MATCH($CA170,MAT!$B$4:$AE$4,0)+7))/$AT170),0))</f>
        <v>0</v>
      </c>
      <c r="AZ170" s="631">
        <f t="shared" si="443"/>
        <v>0</v>
      </c>
      <c r="BA170" s="635">
        <f t="shared" si="444"/>
        <v>0</v>
      </c>
      <c r="BB170" s="635">
        <f t="shared" si="445"/>
        <v>1.3160631334986241E-2</v>
      </c>
      <c r="BC170" s="639" cm="1">
        <f t="array" ref="BC170">IF($BB170&lt;=0,0,IF(BC$2=-1,0,INDEX(Premises!$A$32:$F$32,1,$CH170)/100))</f>
        <v>0</v>
      </c>
      <c r="BD170" s="631">
        <f t="shared" si="446"/>
        <v>0</v>
      </c>
      <c r="BE170" s="639" cm="1">
        <f t="array" ref="BE170">IF($BB170&lt;=0,0,IF(BE$2=-1,0,INDEX(Premises!$A$33:$F$33,1,$CH170)/100))</f>
        <v>0</v>
      </c>
      <c r="BF170" s="631">
        <f t="shared" si="447"/>
        <v>0</v>
      </c>
      <c r="BG170" s="639" cm="1">
        <f t="array" ref="BG170">IF($BB170&lt;=0,0,IF(BG$2=-1,0,INDEX(Premises!$A$31:$F$31,1,$CH170)/100))</f>
        <v>0.125</v>
      </c>
      <c r="BH170" s="631">
        <f t="shared" si="448"/>
        <v>1.6445537106579188E-3</v>
      </c>
      <c r="BI170" s="635">
        <f t="shared" si="449"/>
        <v>1.4805185045644161E-2</v>
      </c>
      <c r="BJ170" s="639" cm="1">
        <f t="array" ref="BJ170">IF($BB170&lt;=0,0,IF(BJ$2=-1,0,INDEX(Premises!$A$35:$F$35,1,$CH170)/100))</f>
        <v>0</v>
      </c>
      <c r="BK170" s="631">
        <f t="shared" si="450"/>
        <v>0</v>
      </c>
      <c r="BL170" s="639" cm="1">
        <f t="array" ref="BL170">IF($BB170&lt;=0,0,IF(BL$2=-1,0,INDEX(Premises!$A$36:$F$36,1,$CH170)/100))</f>
        <v>0</v>
      </c>
      <c r="BM170" s="631">
        <f t="shared" si="451"/>
        <v>0</v>
      </c>
      <c r="BN170" s="639" cm="1">
        <f t="array" ref="BN170">IF($BB170&lt;=0,0,IF(BN$2=-1,0,INDEX(Premises!$A$34:$F$34,1,$CH170)/100))</f>
        <v>0.06</v>
      </c>
      <c r="BO170" s="631">
        <f t="shared" si="452"/>
        <v>7.8938578111580103E-4</v>
      </c>
      <c r="BP170" s="639" cm="1">
        <f t="array" ref="BP170">IF($BI170=0,0,INDEX(Premises!$A$37:$F$37,1,$CH170)/100)</f>
        <v>0</v>
      </c>
      <c r="BQ170" s="409"/>
      <c r="BR170" s="631">
        <f t="shared" si="453"/>
        <v>0</v>
      </c>
      <c r="BS170" s="641">
        <f t="shared" si="454"/>
        <v>1.5594570826759961E-2</v>
      </c>
      <c r="BT170" s="641">
        <f t="shared" si="455"/>
        <v>1.5594570826759961E-2</v>
      </c>
      <c r="BU170" s="642">
        <f t="shared" si="456"/>
        <v>1</v>
      </c>
      <c r="BV170" s="417"/>
      <c r="BW170" s="418"/>
      <c r="BX170" s="418"/>
      <c r="BY170" s="419"/>
      <c r="BZ170" s="968"/>
      <c r="CA170" s="280" cm="1">
        <f t="array" ref="CA170">IF($BZ170&gt;0,VALUE(LEFT($BZ170,IF(ISERROR(FIND("-",$BZ170)),LEN($BZ170),FIND("-",$BZ170)-1))),INDEX($CA$1:$CA170,MAX(1,$CD170)))</f>
        <v>1</v>
      </c>
      <c r="CB170" s="280" cm="1">
        <f t="array" ref="CB170">IF($BT170=0,0,IF(LEN($BZ170)-LEN(SUBSTITUTE($BZ170,"-",""))&gt;1,
VALUE(MID($BZ170,FIND("-",$BZ170)+1,FIND("-",$BZ170,FIND("-",$BZ170)+1)-FIND("-",$BZ170)-1)),IF($BZ170&gt;0,0,INDEX($CB$1:$CB170,MAX(1,$CD170)))))</f>
        <v>0</v>
      </c>
      <c r="CC170" s="280" cm="1">
        <f t="array" ref="CC170">IF($BT170=0,0,IF(NOT(ISERROR(FIND("-",BZ170))),
VALUE(RIGHT($BZ170,LEN($BZ170)-IF(LEN($BZ170)-LEN(SUBSTITUTE($BZ170,"-",""))=1,FIND("-",$BZ170),FIND("-",$BZ170,FIND("-",$BZ170)+1)))),
IF($BZ170&gt;0,0,INDEX($CC$1:$CC170,MAX(1,$CD170)))))</f>
        <v>0</v>
      </c>
      <c r="CD170" s="393">
        <f>MATCH(0,$CE$1:$CE170,-1)</f>
        <v>163</v>
      </c>
      <c r="CE170" s="280"/>
      <c r="CF170" s="394"/>
      <c r="CG170" s="393" cm="1">
        <f t="array" ref="CG170">INDEX($CG$1:$CG170,$CD170)</f>
        <v>21</v>
      </c>
      <c r="CH170" s="280">
        <f>MATCH($CA170,Premises!$A$10:$F$10,0)</f>
        <v>4</v>
      </c>
      <c r="CI170" s="280">
        <f>IF(ISBLANK($E170),0,IFERROR(MATCH($E170,MHR[Bezeichnung],0),0))</f>
        <v>6</v>
      </c>
      <c r="CJ170" s="394">
        <f>IF(ISBLANK($AQ170),0,IFERROR(MATCH($AQ170,MAT[Bezeichnung],0),0))</f>
        <v>0</v>
      </c>
      <c r="CK170" s="280" cm="1">
        <f t="array" ref="CK170">INDEX($D$1:$D170,$CD170)</f>
        <v>1</v>
      </c>
      <c r="CL170" s="280"/>
      <c r="CM170" s="395"/>
      <c r="CN170" s="396" cm="1">
        <f t="array" ref="CN170">IF($CB170=0,0,IF($CB170=INDEX($CB$1:$CB170,$CD170),INDEX($CN$1:$CN170,$CD170),$CP170))</f>
        <v>0</v>
      </c>
      <c r="CO170" s="395"/>
      <c r="CP170" s="396" cm="1">
        <f t="array" ref="CP170">IF($CC170=0,0,INDEX($CP$1:$CP170,$CD170))</f>
        <v>0</v>
      </c>
      <c r="CQ170" s="397"/>
      <c r="CR170" s="398"/>
      <c r="CS170" s="398"/>
      <c r="CT170" s="970"/>
      <c r="CU170" s="2"/>
      <c r="CV170" s="647">
        <f t="shared" si="457"/>
        <v>3.3978636651976491E-4</v>
      </c>
      <c r="CW170" s="648">
        <f t="shared" si="458"/>
        <v>1.2707919353629275E-2</v>
      </c>
      <c r="CX170" s="648">
        <f t="shared" si="459"/>
        <v>8.0378605769230766E-5</v>
      </c>
      <c r="CY170" s="648">
        <f t="shared" si="460"/>
        <v>0</v>
      </c>
      <c r="CZ170" s="648">
        <f t="shared" si="461"/>
        <v>0</v>
      </c>
      <c r="DA170" s="648">
        <f t="shared" si="462"/>
        <v>4.2016497228899566E-6</v>
      </c>
      <c r="DB170" s="648">
        <f t="shared" si="463"/>
        <v>2.8345359345078627E-5</v>
      </c>
      <c r="DC170" s="649">
        <f t="shared" si="464"/>
        <v>1.3160631334986241E-2</v>
      </c>
      <c r="DD170" s="648">
        <f t="shared" si="465"/>
        <v>0</v>
      </c>
      <c r="DE170" s="648">
        <f t="shared" si="466"/>
        <v>0</v>
      </c>
      <c r="DF170" s="648">
        <f t="shared" si="467"/>
        <v>0</v>
      </c>
      <c r="DG170" s="649">
        <f t="shared" si="468"/>
        <v>0</v>
      </c>
      <c r="DH170" s="649">
        <f t="shared" si="469"/>
        <v>1.3160631334986241E-2</v>
      </c>
      <c r="DI170" s="648">
        <f t="shared" si="470"/>
        <v>0</v>
      </c>
      <c r="DJ170" s="648">
        <f t="shared" si="471"/>
        <v>0</v>
      </c>
      <c r="DK170" s="648">
        <f t="shared" si="472"/>
        <v>1.6445537106579188E-3</v>
      </c>
      <c r="DL170" s="648">
        <f t="shared" si="473"/>
        <v>0</v>
      </c>
      <c r="DM170" s="648">
        <f t="shared" si="474"/>
        <v>0</v>
      </c>
      <c r="DN170" s="648">
        <f t="shared" si="475"/>
        <v>7.8938578111580103E-4</v>
      </c>
      <c r="DO170" s="648">
        <f t="shared" si="476"/>
        <v>0</v>
      </c>
      <c r="DP170" s="651">
        <f t="shared" si="477"/>
        <v>1.5594570826759961E-2</v>
      </c>
      <c r="DQ170" s="951">
        <f>IF($CB170=0,0,$DP170*_xlfn.XLOOKUP($CB170,Premises!$A$10:$F$10,Premises!$A$30:$F$30)/100)</f>
        <v>0</v>
      </c>
      <c r="DR170" s="650">
        <f>IFERROR(SUM($DP170:$DQ170)*IF(INDEX(Premises!$A$42:$F$42,1,MATCH($CB170,Premises!$A$10:$F$10,0))&gt;0,INDEX(Premises!$A$42:$F$42,1,MATCH($CB170,Premises!$A$10:$F$10,0))%,$CN170),0)</f>
        <v>0</v>
      </c>
      <c r="DS170" s="650" cm="1">
        <f t="array" ref="DS170">IF($CB170=0,0,SUM($DP170:$DR170)*_xlfn.XLOOKUP($CB170,Premises!$A$10:$F$10,IF(INDEX(Settings[],MATCH(3001,Settings[ID],0),2)="B",Premises!$A$33:$F$33,Premises!$A$31:$F$31))/100)</f>
        <v>0</v>
      </c>
      <c r="DT170" s="650" cm="1">
        <f t="array" ref="DT170">IF($CB170=0,0,$DP170*_xlfn.XLOOKUP($CB170,Premises!$A$10:$F$10,IF(INDEX(Settings[],MATCH(3002,Settings[ID],0),2)="B",Premises!$A$36:$F$36,Premises!$A$34:$F$34))/100)</f>
        <v>0</v>
      </c>
      <c r="DU170" s="650">
        <f>IF($CB170=0,0,SUM($DP170:$DT170)*_xlfn.XLOOKUP($CB170,Premises!$A$10:$F$10,Premises!$A$37:$F$37)/100)</f>
        <v>0</v>
      </c>
      <c r="DV170" s="954">
        <f t="shared" si="478"/>
        <v>1.5594570826759961E-2</v>
      </c>
      <c r="DW170" s="951">
        <f>IF($CC170=0,0,$DV170*_xlfn.XLOOKUP($CC170,Premises!$A$10:$F$10,Premises!$A$30:$F$30)/100)</f>
        <v>0</v>
      </c>
      <c r="DX170" s="650">
        <f>IFERROR(SUM($DV170:$DW170)*IF(INDEX(Premises!$A$42:$F$42,1,MATCH($CC170,Premises!$A$10:$F$10,0))&gt;0,INDEX(Premises!$A$42:$F$42,1,MATCH($CC170,Premises!$A$10:$F$10,0))%,$CP170),0)</f>
        <v>0</v>
      </c>
      <c r="DY170" s="650" cm="1">
        <f t="array" ref="DY170">IF($CC170=0,0,SUM($DV170:$DX170)*_xlfn.XLOOKUP($CC170,Premises!$A$10:$F$10,IF(INDEX(Settings[],MATCH(3001,Settings[ID],0),2)="B",Premises!$A$33:$F$33,Premises!$A$31:$F$31))/100)</f>
        <v>0</v>
      </c>
      <c r="DZ170" s="650" cm="1">
        <f t="array" ref="DZ170">IF($CC170=0,0,$DV170*_xlfn.XLOOKUP($CC170,Premises!$A$10:$F$10,IF(INDEX(Settings[],MATCH(3002,Settings[ID],0),2)="B",Premises!$A$36:$F$36,Premises!$A$34:$F$34))/100)</f>
        <v>0</v>
      </c>
      <c r="EA170" s="650">
        <f>IF($CC170=0,0,SUM($DV170:$DZ170)*_xlfn.XLOOKUP($CC170,Premises!$A$10:$F$10,Premises!$A$37:$F$37)/100)</f>
        <v>0</v>
      </c>
      <c r="EB170" s="651">
        <f t="shared" si="479"/>
        <v>1.5594570826759961E-2</v>
      </c>
      <c r="EC170" s="805"/>
      <c r="ED170" s="1104"/>
      <c r="EE170" s="650"/>
      <c r="EF170" s="1110"/>
      <c r="EG170" s="1108"/>
      <c r="EH170" s="1108"/>
      <c r="EI170" s="1108"/>
      <c r="EJ170" s="1108"/>
      <c r="EK170" s="1108"/>
      <c r="EL170" s="1108"/>
      <c r="EM170" s="1110"/>
      <c r="EN170" s="1108"/>
      <c r="EO170" s="1108"/>
      <c r="EP170" s="1108"/>
      <c r="EQ170" s="1108"/>
      <c r="ER170" s="1110"/>
      <c r="ES170" s="1108"/>
      <c r="ET170" s="1108"/>
      <c r="EU170" s="1108"/>
      <c r="EV170" s="1108"/>
      <c r="EW170" s="1108"/>
      <c r="EX170" s="1111"/>
      <c r="EY170" s="2"/>
      <c r="EZ170" s="2"/>
      <c r="FA170" s="2"/>
      <c r="FB170" s="2"/>
      <c r="FC170" s="2"/>
      <c r="FD170" s="2"/>
      <c r="FE170" s="2"/>
      <c r="FF170" s="2"/>
      <c r="FG170" s="2"/>
      <c r="FH170" s="2"/>
      <c r="FI170" s="2"/>
      <c r="FJ170" s="420"/>
      <c r="FK170" s="421"/>
      <c r="FL170" s="422"/>
      <c r="FM170" s="970"/>
    </row>
    <row r="171" spans="1:169" s="13" customFormat="1" ht="12.75" customHeight="1">
      <c r="A171" s="221"/>
      <c r="B171" s="1329"/>
      <c r="C171" s="403"/>
      <c r="D171" s="646"/>
      <c r="E171" s="404"/>
      <c r="F171" s="405"/>
      <c r="G171" s="405"/>
      <c r="H171" s="405"/>
      <c r="I171" s="637" cm="1">
        <f t="array" ref="I171">IF($CI171=0,0,IFERROR(INDEX(MHR[],$CI171,MATCH($CA171,MHR!$B$4:$AY$4,0)),0))</f>
        <v>0</v>
      </c>
      <c r="J171" s="634">
        <f t="shared" si="432"/>
        <v>0</v>
      </c>
      <c r="K171" s="406"/>
      <c r="L171" s="407"/>
      <c r="M171" s="871"/>
      <c r="N171" s="407"/>
      <c r="O171" s="405"/>
      <c r="P171" s="645" cm="1">
        <f t="array" ref="P171">IF($K171=0,0,IFERROR(ROUNDUP(IF(ISNUMBER($K171),$K171,INDEX($D$1:$D171,$CD171)*INDEX(Premises!$A$13:$F$13,1,$CH171)/IF(OR($K171="T",$K171="D"),250,IF($K171="W",50,IF($K171="M",12,IF(OR($K171="HJ",$K171="HY"),2,IF(OR($K171="J",$K171="Y"),1,0)))))),0),0))</f>
        <v>0</v>
      </c>
      <c r="Q171" s="637" cm="1">
        <f t="array" ref="Q171">IF($K171=0,0,IFERROR(INDEX(Premises!$A$22:$F$22,1,$CH171)*100/INDEX(Premises!$A$16:$F$16,1,$CH171),0))</f>
        <v>0</v>
      </c>
      <c r="R171" s="634">
        <f t="shared" si="433"/>
        <v>0</v>
      </c>
      <c r="S171" s="408"/>
      <c r="T171" s="409"/>
      <c r="U171" s="637" cm="1">
        <f t="array" ref="U171">IF(COUNTBLANK($S171:$T171),0,
IF(AND(INDEX(MHR[Schichtmodell],$CI171)&lt;&gt;0,INDEX(MHR[Schichtmodell],$CI171)&lt;&gt;INDEX(Premises!$A$20:$F$20,1,$CH171)),ExchangeRate*
IF(OR($T171="M",$T171="U"),IF(INDEX(MHR[Schichtmodell],$CI171)=1,INDEX(LOC[M1S],INDEX(Premises!$A$18:$F$18,1,$CH171+1)),IF(INDEX(MHR[Schichtmodell],$CI171)=2,INDEX(LOC[M2S],INDEX(Premises!$A$18:$F$18,1,$CH171+1),IF(INDEX(MHR[Schichtmodell],$CI171)=3,INDEX(LOC[M3S],INDEX(Premises!$A$18:$F$18,1,$CH171+1)),0)))),
IF(INDEX(MHR[Schichtmodell],$CI171)=1,INDEX(LOC[F1S],INDEX(Premises!$A$18:$F$18,1,$CH171+1)),IF(INDEX(MHR[Schichtmodell],$CI171)=2,INDEX(LOC[F2S],INDEX(Premises!$A$18:$F$18,1,$CH171+1)),IF(INDEX(MHR[Schichtmodell],$CI171)=3,INDEX(LOC[F3S],INDEX(Premises!$A$18:$F$18,1,$CH171+1)),0)))),
IF(OR($T171="M",$T171="U"),INDEX(Premises!$A$21:$F$21,1,$CH171),
IF(OR($T171="F",$T171="S"),INDEX(Premises!$A$22:$F$22,1,$CH171),0)))*100/INDEX(Premises!$A$16:$F$16,1,$CH171))</f>
        <v>0</v>
      </c>
      <c r="V171" s="631">
        <f t="shared" si="434"/>
        <v>0</v>
      </c>
      <c r="W171" s="410"/>
      <c r="X171" s="403"/>
      <c r="Y171" s="411"/>
      <c r="Z171" s="412"/>
      <c r="AA171" s="628">
        <f t="shared" si="435"/>
        <v>0</v>
      </c>
      <c r="AB171" s="410"/>
      <c r="AC171" s="403"/>
      <c r="AD171" s="411"/>
      <c r="AE171" s="413"/>
      <c r="AF171" s="628">
        <f t="shared" si="436"/>
        <v>0</v>
      </c>
      <c r="AG171" s="629" cm="1">
        <f t="array" ref="AG171">IF(($J171+$V171+$AF171)=0,0,INDEX(Premises!$A$30:$F$30,1,$CH171)/100)</f>
        <v>0</v>
      </c>
      <c r="AH171" s="414"/>
      <c r="AI171" s="415"/>
      <c r="AJ171" s="416"/>
      <c r="AK171" s="630">
        <f t="shared" si="437"/>
        <v>0</v>
      </c>
      <c r="AL171" s="631">
        <f t="shared" si="438"/>
        <v>0</v>
      </c>
      <c r="AM171" s="632" cm="1">
        <f t="array" ref="AM171">IF($CI171=0,0,IFERROR(INDEX(MHR[],$CI171,MATCH($CA171,MHR!$B$4:$AY$4,0)+11),0))</f>
        <v>0</v>
      </c>
      <c r="AN171" s="633" cm="1">
        <f t="array" ref="AN171">IF(($J171+$V171)=0,0,IFERROR(IF(INDEX(Premises!$A$41:$F$41,1,$CH171)&lt;&gt;0,INDEX(Premises!$A$41:$F$41,1,$CH171)/100,(IFERROR(($J171/$I171)*$AM171,0)/($V171+$J171+$R171+$AL171))),0))</f>
        <v>0</v>
      </c>
      <c r="AO171" s="634">
        <f t="shared" si="439"/>
        <v>0</v>
      </c>
      <c r="AP171" s="635">
        <f t="shared" si="440"/>
        <v>0</v>
      </c>
      <c r="AQ171" s="410"/>
      <c r="AR171" s="409"/>
      <c r="AS171" s="636" cm="1">
        <f t="array" ref="AS171">IF($CJ171=0,0,IFERROR(INDEX(MAT[Einheit],$CJ171,1),0))</f>
        <v>0</v>
      </c>
      <c r="AT171" s="637" cm="1">
        <f t="array" ref="AT171">IF($CJ171=0,0,IFERROR(INDEX(MAT[Preis],$CJ171,1),0))</f>
        <v>0</v>
      </c>
      <c r="AU171" s="638">
        <f t="shared" si="441"/>
        <v>0</v>
      </c>
      <c r="AV171" s="639" cm="1">
        <f t="array" ref="AV171">IF($AU171&lt;=0,0,INDEX(Premises!$A$30:$F$30,1,$CH171)/100)</f>
        <v>0</v>
      </c>
      <c r="AW171" s="409"/>
      <c r="AX171" s="631">
        <f t="shared" si="442"/>
        <v>0</v>
      </c>
      <c r="AY171" s="640" cm="1">
        <f t="array" ref="AY171">IF($AT171&lt;=0,0,IFERROR(IF(INDEX(Premises!$A$42:$F$42,1,$CH171)&lt;&gt;0,INDEX(Premises!$A$42:$F$42,1,$CH171)/100,(INDEX(MAT[],$CJ171,MATCH($CA171,MAT!$B$4:$AE$4,0))/($AR171*$CK171*INDEX(Premises!$A$13:$F$13,1,$CH171))+INDEX(MAT[],$CJ171,MATCH($CA171,MAT!$B$4:$AE$4,0)+7))/$AT171),0))</f>
        <v>0</v>
      </c>
      <c r="AZ171" s="631">
        <f t="shared" si="443"/>
        <v>0</v>
      </c>
      <c r="BA171" s="635">
        <f t="shared" si="444"/>
        <v>0</v>
      </c>
      <c r="BB171" s="635">
        <f t="shared" si="445"/>
        <v>0</v>
      </c>
      <c r="BC171" s="639" cm="1">
        <f t="array" ref="BC171">IF($BB171&lt;=0,0,IF(BC$2=-1,0,INDEX(Premises!$A$32:$F$32,1,$CH171)/100))</f>
        <v>0</v>
      </c>
      <c r="BD171" s="631">
        <f t="shared" si="446"/>
        <v>0</v>
      </c>
      <c r="BE171" s="639" cm="1">
        <f t="array" ref="BE171">IF($BB171&lt;=0,0,IF(BE$2=-1,0,INDEX(Premises!$A$33:$F$33,1,$CH171)/100))</f>
        <v>0</v>
      </c>
      <c r="BF171" s="631">
        <f t="shared" si="447"/>
        <v>0</v>
      </c>
      <c r="BG171" s="639" cm="1">
        <f t="array" ref="BG171">IF($BB171&lt;=0,0,IF(BG$2=-1,0,INDEX(Premises!$A$31:$F$31,1,$CH171)/100))</f>
        <v>0</v>
      </c>
      <c r="BH171" s="631">
        <f t="shared" si="448"/>
        <v>0</v>
      </c>
      <c r="BI171" s="635">
        <f t="shared" si="449"/>
        <v>0</v>
      </c>
      <c r="BJ171" s="639" cm="1">
        <f t="array" ref="BJ171">IF($BB171&lt;=0,0,IF(BJ$2=-1,0,INDEX(Premises!$A$35:$F$35,1,$CH171)/100))</f>
        <v>0</v>
      </c>
      <c r="BK171" s="631">
        <f t="shared" si="450"/>
        <v>0</v>
      </c>
      <c r="BL171" s="639" cm="1">
        <f t="array" ref="BL171">IF($BB171&lt;=0,0,IF(BL$2=-1,0,INDEX(Premises!$A$36:$F$36,1,$CH171)/100))</f>
        <v>0</v>
      </c>
      <c r="BM171" s="631">
        <f t="shared" si="451"/>
        <v>0</v>
      </c>
      <c r="BN171" s="639" cm="1">
        <f t="array" ref="BN171">IF($BB171&lt;=0,0,IF(BN$2=-1,0,INDEX(Premises!$A$34:$F$34,1,$CH171)/100))</f>
        <v>0</v>
      </c>
      <c r="BO171" s="631">
        <f t="shared" si="452"/>
        <v>0</v>
      </c>
      <c r="BP171" s="639" cm="1">
        <f t="array" ref="BP171">IF($BI171=0,0,INDEX(Premises!$A$37:$F$37,1,$CH171)/100)</f>
        <v>0</v>
      </c>
      <c r="BQ171" s="409"/>
      <c r="BR171" s="631">
        <f t="shared" si="453"/>
        <v>0</v>
      </c>
      <c r="BS171" s="641">
        <f t="shared" si="454"/>
        <v>0</v>
      </c>
      <c r="BT171" s="641">
        <f t="shared" si="455"/>
        <v>0</v>
      </c>
      <c r="BU171" s="642">
        <f t="shared" si="456"/>
        <v>0</v>
      </c>
      <c r="BV171" s="417"/>
      <c r="BW171" s="418"/>
      <c r="BX171" s="418"/>
      <c r="BY171" s="419"/>
      <c r="BZ171" s="968"/>
      <c r="CA171" s="280" cm="1">
        <f t="array" ref="CA171">IF($BZ171&gt;0,VALUE(LEFT($BZ171,IF(ISERROR(FIND("-",$BZ171)),LEN($BZ171),FIND("-",$BZ171)-1))),INDEX($CA$1:$CA171,MAX(1,$CD171)))</f>
        <v>1</v>
      </c>
      <c r="CB171" s="280" cm="1">
        <f t="array" ref="CB171">IF($BT171=0,0,IF(LEN($BZ171)-LEN(SUBSTITUTE($BZ171,"-",""))&gt;1,
VALUE(MID($BZ171,FIND("-",$BZ171)+1,FIND("-",$BZ171,FIND("-",$BZ171)+1)-FIND("-",$BZ171)-1)),IF($BZ171&gt;0,0,INDEX($CB$1:$CB171,MAX(1,$CD171)))))</f>
        <v>0</v>
      </c>
      <c r="CC171" s="280" cm="1">
        <f t="array" ref="CC171">IF($BT171=0,0,IF(NOT(ISERROR(FIND("-",BZ171))),
VALUE(RIGHT($BZ171,LEN($BZ171)-IF(LEN($BZ171)-LEN(SUBSTITUTE($BZ171,"-",""))=1,FIND("-",$BZ171),FIND("-",$BZ171,FIND("-",$BZ171)+1)))),
IF($BZ171&gt;0,0,INDEX($CC$1:$CC171,MAX(1,$CD171)))))</f>
        <v>0</v>
      </c>
      <c r="CD171" s="393">
        <f>MATCH(0,$CE$1:$CE171,-1)</f>
        <v>163</v>
      </c>
      <c r="CE171" s="280"/>
      <c r="CF171" s="394"/>
      <c r="CG171" s="393" cm="1">
        <f t="array" ref="CG171">INDEX($CG$1:$CG171,$CD171)</f>
        <v>21</v>
      </c>
      <c r="CH171" s="280">
        <f>MATCH($CA171,Premises!$A$10:$F$10,0)</f>
        <v>4</v>
      </c>
      <c r="CI171" s="280">
        <f>IF(ISBLANK($E171),0,IFERROR(MATCH($E171,MHR[Bezeichnung],0),0))</f>
        <v>0</v>
      </c>
      <c r="CJ171" s="394">
        <f>IF(ISBLANK($AQ171),0,IFERROR(MATCH($AQ171,MAT[Bezeichnung],0),0))</f>
        <v>0</v>
      </c>
      <c r="CK171" s="280" cm="1">
        <f t="array" ref="CK171">INDEX($D$1:$D171,$CD171)</f>
        <v>1</v>
      </c>
      <c r="CL171" s="280"/>
      <c r="CM171" s="395"/>
      <c r="CN171" s="396" cm="1">
        <f t="array" ref="CN171">IF($CB171=0,0,IF($CB171=INDEX($CB$1:$CB171,$CD171),INDEX($CN$1:$CN171,$CD171),$CP171))</f>
        <v>0</v>
      </c>
      <c r="CO171" s="395"/>
      <c r="CP171" s="396" cm="1">
        <f t="array" ref="CP171">IF($CC171=0,0,INDEX($CP$1:$CP171,$CD171))</f>
        <v>0</v>
      </c>
      <c r="CQ171" s="397"/>
      <c r="CR171" s="398"/>
      <c r="CS171" s="398"/>
      <c r="CT171" s="970"/>
      <c r="CU171" s="2"/>
      <c r="CV171" s="647">
        <f t="shared" si="457"/>
        <v>0</v>
      </c>
      <c r="CW171" s="648">
        <f t="shared" si="458"/>
        <v>0</v>
      </c>
      <c r="CX171" s="648">
        <f t="shared" si="459"/>
        <v>0</v>
      </c>
      <c r="CY171" s="648">
        <f t="shared" si="460"/>
        <v>0</v>
      </c>
      <c r="CZ171" s="648">
        <f t="shared" si="461"/>
        <v>0</v>
      </c>
      <c r="DA171" s="648">
        <f t="shared" si="462"/>
        <v>0</v>
      </c>
      <c r="DB171" s="648">
        <f t="shared" si="463"/>
        <v>0</v>
      </c>
      <c r="DC171" s="649">
        <f t="shared" si="464"/>
        <v>0</v>
      </c>
      <c r="DD171" s="648">
        <f t="shared" si="465"/>
        <v>0</v>
      </c>
      <c r="DE171" s="648">
        <f t="shared" si="466"/>
        <v>0</v>
      </c>
      <c r="DF171" s="648">
        <f t="shared" si="467"/>
        <v>0</v>
      </c>
      <c r="DG171" s="649">
        <f t="shared" si="468"/>
        <v>0</v>
      </c>
      <c r="DH171" s="649">
        <f t="shared" si="469"/>
        <v>0</v>
      </c>
      <c r="DI171" s="648">
        <f t="shared" si="470"/>
        <v>0</v>
      </c>
      <c r="DJ171" s="648">
        <f t="shared" si="471"/>
        <v>0</v>
      </c>
      <c r="DK171" s="648">
        <f t="shared" si="472"/>
        <v>0</v>
      </c>
      <c r="DL171" s="648">
        <f t="shared" si="473"/>
        <v>0</v>
      </c>
      <c r="DM171" s="648">
        <f t="shared" si="474"/>
        <v>0</v>
      </c>
      <c r="DN171" s="648">
        <f t="shared" si="475"/>
        <v>0</v>
      </c>
      <c r="DO171" s="648">
        <f t="shared" si="476"/>
        <v>0</v>
      </c>
      <c r="DP171" s="651">
        <f t="shared" si="477"/>
        <v>0</v>
      </c>
      <c r="DQ171" s="951">
        <f>IF($CB171=0,0,$DP171*_xlfn.XLOOKUP($CB171,Premises!$A$10:$F$10,Premises!$A$30:$F$30)/100)</f>
        <v>0</v>
      </c>
      <c r="DR171" s="650">
        <f>IFERROR(SUM($DP171:$DQ171)*IF(INDEX(Premises!$A$42:$F$42,1,MATCH($CB171,Premises!$A$10:$F$10,0))&gt;0,INDEX(Premises!$A$42:$F$42,1,MATCH($CB171,Premises!$A$10:$F$10,0))%,$CN171),0)</f>
        <v>0</v>
      </c>
      <c r="DS171" s="650" cm="1">
        <f t="array" ref="DS171">IF($CB171=0,0,SUM($DP171:$DR171)*_xlfn.XLOOKUP($CB171,Premises!$A$10:$F$10,IF(INDEX(Settings[],MATCH(3001,Settings[ID],0),2)="B",Premises!$A$33:$F$33,Premises!$A$31:$F$31))/100)</f>
        <v>0</v>
      </c>
      <c r="DT171" s="650" cm="1">
        <f t="array" ref="DT171">IF($CB171=0,0,$DP171*_xlfn.XLOOKUP($CB171,Premises!$A$10:$F$10,IF(INDEX(Settings[],MATCH(3002,Settings[ID],0),2)="B",Premises!$A$36:$F$36,Premises!$A$34:$F$34))/100)</f>
        <v>0</v>
      </c>
      <c r="DU171" s="650">
        <f>IF($CB171=0,0,SUM($DP171:$DT171)*_xlfn.XLOOKUP($CB171,Premises!$A$10:$F$10,Premises!$A$37:$F$37)/100)</f>
        <v>0</v>
      </c>
      <c r="DV171" s="954">
        <f t="shared" si="478"/>
        <v>0</v>
      </c>
      <c r="DW171" s="951">
        <f>IF($CC171=0,0,$DV171*_xlfn.XLOOKUP($CC171,Premises!$A$10:$F$10,Premises!$A$30:$F$30)/100)</f>
        <v>0</v>
      </c>
      <c r="DX171" s="650">
        <f>IFERROR(SUM($DV171:$DW171)*IF(INDEX(Premises!$A$42:$F$42,1,MATCH($CC171,Premises!$A$10:$F$10,0))&gt;0,INDEX(Premises!$A$42:$F$42,1,MATCH($CC171,Premises!$A$10:$F$10,0))%,$CP171),0)</f>
        <v>0</v>
      </c>
      <c r="DY171" s="650" cm="1">
        <f t="array" ref="DY171">IF($CC171=0,0,SUM($DV171:$DX171)*_xlfn.XLOOKUP($CC171,Premises!$A$10:$F$10,IF(INDEX(Settings[],MATCH(3001,Settings[ID],0),2)="B",Premises!$A$33:$F$33,Premises!$A$31:$F$31))/100)</f>
        <v>0</v>
      </c>
      <c r="DZ171" s="650" cm="1">
        <f t="array" ref="DZ171">IF($CC171=0,0,$DV171*_xlfn.XLOOKUP($CC171,Premises!$A$10:$F$10,IF(INDEX(Settings[],MATCH(3002,Settings[ID],0),2)="B",Premises!$A$36:$F$36,Premises!$A$34:$F$34))/100)</f>
        <v>0</v>
      </c>
      <c r="EA171" s="650">
        <f>IF($CC171=0,0,SUM($DV171:$DZ171)*_xlfn.XLOOKUP($CC171,Premises!$A$10:$F$10,Premises!$A$37:$F$37)/100)</f>
        <v>0</v>
      </c>
      <c r="EB171" s="651">
        <f t="shared" si="479"/>
        <v>0</v>
      </c>
      <c r="EC171" s="805"/>
      <c r="ED171" s="1104"/>
      <c r="EE171" s="650"/>
      <c r="EF171" s="1110"/>
      <c r="EG171" s="1108"/>
      <c r="EH171" s="1108"/>
      <c r="EI171" s="1108"/>
      <c r="EJ171" s="1108"/>
      <c r="EK171" s="1108"/>
      <c r="EL171" s="1108"/>
      <c r="EM171" s="1110"/>
      <c r="EN171" s="1108"/>
      <c r="EO171" s="1108"/>
      <c r="EP171" s="1108"/>
      <c r="EQ171" s="1108"/>
      <c r="ER171" s="1110"/>
      <c r="ES171" s="1108"/>
      <c r="ET171" s="1108"/>
      <c r="EU171" s="1108"/>
      <c r="EV171" s="1108"/>
      <c r="EW171" s="1108"/>
      <c r="EX171" s="1111"/>
      <c r="EY171" s="2"/>
      <c r="EZ171" s="2"/>
      <c r="FA171" s="2"/>
      <c r="FB171" s="2"/>
      <c r="FC171" s="2"/>
      <c r="FD171" s="2"/>
      <c r="FE171" s="2"/>
      <c r="FF171" s="2"/>
      <c r="FG171" s="2"/>
      <c r="FH171" s="2"/>
      <c r="FI171" s="2"/>
      <c r="FJ171" s="420"/>
      <c r="FK171" s="421"/>
      <c r="FL171" s="422"/>
      <c r="FM171" s="970"/>
    </row>
    <row r="172" spans="1:169" s="13" customFormat="1" ht="12.75" customHeight="1">
      <c r="A172" s="221"/>
      <c r="B172" s="1329" t="s">
        <v>4341</v>
      </c>
      <c r="C172" s="403" t="s">
        <v>4342</v>
      </c>
      <c r="D172" s="646"/>
      <c r="E172" s="404" t="s">
        <v>4343</v>
      </c>
      <c r="F172" s="405">
        <v>1</v>
      </c>
      <c r="G172" s="405" t="s">
        <v>93</v>
      </c>
      <c r="H172" s="405">
        <v>45</v>
      </c>
      <c r="I172" s="637" cm="1">
        <f t="array" ref="I172">IF($CI172=0,0,IFERROR(INDEX(MHR[],$CI172,MATCH($CA172,MHR!$B$4:$AY$4,0)),0))</f>
        <v>19.916819444444442</v>
      </c>
      <c r="J172" s="634">
        <f t="shared" si="432"/>
        <v>1.2294332990397806E-4</v>
      </c>
      <c r="K172" s="406" t="s">
        <v>49</v>
      </c>
      <c r="L172" s="407">
        <v>30</v>
      </c>
      <c r="M172" s="871">
        <v>2</v>
      </c>
      <c r="N172" s="407"/>
      <c r="O172" s="405"/>
      <c r="P172" s="645" cm="1">
        <f t="array" ref="P172">IF($K172=0,0,IFERROR(ROUNDUP(IF(ISNUMBER($K172),$K172,INDEX($D$1:$D172,$CD172)*INDEX(Premises!$A$13:$F$13,1,$CH172)/IF(OR($K172="T",$K172="D"),250,IF($K172="W",50,IF($K172="M",12,IF(OR($K172="HJ",$K172="HY"),2,IF(OR($K172="J",$K172="Y"),1,0)))))),0),0))</f>
        <v>3334</v>
      </c>
      <c r="Q172" s="637" cm="1">
        <f t="array" ref="Q172">IF($K172=0,0,IFERROR(INDEX(Premises!$A$22:$F$22,1,$CH172)*100/INDEX(Premises!$A$16:$F$16,1,$CH172),0))</f>
        <v>16.925000000000001</v>
      </c>
      <c r="R172" s="634">
        <f t="shared" si="433"/>
        <v>8.0634102346197421E-3</v>
      </c>
      <c r="S172" s="408">
        <v>1</v>
      </c>
      <c r="T172" s="409" t="s">
        <v>275</v>
      </c>
      <c r="U172" s="637" cm="1">
        <f t="array" ref="U172">IF(COUNTBLANK($S172:$T172),0,
IF(AND(INDEX(MHR[Schichtmodell],$CI172)&lt;&gt;0,INDEX(MHR[Schichtmodell],$CI172)&lt;&gt;INDEX(Premises!$A$20:$F$20,1,$CH172)),ExchangeRate*
IF(OR($T172="M",$T172="U"),IF(INDEX(MHR[Schichtmodell],$CI172)=1,INDEX(LOC[M1S],INDEX(Premises!$A$18:$F$18,1,$CH172+1)),IF(INDEX(MHR[Schichtmodell],$CI172)=2,INDEX(LOC[M2S],INDEX(Premises!$A$18:$F$18,1,$CH172+1),IF(INDEX(MHR[Schichtmodell],$CI172)=3,INDEX(LOC[M3S],INDEX(Premises!$A$18:$F$18,1,$CH172+1)),0)))),
IF(INDEX(MHR[Schichtmodell],$CI172)=1,INDEX(LOC[F1S],INDEX(Premises!$A$18:$F$18,1,$CH172+1)),IF(INDEX(MHR[Schichtmodell],$CI172)=2,INDEX(LOC[F2S],INDEX(Premises!$A$18:$F$18,1,$CH172+1)),IF(INDEX(MHR[Schichtmodell],$CI172)=3,INDEX(LOC[F3S],INDEX(Premises!$A$18:$F$18,1,$CH172+1)),0)))),
IF(OR($T172="M",$T172="U"),INDEX(Premises!$A$21:$F$21,1,$CH172),
IF(OR($T172="F",$T172="S"),INDEX(Premises!$A$22:$F$22,1,$CH172),0)))*100/INDEX(Premises!$A$16:$F$16,1,$CH172))</f>
        <v>12.037500000000001</v>
      </c>
      <c r="V172" s="631">
        <f t="shared" si="434"/>
        <v>7.4305555555555567E-5</v>
      </c>
      <c r="W172" s="410"/>
      <c r="X172" s="403"/>
      <c r="Y172" s="411"/>
      <c r="Z172" s="412"/>
      <c r="AA172" s="628">
        <f t="shared" si="435"/>
        <v>0</v>
      </c>
      <c r="AB172" s="410"/>
      <c r="AC172" s="403"/>
      <c r="AD172" s="411"/>
      <c r="AE172" s="413"/>
      <c r="AF172" s="628">
        <f t="shared" si="436"/>
        <v>0</v>
      </c>
      <c r="AG172" s="629" cm="1">
        <f t="array" ref="AG172">IF(($J172+$V172+$AF172)=0,0,INDEX(Premises!$A$30:$F$30,1,$CH172)/100)</f>
        <v>0.01</v>
      </c>
      <c r="AH172" s="414"/>
      <c r="AI172" s="415"/>
      <c r="AJ172" s="416"/>
      <c r="AK172" s="630">
        <f t="shared" si="437"/>
        <v>0</v>
      </c>
      <c r="AL172" s="631">
        <f t="shared" si="438"/>
        <v>1.9724888545953364E-6</v>
      </c>
      <c r="AM172" s="632" cm="1">
        <f t="array" ref="AM172">IF($CI172=0,0,IFERROR(INDEX(MHR[],$CI172,MATCH($CA172,MHR!$B$4:$AY$4,0)+11),0))</f>
        <v>3.7098343488523082</v>
      </c>
      <c r="AN172" s="633" cm="1">
        <f t="array" ref="AN172">IF(($J172+$V172)=0,0,IFERROR(IF(INDEX(Premises!$A$41:$F$41,1,$CH172)&lt;&gt;0,INDEX(Premises!$A$41:$F$41,1,$CH172)/100,(IFERROR(($J172/$I172)*$AM172,0)/($V172+$J172+$R172+$AL172))),0))</f>
        <v>2.7715397604307981E-3</v>
      </c>
      <c r="AO172" s="634">
        <f t="shared" si="439"/>
        <v>2.2900212029952522E-5</v>
      </c>
      <c r="AP172" s="635">
        <f t="shared" si="440"/>
        <v>8.2855318209638235E-3</v>
      </c>
      <c r="AQ172" s="410"/>
      <c r="AR172" s="409"/>
      <c r="AS172" s="636" cm="1">
        <f t="array" ref="AS172">IF($CJ172=0,0,IFERROR(INDEX(MAT[Einheit],$CJ172,1),0))</f>
        <v>0</v>
      </c>
      <c r="AT172" s="637" cm="1">
        <f t="array" ref="AT172">IF($CJ172=0,0,IFERROR(INDEX(MAT[Preis],$CJ172,1),0))</f>
        <v>0</v>
      </c>
      <c r="AU172" s="638">
        <f t="shared" si="441"/>
        <v>0</v>
      </c>
      <c r="AV172" s="639" cm="1">
        <f t="array" ref="AV172">IF($AU172&lt;=0,0,INDEX(Premises!$A$30:$F$30,1,$CH172)/100)</f>
        <v>0</v>
      </c>
      <c r="AW172" s="409"/>
      <c r="AX172" s="631">
        <f t="shared" si="442"/>
        <v>0</v>
      </c>
      <c r="AY172" s="640" cm="1">
        <f t="array" ref="AY172">IF($AT172&lt;=0,0,IFERROR(IF(INDEX(Premises!$A$42:$F$42,1,$CH172)&lt;&gt;0,INDEX(Premises!$A$42:$F$42,1,$CH172)/100,(INDEX(MAT[],$CJ172,MATCH($CA172,MAT!$B$4:$AE$4,0))/($AR172*$CK172*INDEX(Premises!$A$13:$F$13,1,$CH172))+INDEX(MAT[],$CJ172,MATCH($CA172,MAT!$B$4:$AE$4,0)+7))/$AT172),0))</f>
        <v>0</v>
      </c>
      <c r="AZ172" s="631">
        <f t="shared" si="443"/>
        <v>0</v>
      </c>
      <c r="BA172" s="635">
        <f t="shared" si="444"/>
        <v>0</v>
      </c>
      <c r="BB172" s="635">
        <f t="shared" si="445"/>
        <v>8.2855318209638235E-3</v>
      </c>
      <c r="BC172" s="639" cm="1">
        <f t="array" ref="BC172">IF($BB172&lt;=0,0,IF(BC$2=-1,0,INDEX(Premises!$A$32:$F$32,1,$CH172)/100))</f>
        <v>0</v>
      </c>
      <c r="BD172" s="631">
        <f t="shared" si="446"/>
        <v>0</v>
      </c>
      <c r="BE172" s="639" cm="1">
        <f t="array" ref="BE172">IF($BB172&lt;=0,0,IF(BE$2=-1,0,INDEX(Premises!$A$33:$F$33,1,$CH172)/100))</f>
        <v>0</v>
      </c>
      <c r="BF172" s="631">
        <f t="shared" si="447"/>
        <v>0</v>
      </c>
      <c r="BG172" s="639" cm="1">
        <f t="array" ref="BG172">IF($BB172&lt;=0,0,IF(BG$2=-1,0,INDEX(Premises!$A$31:$F$31,1,$CH172)/100))</f>
        <v>0.125</v>
      </c>
      <c r="BH172" s="631">
        <f t="shared" si="448"/>
        <v>1.0354449165136535E-3</v>
      </c>
      <c r="BI172" s="635">
        <f t="shared" si="449"/>
        <v>9.3209767374774766E-3</v>
      </c>
      <c r="BJ172" s="639" cm="1">
        <f t="array" ref="BJ172">IF($BB172&lt;=0,0,IF(BJ$2=-1,0,INDEX(Premises!$A$35:$F$35,1,$CH172)/100))</f>
        <v>0</v>
      </c>
      <c r="BK172" s="631">
        <f t="shared" si="450"/>
        <v>0</v>
      </c>
      <c r="BL172" s="639" cm="1">
        <f t="array" ref="BL172">IF($BB172&lt;=0,0,IF(BL$2=-1,0,INDEX(Premises!$A$36:$F$36,1,$CH172)/100))</f>
        <v>0</v>
      </c>
      <c r="BM172" s="631">
        <f t="shared" si="451"/>
        <v>0</v>
      </c>
      <c r="BN172" s="639" cm="1">
        <f t="array" ref="BN172">IF($BB172&lt;=0,0,IF(BN$2=-1,0,INDEX(Premises!$A$34:$F$34,1,$CH172)/100))</f>
        <v>0.06</v>
      </c>
      <c r="BO172" s="631">
        <f t="shared" si="452"/>
        <v>4.9701355992655372E-4</v>
      </c>
      <c r="BP172" s="639" cm="1">
        <f t="array" ref="BP172">IF($BI172=0,0,INDEX(Premises!$A$37:$F$37,1,$CH172)/100)</f>
        <v>0</v>
      </c>
      <c r="BQ172" s="409"/>
      <c r="BR172" s="631">
        <f t="shared" si="453"/>
        <v>0</v>
      </c>
      <c r="BS172" s="641">
        <f t="shared" si="454"/>
        <v>9.8179902974040306E-3</v>
      </c>
      <c r="BT172" s="641">
        <f t="shared" si="455"/>
        <v>9.8179902974040306E-3</v>
      </c>
      <c r="BU172" s="642">
        <f t="shared" si="456"/>
        <v>1</v>
      </c>
      <c r="BV172" s="1147"/>
      <c r="BW172" s="418"/>
      <c r="BX172" s="418"/>
      <c r="BY172" s="419"/>
      <c r="BZ172" s="968"/>
      <c r="CA172" s="280" cm="1">
        <f t="array" ref="CA172">IF($BZ172&gt;0,VALUE(LEFT($BZ172,IF(ISERROR(FIND("-",$BZ172)),LEN($BZ172),FIND("-",$BZ172)-1))),INDEX($CA$1:$CA172,MAX(1,$CD172)))</f>
        <v>1</v>
      </c>
      <c r="CB172" s="280" cm="1">
        <f t="array" ref="CB172">IF($BT172=0,0,IF(LEN($BZ172)-LEN(SUBSTITUTE($BZ172,"-",""))&gt;1,
VALUE(MID($BZ172,FIND("-",$BZ172)+1,FIND("-",$BZ172,FIND("-",$BZ172)+1)-FIND("-",$BZ172)-1)),IF($BZ172&gt;0,0,INDEX($CB$1:$CB172,MAX(1,$CD172)))))</f>
        <v>0</v>
      </c>
      <c r="CC172" s="280" cm="1">
        <f t="array" ref="CC172">IF($BT172=0,0,IF(NOT(ISERROR(FIND("-",BZ172))),
VALUE(RIGHT($BZ172,LEN($BZ172)-IF(LEN($BZ172)-LEN(SUBSTITUTE($BZ172,"-",""))=1,FIND("-",$BZ172),FIND("-",$BZ172,FIND("-",$BZ172)+1)))),
IF($BZ172&gt;0,0,INDEX($CC$1:$CC172,MAX(1,$CD172)))))</f>
        <v>0</v>
      </c>
      <c r="CD172" s="393">
        <f>MATCH(0,$CE$1:$CE172,-1)</f>
        <v>163</v>
      </c>
      <c r="CE172" s="280"/>
      <c r="CF172" s="394"/>
      <c r="CG172" s="393" cm="1">
        <f t="array" ref="CG172">INDEX($CG$1:$CG172,$CD172)</f>
        <v>21</v>
      </c>
      <c r="CH172" s="280">
        <f>MATCH($CA172,Premises!$A$10:$F$10,0)</f>
        <v>4</v>
      </c>
      <c r="CI172" s="280">
        <f>IF(ISBLANK($E172),0,IFERROR(MATCH($E172,MHR[Bezeichnung],0),0))</f>
        <v>5</v>
      </c>
      <c r="CJ172" s="394">
        <f>IF(ISBLANK($AQ172),0,IFERROR(MATCH($AQ172,MAT[Bezeichnung],0),0))</f>
        <v>0</v>
      </c>
      <c r="CK172" s="280" cm="1">
        <f t="array" ref="CK172">INDEX($D$1:$D172,$CD172)</f>
        <v>1</v>
      </c>
      <c r="CL172" s="280"/>
      <c r="CM172" s="395"/>
      <c r="CN172" s="396" cm="1">
        <f t="array" ref="CN172">IF($CB172=0,0,IF($CB172=INDEX($CB$1:$CB172,$CD172),INDEX($CN$1:$CN172,$CD172),$CP172))</f>
        <v>0</v>
      </c>
      <c r="CO172" s="395"/>
      <c r="CP172" s="396" cm="1">
        <f t="array" ref="CP172">IF($CC172=0,0,INDEX($CP$1:$CP172,$CD172))</f>
        <v>0</v>
      </c>
      <c r="CQ172" s="397"/>
      <c r="CR172" s="398"/>
      <c r="CS172" s="398"/>
      <c r="CT172" s="1152"/>
      <c r="CU172" s="1149"/>
      <c r="CV172" s="647">
        <f t="shared" si="457"/>
        <v>1.2294332990397806E-4</v>
      </c>
      <c r="CW172" s="648">
        <f t="shared" si="458"/>
        <v>8.0634102346197421E-3</v>
      </c>
      <c r="CX172" s="648">
        <f t="shared" si="459"/>
        <v>7.4305555555555567E-5</v>
      </c>
      <c r="CY172" s="648">
        <f t="shared" si="460"/>
        <v>0</v>
      </c>
      <c r="CZ172" s="648">
        <f t="shared" si="461"/>
        <v>0</v>
      </c>
      <c r="DA172" s="648">
        <f t="shared" si="462"/>
        <v>1.9724888545953364E-6</v>
      </c>
      <c r="DB172" s="648">
        <f t="shared" si="463"/>
        <v>2.2900212029952522E-5</v>
      </c>
      <c r="DC172" s="649">
        <f t="shared" si="464"/>
        <v>8.2855318209638235E-3</v>
      </c>
      <c r="DD172" s="648">
        <f t="shared" si="465"/>
        <v>0</v>
      </c>
      <c r="DE172" s="648">
        <f t="shared" si="466"/>
        <v>0</v>
      </c>
      <c r="DF172" s="648">
        <f t="shared" si="467"/>
        <v>0</v>
      </c>
      <c r="DG172" s="649">
        <f t="shared" si="468"/>
        <v>0</v>
      </c>
      <c r="DH172" s="649">
        <f t="shared" si="469"/>
        <v>8.2855318209638235E-3</v>
      </c>
      <c r="DI172" s="648">
        <f t="shared" si="470"/>
        <v>0</v>
      </c>
      <c r="DJ172" s="648">
        <f t="shared" si="471"/>
        <v>0</v>
      </c>
      <c r="DK172" s="648">
        <f t="shared" si="472"/>
        <v>1.0354449165136535E-3</v>
      </c>
      <c r="DL172" s="648">
        <f t="shared" si="473"/>
        <v>0</v>
      </c>
      <c r="DM172" s="648">
        <f t="shared" si="474"/>
        <v>0</v>
      </c>
      <c r="DN172" s="648">
        <f t="shared" si="475"/>
        <v>4.9701355992655372E-4</v>
      </c>
      <c r="DO172" s="648">
        <f t="shared" si="476"/>
        <v>0</v>
      </c>
      <c r="DP172" s="651">
        <f t="shared" si="477"/>
        <v>9.8179902974040306E-3</v>
      </c>
      <c r="DQ172" s="951">
        <f>IF($CB172=0,0,$DP172*_xlfn.XLOOKUP($CB172,Premises!$A$10:$F$10,Premises!$A$30:$F$30)/100)</f>
        <v>0</v>
      </c>
      <c r="DR172" s="650">
        <f>IFERROR(SUM($DP172:$DQ172)*IF(INDEX(Premises!$A$42:$F$42,1,MATCH($CB172,Premises!$A$10:$F$10,0))&gt;0,INDEX(Premises!$A$42:$F$42,1,MATCH($CB172,Premises!$A$10:$F$10,0))%,$CN172),0)</f>
        <v>0</v>
      </c>
      <c r="DS172" s="650" cm="1">
        <f t="array" ref="DS172">IF($CB172=0,0,SUM($DP172:$DR172)*_xlfn.XLOOKUP($CB172,Premises!$A$10:$F$10,IF(INDEX(Settings[],MATCH(3001,Settings[ID],0),2)="B",Premises!$A$33:$F$33,Premises!$A$31:$F$31))/100)</f>
        <v>0</v>
      </c>
      <c r="DT172" s="650" cm="1">
        <f t="array" ref="DT172">IF($CB172=0,0,$DP172*_xlfn.XLOOKUP($CB172,Premises!$A$10:$F$10,IF(INDEX(Settings[],MATCH(3002,Settings[ID],0),2)="B",Premises!$A$36:$F$36,Premises!$A$34:$F$34))/100)</f>
        <v>0</v>
      </c>
      <c r="DU172" s="650">
        <f>IF($CB172=0,0,SUM($DP172:$DT172)*_xlfn.XLOOKUP($CB172,Premises!$A$10:$F$10,Premises!$A$37:$F$37)/100)</f>
        <v>0</v>
      </c>
      <c r="DV172" s="954">
        <f t="shared" si="478"/>
        <v>9.8179902974040306E-3</v>
      </c>
      <c r="DW172" s="951">
        <f>IF($CC172=0,0,$DV172*_xlfn.XLOOKUP($CC172,Premises!$A$10:$F$10,Premises!$A$30:$F$30)/100)</f>
        <v>0</v>
      </c>
      <c r="DX172" s="650">
        <f>IFERROR(SUM($DV172:$DW172)*IF(INDEX(Premises!$A$42:$F$42,1,MATCH($CC172,Premises!$A$10:$F$10,0))&gt;0,INDEX(Premises!$A$42:$F$42,1,MATCH($CC172,Premises!$A$10:$F$10,0))%,$CP172),0)</f>
        <v>0</v>
      </c>
      <c r="DY172" s="650" cm="1">
        <f t="array" ref="DY172">IF($CC172=0,0,SUM($DV172:$DX172)*_xlfn.XLOOKUP($CC172,Premises!$A$10:$F$10,IF(INDEX(Settings[],MATCH(3001,Settings[ID],0),2)="B",Premises!$A$33:$F$33,Premises!$A$31:$F$31))/100)</f>
        <v>0</v>
      </c>
      <c r="DZ172" s="650" cm="1">
        <f t="array" ref="DZ172">IF($CC172=0,0,$DV172*_xlfn.XLOOKUP($CC172,Premises!$A$10:$F$10,IF(INDEX(Settings[],MATCH(3002,Settings[ID],0),2)="B",Premises!$A$36:$F$36,Premises!$A$34:$F$34))/100)</f>
        <v>0</v>
      </c>
      <c r="EA172" s="650">
        <f>IF($CC172=0,0,SUM($DV172:$DZ172)*_xlfn.XLOOKUP($CC172,Premises!$A$10:$F$10,Premises!$A$37:$F$37)/100)</f>
        <v>0</v>
      </c>
      <c r="EB172" s="651">
        <f t="shared" si="479"/>
        <v>9.8179902974040306E-3</v>
      </c>
      <c r="EC172" s="805"/>
      <c r="ED172" s="1104"/>
      <c r="EE172" s="650"/>
      <c r="EF172" s="1110"/>
      <c r="EG172" s="1108"/>
      <c r="EH172" s="1108"/>
      <c r="EI172" s="1108"/>
      <c r="EJ172" s="1108"/>
      <c r="EK172" s="1108"/>
      <c r="EL172" s="1108"/>
      <c r="EM172" s="1110"/>
      <c r="EN172" s="1108"/>
      <c r="EO172" s="1108"/>
      <c r="EP172" s="1108"/>
      <c r="EQ172" s="1108"/>
      <c r="ER172" s="1110"/>
      <c r="ES172" s="1108"/>
      <c r="ET172" s="1108"/>
      <c r="EU172" s="1108"/>
      <c r="EV172" s="1108"/>
      <c r="EW172" s="1108"/>
      <c r="EX172" s="1111"/>
      <c r="EY172" s="2"/>
      <c r="EZ172" s="2"/>
      <c r="FA172" s="2"/>
      <c r="FB172" s="2"/>
      <c r="FC172" s="2"/>
      <c r="FD172" s="2"/>
      <c r="FE172" s="2"/>
      <c r="FF172" s="2"/>
      <c r="FG172" s="2"/>
      <c r="FH172" s="2"/>
      <c r="FI172" s="2"/>
      <c r="FJ172" s="420"/>
      <c r="FK172" s="421"/>
      <c r="FL172" s="422"/>
      <c r="FM172" s="1153"/>
    </row>
    <row r="173" spans="1:169" s="13" customFormat="1" ht="12.75" customHeight="1">
      <c r="A173" s="221"/>
      <c r="B173" s="402"/>
      <c r="C173" s="403"/>
      <c r="D173" s="646"/>
      <c r="E173" s="404"/>
      <c r="F173" s="405"/>
      <c r="G173" s="405"/>
      <c r="H173" s="405"/>
      <c r="I173" s="637" cm="1">
        <f t="array" ref="I173">IF($CI173=0,0,IFERROR(INDEX(MHR[],$CI173,MATCH($CA173,MHR!$B$4:$AY$4,0)),0))</f>
        <v>0</v>
      </c>
      <c r="J173" s="634">
        <f t="shared" si="432"/>
        <v>0</v>
      </c>
      <c r="K173" s="406"/>
      <c r="L173" s="407"/>
      <c r="M173" s="871"/>
      <c r="N173" s="407"/>
      <c r="O173" s="405"/>
      <c r="P173" s="645" cm="1">
        <f t="array" ref="P173">IF($K173=0,0,IFERROR(ROUNDUP(IF(ISNUMBER($K173),$K173,INDEX($D$1:$D173,$CD173)*INDEX(Premises!$A$13:$F$13,1,$CH173)/IF(OR($K173="T",$K173="D"),250,IF($K173="W",50,IF($K173="M",12,IF(OR($K173="HJ",$K173="HY"),2,IF(OR($K173="J",$K173="Y"),1,0)))))),0),0))</f>
        <v>0</v>
      </c>
      <c r="Q173" s="637" cm="1">
        <f t="array" ref="Q173">IF($K173=0,0,IFERROR(INDEX(Premises!$A$22:$F$22,1,$CH173)*100/INDEX(Premises!$A$16:$F$16,1,$CH173),0))</f>
        <v>0</v>
      </c>
      <c r="R173" s="634">
        <f t="shared" si="433"/>
        <v>0</v>
      </c>
      <c r="S173" s="408"/>
      <c r="T173" s="409"/>
      <c r="U173" s="637" cm="1">
        <f t="array" ref="U173">IF(COUNTBLANK($S173:$T173),0,
IF(AND(INDEX(MHR[Schichtmodell],$CI173)&lt;&gt;0,INDEX(MHR[Schichtmodell],$CI173)&lt;&gt;INDEX(Premises!$A$20:$F$20,1,$CH173)),ExchangeRate*
IF(OR($T173="M",$T173="U"),IF(INDEX(MHR[Schichtmodell],$CI173)=1,INDEX(LOC[M1S],INDEX(Premises!$A$18:$F$18,1,$CH173+1)),IF(INDEX(MHR[Schichtmodell],$CI173)=2,INDEX(LOC[M2S],INDEX(Premises!$A$18:$F$18,1,$CH173+1),IF(INDEX(MHR[Schichtmodell],$CI173)=3,INDEX(LOC[M3S],INDEX(Premises!$A$18:$F$18,1,$CH173+1)),0)))),
IF(INDEX(MHR[Schichtmodell],$CI173)=1,INDEX(LOC[F1S],INDEX(Premises!$A$18:$F$18,1,$CH173+1)),IF(INDEX(MHR[Schichtmodell],$CI173)=2,INDEX(LOC[F2S],INDEX(Premises!$A$18:$F$18,1,$CH173+1)),IF(INDEX(MHR[Schichtmodell],$CI173)=3,INDEX(LOC[F3S],INDEX(Premises!$A$18:$F$18,1,$CH173+1)),0)))),
IF(OR($T173="M",$T173="U"),INDEX(Premises!$A$21:$F$21,1,$CH173),
IF(OR($T173="F",$T173="S"),INDEX(Premises!$A$22:$F$22,1,$CH173),0)))*100/INDEX(Premises!$A$16:$F$16,1,$CH173))</f>
        <v>0</v>
      </c>
      <c r="V173" s="631">
        <f t="shared" si="434"/>
        <v>0</v>
      </c>
      <c r="W173" s="410"/>
      <c r="X173" s="403"/>
      <c r="Y173" s="411"/>
      <c r="Z173" s="412"/>
      <c r="AA173" s="628">
        <f t="shared" si="435"/>
        <v>0</v>
      </c>
      <c r="AB173" s="410"/>
      <c r="AC173" s="403"/>
      <c r="AD173" s="411"/>
      <c r="AE173" s="413"/>
      <c r="AF173" s="628">
        <f t="shared" si="436"/>
        <v>0</v>
      </c>
      <c r="AG173" s="629" cm="1">
        <f t="array" ref="AG173">IF(($J173+$V173+$AF173)=0,0,INDEX(Premises!$A$30:$F$30,1,$CH173)/100)</f>
        <v>0</v>
      </c>
      <c r="AH173" s="414"/>
      <c r="AI173" s="415"/>
      <c r="AJ173" s="416"/>
      <c r="AK173" s="630">
        <f t="shared" si="437"/>
        <v>0</v>
      </c>
      <c r="AL173" s="631">
        <f t="shared" si="438"/>
        <v>0</v>
      </c>
      <c r="AM173" s="632" cm="1">
        <f t="array" ref="AM173">IF($CI173=0,0,IFERROR(INDEX(MHR[],$CI173,MATCH($CA173,MHR!$B$4:$AY$4,0)+11),0))</f>
        <v>0</v>
      </c>
      <c r="AN173" s="633" cm="1">
        <f t="array" ref="AN173">IF(($J173+$V173)=0,0,IFERROR(IF(INDEX(Premises!$A$41:$F$41,1,$CH173)&lt;&gt;0,INDEX(Premises!$A$41:$F$41,1,$CH173)/100,(IFERROR(($J173/$I173)*$AM173,0)/($V173+$J173+$R173+$AL173))),0))</f>
        <v>0</v>
      </c>
      <c r="AO173" s="634">
        <f t="shared" si="439"/>
        <v>0</v>
      </c>
      <c r="AP173" s="635">
        <f t="shared" si="440"/>
        <v>0</v>
      </c>
      <c r="AQ173" s="410"/>
      <c r="AR173" s="409"/>
      <c r="AS173" s="636" cm="1">
        <f t="array" ref="AS173">IF($CJ173=0,0,IFERROR(INDEX(MAT[Einheit],$CJ173,1),0))</f>
        <v>0</v>
      </c>
      <c r="AT173" s="637" cm="1">
        <f t="array" ref="AT173">IF($CJ173=0,0,IFERROR(INDEX(MAT[Preis],$CJ173,1),0))</f>
        <v>0</v>
      </c>
      <c r="AU173" s="638">
        <f t="shared" si="441"/>
        <v>0</v>
      </c>
      <c r="AV173" s="639" cm="1">
        <f t="array" ref="AV173">IF($AU173&lt;=0,0,INDEX(Premises!$A$30:$F$30,1,$CH173)/100)</f>
        <v>0</v>
      </c>
      <c r="AW173" s="409"/>
      <c r="AX173" s="631">
        <f t="shared" si="442"/>
        <v>0</v>
      </c>
      <c r="AY173" s="640" cm="1">
        <f t="array" ref="AY173">IF($AT173&lt;=0,0,IFERROR(IF(INDEX(Premises!$A$42:$F$42,1,$CH173)&lt;&gt;0,INDEX(Premises!$A$42:$F$42,1,$CH173)/100,(INDEX(MAT[],$CJ173,MATCH($CA173,MAT!$B$4:$AE$4,0))/($AR173*$CK173*INDEX(Premises!$A$13:$F$13,1,$CH173))+INDEX(MAT[],$CJ173,MATCH($CA173,MAT!$B$4:$AE$4,0)+7))/$AT173),0))</f>
        <v>0</v>
      </c>
      <c r="AZ173" s="631">
        <f t="shared" si="443"/>
        <v>0</v>
      </c>
      <c r="BA173" s="635">
        <f t="shared" si="444"/>
        <v>0</v>
      </c>
      <c r="BB173" s="635">
        <f t="shared" si="445"/>
        <v>0</v>
      </c>
      <c r="BC173" s="639" cm="1">
        <f t="array" ref="BC173">IF($BB173&lt;=0,0,IF(BC$2=-1,0,INDEX(Premises!$A$32:$F$32,1,$CH173)/100))</f>
        <v>0</v>
      </c>
      <c r="BD173" s="631">
        <f t="shared" si="446"/>
        <v>0</v>
      </c>
      <c r="BE173" s="639" cm="1">
        <f t="array" ref="BE173">IF($BB173&lt;=0,0,IF(BE$2=-1,0,INDEX(Premises!$A$33:$F$33,1,$CH173)/100))</f>
        <v>0</v>
      </c>
      <c r="BF173" s="631">
        <f t="shared" si="447"/>
        <v>0</v>
      </c>
      <c r="BG173" s="639" cm="1">
        <f t="array" ref="BG173">IF($BB173&lt;=0,0,IF(BG$2=-1,0,INDEX(Premises!$A$31:$F$31,1,$CH173)/100))</f>
        <v>0</v>
      </c>
      <c r="BH173" s="631">
        <f t="shared" si="448"/>
        <v>0</v>
      </c>
      <c r="BI173" s="635">
        <f t="shared" si="449"/>
        <v>0</v>
      </c>
      <c r="BJ173" s="639" cm="1">
        <f t="array" ref="BJ173">IF($BB173&lt;=0,0,IF(BJ$2=-1,0,INDEX(Premises!$A$35:$F$35,1,$CH173)/100))</f>
        <v>0</v>
      </c>
      <c r="BK173" s="631">
        <f t="shared" si="450"/>
        <v>0</v>
      </c>
      <c r="BL173" s="639" cm="1">
        <f t="array" ref="BL173">IF($BB173&lt;=0,0,IF(BL$2=-1,0,INDEX(Premises!$A$36:$F$36,1,$CH173)/100))</f>
        <v>0</v>
      </c>
      <c r="BM173" s="631">
        <f t="shared" si="451"/>
        <v>0</v>
      </c>
      <c r="BN173" s="639" cm="1">
        <f t="array" ref="BN173">IF($BB173&lt;=0,0,IF(BN$2=-1,0,INDEX(Premises!$A$34:$F$34,1,$CH173)/100))</f>
        <v>0</v>
      </c>
      <c r="BO173" s="631">
        <f t="shared" si="452"/>
        <v>0</v>
      </c>
      <c r="BP173" s="639" cm="1">
        <f t="array" ref="BP173">IF($BI173=0,0,INDEX(Premises!$A$37:$F$37,1,$CH173)/100)</f>
        <v>0</v>
      </c>
      <c r="BQ173" s="409"/>
      <c r="BR173" s="631">
        <f t="shared" si="453"/>
        <v>0</v>
      </c>
      <c r="BS173" s="641">
        <f t="shared" si="454"/>
        <v>0</v>
      </c>
      <c r="BT173" s="641">
        <f t="shared" si="455"/>
        <v>0</v>
      </c>
      <c r="BU173" s="642">
        <f t="shared" si="456"/>
        <v>0</v>
      </c>
      <c r="BV173" s="1147"/>
      <c r="BW173" s="418"/>
      <c r="BX173" s="418"/>
      <c r="BY173" s="419"/>
      <c r="BZ173" s="968"/>
      <c r="CA173" s="280" cm="1">
        <f t="array" ref="CA173">IF($BZ173&gt;0,VALUE(LEFT($BZ173,IF(ISERROR(FIND("-",$BZ173)),LEN($BZ173),FIND("-",$BZ173)-1))),INDEX($CA$1:$CA173,MAX(1,$CD173)))</f>
        <v>1</v>
      </c>
      <c r="CB173" s="280" cm="1">
        <f t="array" ref="CB173">IF($BT173=0,0,IF(LEN($BZ173)-LEN(SUBSTITUTE($BZ173,"-",""))&gt;1,
VALUE(MID($BZ173,FIND("-",$BZ173)+1,FIND("-",$BZ173,FIND("-",$BZ173)+1)-FIND("-",$BZ173)-1)),IF($BZ173&gt;0,0,INDEX($CB$1:$CB173,MAX(1,$CD173)))))</f>
        <v>0</v>
      </c>
      <c r="CC173" s="280" cm="1">
        <f t="array" ref="CC173">IF($BT173=0,0,IF(NOT(ISERROR(FIND("-",BZ173))),
VALUE(RIGHT($BZ173,LEN($BZ173)-IF(LEN($BZ173)-LEN(SUBSTITUTE($BZ173,"-",""))=1,FIND("-",$BZ173),FIND("-",$BZ173,FIND("-",$BZ173)+1)))),
IF($BZ173&gt;0,0,INDEX($CC$1:$CC173,MAX(1,$CD173)))))</f>
        <v>0</v>
      </c>
      <c r="CD173" s="393">
        <f>MATCH(0,$CE$1:$CE173,-1)</f>
        <v>163</v>
      </c>
      <c r="CE173" s="280"/>
      <c r="CF173" s="394"/>
      <c r="CG173" s="393" cm="1">
        <f t="array" ref="CG173">INDEX($CG$1:$CG173,$CD173)</f>
        <v>21</v>
      </c>
      <c r="CH173" s="280">
        <f>MATCH($CA173,Premises!$A$10:$F$10,0)</f>
        <v>4</v>
      </c>
      <c r="CI173" s="280">
        <f>IF(ISBLANK($E173),0,IFERROR(MATCH($E173,MHR[Bezeichnung],0),0))</f>
        <v>0</v>
      </c>
      <c r="CJ173" s="394">
        <f>IF(ISBLANK($AQ173),0,IFERROR(MATCH($AQ173,MAT[Bezeichnung],0),0))</f>
        <v>0</v>
      </c>
      <c r="CK173" s="280" cm="1">
        <f t="array" ref="CK173">INDEX($D$1:$D173,$CD173)</f>
        <v>1</v>
      </c>
      <c r="CL173" s="280"/>
      <c r="CM173" s="395"/>
      <c r="CN173" s="396" cm="1">
        <f t="array" ref="CN173">IF($CB173=0,0,IF($CB173=INDEX($CB$1:$CB173,$CD173),INDEX($CN$1:$CN173,$CD173),$CP173))</f>
        <v>0</v>
      </c>
      <c r="CO173" s="395"/>
      <c r="CP173" s="396" cm="1">
        <f t="array" ref="CP173">IF($CC173=0,0,INDEX($CP$1:$CP173,$CD173))</f>
        <v>0</v>
      </c>
      <c r="CQ173" s="397"/>
      <c r="CR173" s="398"/>
      <c r="CS173" s="398"/>
      <c r="CT173" s="1152"/>
      <c r="CU173" s="1149"/>
      <c r="CV173" s="647">
        <f t="shared" si="457"/>
        <v>0</v>
      </c>
      <c r="CW173" s="648">
        <f t="shared" si="458"/>
        <v>0</v>
      </c>
      <c r="CX173" s="648">
        <f t="shared" si="459"/>
        <v>0</v>
      </c>
      <c r="CY173" s="648">
        <f t="shared" si="460"/>
        <v>0</v>
      </c>
      <c r="CZ173" s="648">
        <f t="shared" si="461"/>
        <v>0</v>
      </c>
      <c r="DA173" s="648">
        <f t="shared" si="462"/>
        <v>0</v>
      </c>
      <c r="DB173" s="648">
        <f t="shared" si="463"/>
        <v>0</v>
      </c>
      <c r="DC173" s="649">
        <f t="shared" si="464"/>
        <v>0</v>
      </c>
      <c r="DD173" s="648">
        <f t="shared" si="465"/>
        <v>0</v>
      </c>
      <c r="DE173" s="648">
        <f t="shared" si="466"/>
        <v>0</v>
      </c>
      <c r="DF173" s="648">
        <f t="shared" si="467"/>
        <v>0</v>
      </c>
      <c r="DG173" s="649">
        <f t="shared" si="468"/>
        <v>0</v>
      </c>
      <c r="DH173" s="649">
        <f t="shared" si="469"/>
        <v>0</v>
      </c>
      <c r="DI173" s="648">
        <f t="shared" si="470"/>
        <v>0</v>
      </c>
      <c r="DJ173" s="648">
        <f t="shared" si="471"/>
        <v>0</v>
      </c>
      <c r="DK173" s="648">
        <f t="shared" si="472"/>
        <v>0</v>
      </c>
      <c r="DL173" s="648">
        <f t="shared" si="473"/>
        <v>0</v>
      </c>
      <c r="DM173" s="648">
        <f t="shared" si="474"/>
        <v>0</v>
      </c>
      <c r="DN173" s="648">
        <f t="shared" si="475"/>
        <v>0</v>
      </c>
      <c r="DO173" s="648">
        <f t="shared" si="476"/>
        <v>0</v>
      </c>
      <c r="DP173" s="651">
        <f t="shared" si="477"/>
        <v>0</v>
      </c>
      <c r="DQ173" s="951">
        <f>IF($CB173=0,0,$DP173*_xlfn.XLOOKUP($CB173,Premises!$A$10:$F$10,Premises!$A$30:$F$30)/100)</f>
        <v>0</v>
      </c>
      <c r="DR173" s="650">
        <f>IFERROR(SUM($DP173:$DQ173)*IF(INDEX(Premises!$A$42:$F$42,1,MATCH($CB173,Premises!$A$10:$F$10,0))&gt;0,INDEX(Premises!$A$42:$F$42,1,MATCH($CB173,Premises!$A$10:$F$10,0))%,$CN173),0)</f>
        <v>0</v>
      </c>
      <c r="DS173" s="650" cm="1">
        <f t="array" ref="DS173">IF($CB173=0,0,SUM($DP173:$DR173)*_xlfn.XLOOKUP($CB173,Premises!$A$10:$F$10,IF(INDEX(Settings[],MATCH(3001,Settings[ID],0),2)="B",Premises!$A$33:$F$33,Premises!$A$31:$F$31))/100)</f>
        <v>0</v>
      </c>
      <c r="DT173" s="650" cm="1">
        <f t="array" ref="DT173">IF($CB173=0,0,$DP173*_xlfn.XLOOKUP($CB173,Premises!$A$10:$F$10,IF(INDEX(Settings[],MATCH(3002,Settings[ID],0),2)="B",Premises!$A$36:$F$36,Premises!$A$34:$F$34))/100)</f>
        <v>0</v>
      </c>
      <c r="DU173" s="650">
        <f>IF($CB173=0,0,SUM($DP173:$DT173)*_xlfn.XLOOKUP($CB173,Premises!$A$10:$F$10,Premises!$A$37:$F$37)/100)</f>
        <v>0</v>
      </c>
      <c r="DV173" s="954">
        <f t="shared" si="478"/>
        <v>0</v>
      </c>
      <c r="DW173" s="951">
        <f>IF($CC173=0,0,$DV173*_xlfn.XLOOKUP($CC173,Premises!$A$10:$F$10,Premises!$A$30:$F$30)/100)</f>
        <v>0</v>
      </c>
      <c r="DX173" s="650">
        <f>IFERROR(SUM($DV173:$DW173)*IF(INDEX(Premises!$A$42:$F$42,1,MATCH($CC173,Premises!$A$10:$F$10,0))&gt;0,INDEX(Premises!$A$42:$F$42,1,MATCH($CC173,Premises!$A$10:$F$10,0))%,$CP173),0)</f>
        <v>0</v>
      </c>
      <c r="DY173" s="650" cm="1">
        <f t="array" ref="DY173">IF($CC173=0,0,SUM($DV173:$DX173)*_xlfn.XLOOKUP($CC173,Premises!$A$10:$F$10,IF(INDEX(Settings[],MATCH(3001,Settings[ID],0),2)="B",Premises!$A$33:$F$33,Premises!$A$31:$F$31))/100)</f>
        <v>0</v>
      </c>
      <c r="DZ173" s="650" cm="1">
        <f t="array" ref="DZ173">IF($CC173=0,0,$DV173*_xlfn.XLOOKUP($CC173,Premises!$A$10:$F$10,IF(INDEX(Settings[],MATCH(3002,Settings[ID],0),2)="B",Premises!$A$36:$F$36,Premises!$A$34:$F$34))/100)</f>
        <v>0</v>
      </c>
      <c r="EA173" s="650">
        <f>IF($CC173=0,0,SUM($DV173:$DZ173)*_xlfn.XLOOKUP($CC173,Premises!$A$10:$F$10,Premises!$A$37:$F$37)/100)</f>
        <v>0</v>
      </c>
      <c r="EB173" s="651">
        <f t="shared" si="479"/>
        <v>0</v>
      </c>
      <c r="EC173" s="805"/>
      <c r="ED173" s="1104"/>
      <c r="EE173" s="650"/>
      <c r="EF173" s="1110"/>
      <c r="EG173" s="1108"/>
      <c r="EH173" s="1108"/>
      <c r="EI173" s="1108"/>
      <c r="EJ173" s="1108"/>
      <c r="EK173" s="1108"/>
      <c r="EL173" s="1108"/>
      <c r="EM173" s="1110"/>
      <c r="EN173" s="1108"/>
      <c r="EO173" s="1108"/>
      <c r="EP173" s="1108"/>
      <c r="EQ173" s="1108"/>
      <c r="ER173" s="1110"/>
      <c r="ES173" s="1108"/>
      <c r="ET173" s="1108"/>
      <c r="EU173" s="1108"/>
      <c r="EV173" s="1108"/>
      <c r="EW173" s="1108"/>
      <c r="EX173" s="1111"/>
      <c r="EY173" s="2"/>
      <c r="EZ173" s="2"/>
      <c r="FA173" s="2"/>
      <c r="FB173" s="2"/>
      <c r="FC173" s="2"/>
      <c r="FD173" s="2"/>
      <c r="FE173" s="2"/>
      <c r="FF173" s="2"/>
      <c r="FG173" s="2"/>
      <c r="FH173" s="2"/>
      <c r="FI173" s="2"/>
      <c r="FJ173" s="420"/>
      <c r="FK173" s="421"/>
      <c r="FL173" s="422"/>
      <c r="FM173" s="1153"/>
    </row>
    <row r="174" spans="1:169" s="13" customFormat="1" ht="12.75" customHeight="1">
      <c r="A174" s="221"/>
      <c r="B174" s="387" t="str">
        <f>BOM!$A$22</f>
        <v xml:space="preserve">01-01-03-15 Light Enhancement Foil </v>
      </c>
      <c r="C174" s="388"/>
      <c r="D174" s="389" cm="1">
        <f t="array" ref="D174">IF($CG174=0,0,INDEX(BOM!$N:$N,$CG174))</f>
        <v>1</v>
      </c>
      <c r="E174" s="644" t="s">
        <v>664</v>
      </c>
      <c r="F174" s="644" t="s">
        <v>664</v>
      </c>
      <c r="G174" s="644" t="s">
        <v>664</v>
      </c>
      <c r="H174" s="644" t="s">
        <v>664</v>
      </c>
      <c r="I174" s="644" t="s">
        <v>664</v>
      </c>
      <c r="J174" s="644" t="s">
        <v>664</v>
      </c>
      <c r="K174" s="644" t="s">
        <v>664</v>
      </c>
      <c r="L174" s="644" t="s">
        <v>664</v>
      </c>
      <c r="M174" s="644" t="s">
        <v>664</v>
      </c>
      <c r="N174" s="644" t="s">
        <v>664</v>
      </c>
      <c r="O174" s="644" t="s">
        <v>664</v>
      </c>
      <c r="P174" s="644" t="s">
        <v>664</v>
      </c>
      <c r="Q174" s="644" t="s">
        <v>664</v>
      </c>
      <c r="R174" s="644" t="s">
        <v>664</v>
      </c>
      <c r="S174" s="644" t="s">
        <v>664</v>
      </c>
      <c r="T174" s="644" t="s">
        <v>664</v>
      </c>
      <c r="U174" s="644" t="s">
        <v>664</v>
      </c>
      <c r="V174" s="644" t="s">
        <v>664</v>
      </c>
      <c r="W174" s="644" t="s">
        <v>664</v>
      </c>
      <c r="X174" s="644" t="s">
        <v>664</v>
      </c>
      <c r="Y174" s="644" t="s">
        <v>664</v>
      </c>
      <c r="Z174" s="644" t="s">
        <v>664</v>
      </c>
      <c r="AA174" s="644" t="s">
        <v>664</v>
      </c>
      <c r="AB174" s="644" t="s">
        <v>664</v>
      </c>
      <c r="AC174" s="644" t="s">
        <v>664</v>
      </c>
      <c r="AD174" s="644" t="s">
        <v>664</v>
      </c>
      <c r="AE174" s="644" t="s">
        <v>664</v>
      </c>
      <c r="AF174" s="644" t="s">
        <v>664</v>
      </c>
      <c r="AG174" s="644" t="s">
        <v>664</v>
      </c>
      <c r="AH174" s="644" t="s">
        <v>664</v>
      </c>
      <c r="AI174" s="644" t="s">
        <v>664</v>
      </c>
      <c r="AJ174" s="644" t="s">
        <v>664</v>
      </c>
      <c r="AK174" s="644" t="s">
        <v>664</v>
      </c>
      <c r="AL174" s="644" t="s">
        <v>664</v>
      </c>
      <c r="AM174" s="644" t="s">
        <v>664</v>
      </c>
      <c r="AN174" s="644" t="s">
        <v>664</v>
      </c>
      <c r="AO174" s="644" t="s">
        <v>664</v>
      </c>
      <c r="AP174" s="644" t="s">
        <v>664</v>
      </c>
      <c r="AQ174" s="644" t="s">
        <v>664</v>
      </c>
      <c r="AR174" s="644" t="s">
        <v>664</v>
      </c>
      <c r="AS174" s="644" t="s">
        <v>664</v>
      </c>
      <c r="AT174" s="644" t="s">
        <v>664</v>
      </c>
      <c r="AU174" s="644" t="s">
        <v>664</v>
      </c>
      <c r="AV174" s="644" t="s">
        <v>664</v>
      </c>
      <c r="AW174" s="644" t="s">
        <v>664</v>
      </c>
      <c r="AX174" s="644" t="s">
        <v>664</v>
      </c>
      <c r="AY174" s="644" t="s">
        <v>664</v>
      </c>
      <c r="AZ174" s="644" t="s">
        <v>664</v>
      </c>
      <c r="BA174" s="644" t="s">
        <v>664</v>
      </c>
      <c r="BB174" s="644" t="s">
        <v>664</v>
      </c>
      <c r="BC174" s="644" t="s">
        <v>664</v>
      </c>
      <c r="BD174" s="644" t="s">
        <v>664</v>
      </c>
      <c r="BE174" s="644" t="s">
        <v>664</v>
      </c>
      <c r="BF174" s="644" t="s">
        <v>664</v>
      </c>
      <c r="BG174" s="644" t="s">
        <v>664</v>
      </c>
      <c r="BH174" s="644" t="s">
        <v>664</v>
      </c>
      <c r="BI174" s="644" t="s">
        <v>664</v>
      </c>
      <c r="BJ174" s="644" t="s">
        <v>664</v>
      </c>
      <c r="BK174" s="644" t="s">
        <v>664</v>
      </c>
      <c r="BL174" s="644" t="s">
        <v>664</v>
      </c>
      <c r="BM174" s="644" t="s">
        <v>664</v>
      </c>
      <c r="BN174" s="644" t="s">
        <v>664</v>
      </c>
      <c r="BO174" s="644" t="s">
        <v>664</v>
      </c>
      <c r="BP174" s="644" t="s">
        <v>664</v>
      </c>
      <c r="BQ174" s="644" t="s">
        <v>664</v>
      </c>
      <c r="BR174" s="644" t="s">
        <v>664</v>
      </c>
      <c r="BS174" s="920">
        <f>SUM(INDEX($BS:$BS,ROW()+1):INDEX($BS:$BS,$CE174))</f>
        <v>6.4000447321441847E-2</v>
      </c>
      <c r="BT174" s="920">
        <f>SUM(INDEX($BT:$BT,ROW()+1):INDEX($BT:$BT,$CE174))</f>
        <v>6.4000447321441847E-2</v>
      </c>
      <c r="BU174" s="644" t="s">
        <v>664</v>
      </c>
      <c r="BV174" s="643">
        <f>SUMPRODUCT($BS174:INDEX($BS:$BS,$CE174),$BU174:INDEX($BU:$BU,$CE174))</f>
        <v>6.4000447321441847E-2</v>
      </c>
      <c r="BW174" s="390">
        <f>$D174*$BV174</f>
        <v>6.4000447321441847E-2</v>
      </c>
      <c r="BX174" s="816" cm="1">
        <f t="array" ref="BX174">IF($CG174=0,0,IF(INDEX(BOM!$P:$P,$CG174)=0,0,
SUMPRODUCT($BW174:INDEX($BW:$BW,IFERROR(ROW()+MATCH($CL174,INDEX($CL:$CL,ROW()+1):INDEX($CL:$CL,MAX($CE:$CE)),0)-1,MAX($CE:$CE))),
($CL174:INDEX($CL:$CL,IFERROR(ROW()+MATCH($CL174,INDEX($CL:$CL,ROW()+1):INDEX($CL:$CL,MAX($CE:$CE)),0)-1,MAX($CE:$CE)))&gt;=$CL174)*1)
))</f>
        <v>0</v>
      </c>
      <c r="BY174" s="391"/>
      <c r="BZ174" s="392" cm="1">
        <f t="array" ref="BZ174">IF($CG174=0,0,INDEX(BOM!$M:$M,$CG174))</f>
        <v>1</v>
      </c>
      <c r="CA174" s="280">
        <f>IF($BZ174&gt;0,VALUE(LEFT($BZ174,IF(ISERROR(FIND("-",$BZ174)),LEN($BZ174),FIND("-",$BZ174)-1))),INDEX($BZ$1:BZ174,MATCH("",$A$1:A174,-1)))</f>
        <v>1</v>
      </c>
      <c r="CB174" s="280">
        <f>IF(LEN($BZ174)-LEN(SUBSTITUTE($BZ174,"-",))&gt;1,
VALUE(MID($BZ174,FIND("-",$BZ174)+1,FIND("-",$BZ174,FIND("-",$BZ174)+1)-FIND("-",$BZ174)-1)),0)</f>
        <v>0</v>
      </c>
      <c r="CC174" s="280">
        <f>IF(NOT(ISERROR(FIND("-",BZ174))),
VALUE(RIGHT($BZ174,LEN($BZ174)-IF(LEN($BZ174)-LEN(SUBSTITUTE($BZ174,"-",""))=1,FIND("-",$BZ174),FIND("-",$BZ174,FIND("-",$BZ174)+1)))),0)</f>
        <v>0</v>
      </c>
      <c r="CD174" s="393"/>
      <c r="CE174" s="280" cm="1">
        <f t="array" ref="CE174">ROW()+MATCH(TRUE,_xlfn.ISFORMULA(INDEX(BW:BW,ROW()+1):INDEX(BW:BW,ROW()+MaxNumberOfRowsPerBlock)),0)-1</f>
        <v>184</v>
      </c>
      <c r="CF174" s="394" cm="1">
        <f t="array" ref="CF174">IF(CL174=0,-1,IF(CL174=1,7,MAX(IF($CL$1:$CL174=CL174-1,ROW($CL$1:$CL174),0))))</f>
        <v>49</v>
      </c>
      <c r="CG174" s="393">
        <f>IFERROR(MATCH($B174,BOM!$A:$A,0),0)</f>
        <v>22</v>
      </c>
      <c r="CH174" s="280">
        <f>MATCH($CA174,Premises!$A$10:$F$10,0)</f>
        <v>4</v>
      </c>
      <c r="CI174" s="280"/>
      <c r="CJ174" s="394"/>
      <c r="CK174" s="280"/>
      <c r="CL174" s="280" cm="1">
        <f t="array" ref="CL174">IF($CG174=0,0,INDEX(BOM!$C:$C,$CG174))</f>
        <v>4</v>
      </c>
      <c r="CM174" s="395" cm="1">
        <f t="array" ref="CM174">IF($CG174=0,0,IF(OR($CF174&lt;0,AND(INDEX($CB:$CB,$CF174)=$CB174,INDEX($CC:$CC,$CF174)=$CC174)),0,IF(INDEX(BOM!$P:$P,$CG174)=0,$BT174,(SUMIF($CA174:INDEX($CA:$CA,IFERROR(ROW()+MATCH($CL174,INDEX($CL:$CL,ROW()+1):INDEX($CL:$CL,MAX($CE:$CE)),0)-1,MAX($CE:$CE))),$CA174,$BT174:INDEX($BT:$BT,IFERROR(ROW()+MATCH($CL174,INDEX($CL:$CL,ROW()+1):INDEX($CL:$CL,MAX($CE:$CE)),0)-1,MAX($CE:$CE))))+SUMIF($CB174:INDEX($CB:$CB,IFERROR(ROW()+MATCH($CL174,INDEX($CL:$CL,ROW()+1):INDEX($CL:$CL,MAX($CE:$CE)),0)-1,MAX($CE:$CE))),$CA174,$BT174:INDEX($BT:$BT,IFERROR(ROW()+MATCH($CL174,INDEX($CL:$CL,ROW()+1):INDEX($CL:$CL,MAX($CE:$CE)),0)-1,MAX($CE:$CE)))))/2)))</f>
        <v>0</v>
      </c>
      <c r="CN174" s="396" cm="1">
        <f t="array" ref="CN174">IFERROR(IF($CB174=0,0,IF($CM174=0,INDEX($CN$1:$CN174,$CF174),INDEX(IF($CM174&lt;0.2,Premises!$A$43:$F$43,IF($CM174&lt;5,Premises!$A$46:$F$46,Premises!$A$49:$F$49)),MATCH($CB174,Premises!$A$10:$F$10,0))/($CM174*INDEX(Premises!$A$13:$F$13,MATCH($CB174,Premises!$A$10:$F$10,0)))+INDEX(IF($CM174&lt;0.2,Premises!$A$44:$F$44,IF($CM174&lt;5,Premises!$A$47:$F$47,Premises!$A$50:$F$50)),MATCH($CB174,Premises!$A$10:$F$10,0))+INDEX(IF($CM174&lt;0.2,Premises!$A$45:$F$45,IF($CM174&lt;5,Premises!$A$48:$F$48,Premises!$A$51:$F$51)),MATCH($CB174,Premises!$A$10:$F$10,0))/$CM174)),0.01)</f>
        <v>0</v>
      </c>
      <c r="CO174" s="395" cm="1">
        <f t="array" ref="CO174">IF($CG174=0,0,IF(INDEX($CC:$CC,$CF174)=$CC174,0,$CM174*(1+IFERROR(INDEX(Premises!$A$52:$F$52,1,MATCH($CB174,Premises!$A$10:$F$10,0)),0)+$CN174)))</f>
        <v>0</v>
      </c>
      <c r="CP174" s="396" cm="1">
        <f t="array" ref="CP174">IFERROR(IF($CC174=0,0,IF($CO174=0,INDEX($CP$1:$CP174,$CF174),INDEX(IF($CO174&lt;0.2,Premises!$A$43:$F$43,IF($CO174&lt;5,Premises!$A$46:$F$46,Premises!$A$49:$F$49)),MATCH($CC174,Premises!$A$10:$F$10,0))/($CO174*INDEX(Premises!$A$13:$F$13,MATCH($CC174,Premises!$A$10:$F$10,0)))+INDEX(IF($CO174&lt;0.2,Premises!$A$44:$F$44,IF($CO174&lt;5,Premises!$A$47:$F$47,Premises!$A$50:$F$50)),MATCH($CC174,Premises!$A$10:$F$10,0))+INDEX(IF($CO174&lt;0.2,Premises!$A$45:$F$45,IF($CO174&lt;5,Premises!$A$48:$F$48,Premises!$A$51:$F$51)),MATCH($CC174,Premises!$A$10:$F$10,0))/$CO174)),0.01)</f>
        <v>0</v>
      </c>
      <c r="CQ174" s="397" cm="1">
        <f t="array" ref="CQ174">IF(AND($CM174=0,$CO174=0),0,INDEX(BOM!$O:$O,$CG174))</f>
        <v>0</v>
      </c>
      <c r="CR174" s="398" cm="1">
        <f t="array" ref="CR174">IF(OR($CM174=0,$CN174=0),0,ACOS(COS(RADIANS(90-INDEX(Premises!$A$66:$F$66,1,$CH174)))*COS(RADIANS(90-INDEX(Premises!$A$66:$F$66,1,MATCH($CB174,Premises!$A$10:$F$10,0))))
+SIN(RADIANS(90-INDEX(Premises!$A$66:$F$66,1,$CH174)))*SIN(RADIANS(90-INDEX(Premises!$A$66:$F$66,1,MATCH($CB174,Premises!$A$10:$F$10,0)))) * COS(RADIANS(INDEX(Premises!$A$67:$F$67,1,$CH174)-INDEX(Premises!$A$67:$F$67,1,MATCH($CB174,Premises!$A$10:$F$10,0)))))*6371)</f>
        <v>0</v>
      </c>
      <c r="CS174" s="398" cm="1">
        <f t="array" ref="CS174">IF(OR($CO174=0,$CP174=0),0,
IF($CR174=0,ACOS(COS(RADIANS(90-INDEX(Premises!$A$66:$F$66,1,$CH174)))*COS(RADIANS(90-INDEX(Premises!$A$66:$F$66,1,MATCH($CC174,Premises!$A$10:$F$10,0))))
+SIN(RADIANS(90-INDEX(Premises!$A$66:$F$66,1,$CH174)))*SIN(RADIANS(90-INDEX(Premises!$A$66:$F$66,1,MATCH($CC174,Premises!$A$10:$F$10,0))))*COS(RADIANS(INDEX(Premises!$A$67:$F$67,1,$CH174)-INDEX(Premises!$A$67:$F$67,1,MATCH($CC174,Premises!$A$10:$F$10,0)))))*6371,
ACOS(COS(RADIANS(90-INDEX(Premises!$A$66:$F$66,1,MATCH($CB174,Premises!$A$10:$F$10,0))))*COS(RADIANS(90-INDEX(Premises!$A$66:$F$66,1,MATCH($CC174,Premises!$A$10:$F$10,0))))
+SIN(RADIANS(90-INDEX(Premises!$A$66:$F$66,1,MATCH($CB174,Premises!$A$10:$F$10,0))))*SIN(RADIANS(90-INDEX(Premises!$A$66:$F$66,1,MATCH($CC174,Premises!$A$10:$F$10,0))))*COS(RADIANS(INDEX(Premises!$A$67:$F$67,1,MATCH($CB174,Premises!$A$10:$F$10,0))-INDEX(Premises!$A$67:$F$67,1,MATCH($CC174,Premises!$A$10:$F$10,0)))))*6371))</f>
        <v>0</v>
      </c>
      <c r="CT174" s="969"/>
      <c r="CU174" s="2"/>
      <c r="CV174" s="399">
        <f>SUM(INDEX(CV:CV,ROW()+1):INDEX(CV:CV,$CE174))</f>
        <v>6.3385102317707056E-4</v>
      </c>
      <c r="CW174" s="400">
        <f>SUM(INDEX(CW:CW,ROW()+1):INDEX(CW:CW,$CE174))</f>
        <v>4.6187168295507564E-2</v>
      </c>
      <c r="CX174" s="400">
        <f>SUM(INDEX(CX:CX,ROW()+1):INDEX(CX:CX,$CE174))</f>
        <v>1.9516398929049535E-4</v>
      </c>
      <c r="CY174" s="400">
        <f>SUM(INDEX(CY:CY,ROW()+1):INDEX(CY:CY,$CE174))</f>
        <v>0</v>
      </c>
      <c r="CZ174" s="400">
        <f>SUM(INDEX(CZ:CZ,ROW()+1):INDEX(CZ:CZ,$CE174))</f>
        <v>0</v>
      </c>
      <c r="DA174" s="400">
        <f>SUM(INDEX(DA:DA,ROW()+1):INDEX(DA:DA,$CE174))</f>
        <v>8.2901501246756593E-6</v>
      </c>
      <c r="DB174" s="400">
        <f>SUM(INDEX(DB:DB,ROW()+1):INDEX(DB:DB,$CE174))</f>
        <v>6.552070415363702E-5</v>
      </c>
      <c r="DC174" s="400">
        <f>SUM(INDEX(DC:DC,ROW()+1):INDEX(DC:DC,$CE174))</f>
        <v>4.7089994162253443E-2</v>
      </c>
      <c r="DD174" s="400">
        <f>SUM(INDEX(DD:DD,ROW()+1):INDEX(DD:DD,$CE174))</f>
        <v>1.58E-3</v>
      </c>
      <c r="DE174" s="400">
        <f>SUM(INDEX(DE:DE,ROW()+1):INDEX(DE:DE,$CE174))</f>
        <v>1.5800000000000001E-5</v>
      </c>
      <c r="DF174" s="400">
        <f>SUM(INDEX(DF:DF,ROW()+1):INDEX(DF:DF,$CE174))</f>
        <v>5.6091225928396292E-3</v>
      </c>
      <c r="DG174" s="400">
        <f>SUM(INDEX(DG:DG,ROW()+1):INDEX(DG:DG,$CE174))</f>
        <v>7.2049225928396288E-3</v>
      </c>
      <c r="DH174" s="400">
        <f>SUM(INDEX(DH:DH,ROW()+1):INDEX(DH:DH,$CE174))</f>
        <v>5.429491675509307E-2</v>
      </c>
      <c r="DI174" s="400">
        <f>SUM(INDEX(DI:DI,ROW()+1):INDEX(DI:DI,$CE174))</f>
        <v>0</v>
      </c>
      <c r="DJ174" s="400">
        <f>SUM(INDEX(DJ:DJ,ROW()+1):INDEX(DJ:DJ,$CE174))</f>
        <v>0</v>
      </c>
      <c r="DK174" s="400">
        <f>SUM(INDEX(DK:DK,ROW()+1):INDEX(DK:DK,$CE174))</f>
        <v>6.7858283256210499E-3</v>
      </c>
      <c r="DL174" s="400">
        <f>SUM(INDEX(DL:DL,ROW()+1):INDEX(DL:DL,$CE174))</f>
        <v>0</v>
      </c>
      <c r="DM174" s="400">
        <f>SUM(INDEX(DM:DM,ROW()+1):INDEX(DM:DM,$CE174))</f>
        <v>0</v>
      </c>
      <c r="DN174" s="400">
        <f>SUM(INDEX(DN:DN,ROW()+1):INDEX(DN:DN,$CE174))</f>
        <v>2.9197022407277261E-3</v>
      </c>
      <c r="DO174" s="400">
        <f>SUM(INDEX(DO:DO,ROW()+1):INDEX(DO:DO,$CE174))</f>
        <v>0</v>
      </c>
      <c r="DP174" s="400">
        <f>SUM(INDEX(DP:DP,ROW()+1):INDEX(DP:DP,$CE174))</f>
        <v>6.4000447321441847E-2</v>
      </c>
      <c r="DQ174" s="400">
        <f>SUM(INDEX(DQ:DQ,ROW()+1):INDEX(DQ:DQ,$CE174))</f>
        <v>0</v>
      </c>
      <c r="DR174" s="400">
        <f>SUM(INDEX(DR:DR,ROW()+1):INDEX(DR:DR,$CE174))</f>
        <v>0</v>
      </c>
      <c r="DS174" s="400">
        <f>SUM(INDEX(DS:DS,ROW()+1):INDEX(DS:DS,$CE174))</f>
        <v>0</v>
      </c>
      <c r="DT174" s="400">
        <f>SUM(INDEX(DT:DT,ROW()+1):INDEX(DT:DT,$CE174))</f>
        <v>0</v>
      </c>
      <c r="DU174" s="400">
        <f>SUM(INDEX(DU:DU,ROW()+1):INDEX(DU:DU,$CE174))</f>
        <v>0</v>
      </c>
      <c r="DV174" s="400">
        <f>SUM(INDEX(DV:DV,ROW()+1):INDEX(DV:DV,$CE174))</f>
        <v>6.4000447321441847E-2</v>
      </c>
      <c r="DW174" s="400">
        <f>SUM(INDEX(DW:DW,ROW()+1):INDEX(DW:DW,$CE174))</f>
        <v>0</v>
      </c>
      <c r="DX174" s="400">
        <f>SUM(INDEX(DX:DX,ROW()+1):INDEX(DX:DX,$CE174))</f>
        <v>0</v>
      </c>
      <c r="DY174" s="400">
        <f>SUM(INDEX(DY:DY,ROW()+1):INDEX(DY:DY,$CE174))</f>
        <v>0</v>
      </c>
      <c r="DZ174" s="400">
        <f>SUM(INDEX(DZ:DZ,ROW()+1):INDEX(DZ:DZ,$CE174))</f>
        <v>0</v>
      </c>
      <c r="EA174" s="400">
        <f>SUM(INDEX(EA:EA,ROW()+1):INDEX(EA:EA,$CE174))</f>
        <v>0</v>
      </c>
      <c r="EB174" s="401">
        <f>SUM(INDEX(EB:EB,ROW()+1):INDEX(EB:EB,$CE174))</f>
        <v>6.4000447321441847E-2</v>
      </c>
      <c r="EC174" s="805"/>
      <c r="ED174" s="399"/>
      <c r="EE174" s="400"/>
      <c r="EF174" s="1112"/>
      <c r="EG174" s="1112"/>
      <c r="EH174" s="1112"/>
      <c r="EI174" s="1112"/>
      <c r="EJ174" s="1112"/>
      <c r="EK174" s="1112"/>
      <c r="EL174" s="1112"/>
      <c r="EM174" s="1112"/>
      <c r="EN174" s="1112"/>
      <c r="EO174" s="1112"/>
      <c r="EP174" s="1112"/>
      <c r="EQ174" s="1112"/>
      <c r="ER174" s="1112"/>
      <c r="ES174" s="1112"/>
      <c r="ET174" s="1112"/>
      <c r="EU174" s="1112"/>
      <c r="EV174" s="1112"/>
      <c r="EW174" s="1112"/>
      <c r="EX174" s="1113"/>
      <c r="EY174" s="2"/>
      <c r="EZ174" s="2"/>
      <c r="FA174" s="2"/>
      <c r="FB174" s="2"/>
      <c r="FC174" s="2"/>
      <c r="FD174" s="2"/>
      <c r="FE174" s="2"/>
      <c r="FF174" s="2"/>
      <c r="FG174" s="2"/>
      <c r="FH174" s="2"/>
      <c r="FI174" s="2"/>
      <c r="FJ174" s="399"/>
      <c r="FK174" s="400"/>
      <c r="FL174" s="401"/>
      <c r="FM174" s="969"/>
    </row>
    <row r="175" spans="1:169" s="13" customFormat="1" ht="12.75" customHeight="1">
      <c r="A175" s="221"/>
      <c r="B175" s="402" t="s">
        <v>34</v>
      </c>
      <c r="C175" s="403"/>
      <c r="D175" s="646"/>
      <c r="E175" s="404"/>
      <c r="F175" s="405"/>
      <c r="G175" s="405"/>
      <c r="H175" s="405"/>
      <c r="I175" s="637" cm="1">
        <f t="array" ref="I175">IF($CI175=0,0,IFERROR(INDEX(MHR[],$CI175,MATCH($CA175,MHR!$B$4:$AY$4,0)),0))</f>
        <v>0</v>
      </c>
      <c r="J175" s="634">
        <f>IF(COUNTBLANK($E175:$H175),0,IFERROR($F175/$H175/IF($G175="s",3600,IF($G175="min",60,IF($G175="h",1,0)))*I175,0))</f>
        <v>0</v>
      </c>
      <c r="K175" s="406"/>
      <c r="L175" s="407"/>
      <c r="M175" s="871"/>
      <c r="N175" s="407"/>
      <c r="O175" s="405"/>
      <c r="P175" s="645" cm="1">
        <f t="array" ref="P175">IF($K175=0,0,IFERROR(ROUNDUP(IF(ISNUMBER($K175),$K175,INDEX($D$1:$D175,$CD175)*INDEX(Premises!$A$13:$F$13,1,$CH175)/IF(OR($K175="T",$K175="D"),250,IF($K175="W",50,IF($K175="M",12,IF(OR($K175="HJ",$K175="HY"),2,IF(OR($K175="J",$K175="Y"),1,0)))))),0),0))</f>
        <v>0</v>
      </c>
      <c r="Q175" s="637" cm="1">
        <f t="array" ref="Q175">IF($K175=0,0,IFERROR(INDEX(Premises!$A$22:$F$22,1,$CH175)*100/INDEX(Premises!$A$16:$F$16,1,$CH175),0))</f>
        <v>0</v>
      </c>
      <c r="R175" s="634">
        <f t="shared" ref="R175:R184" si="480">IF($P175=0,0,IFERROR(($L175/60*($I175+$Q175*$M175)+($N175/60*($Q175*$O175)))/$P175,0))</f>
        <v>0</v>
      </c>
      <c r="S175" s="408"/>
      <c r="T175" s="409"/>
      <c r="U175" s="637" cm="1">
        <f t="array" ref="U175">IF(COUNTBLANK($S175:$T175),0,
IF(AND(INDEX(MHR[Schichtmodell],$CI175)&lt;&gt;0,INDEX(MHR[Schichtmodell],$CI175)&lt;&gt;INDEX(Premises!$A$20:$F$20,1,$CH175)),ExchangeRate*
IF(OR($T175="M",$T175="U"),IF(INDEX(MHR[Schichtmodell],$CI175)=1,INDEX(LOC[M1S],INDEX(Premises!$A$18:$F$18,1,$CH175+1)),IF(INDEX(MHR[Schichtmodell],$CI175)=2,INDEX(LOC[M2S],INDEX(Premises!$A$18:$F$18,1,$CH175+1),IF(INDEX(MHR[Schichtmodell],$CI175)=3,INDEX(LOC[M3S],INDEX(Premises!$A$18:$F$18,1,$CH175+1)),0)))),
IF(INDEX(MHR[Schichtmodell],$CI175)=1,INDEX(LOC[F1S],INDEX(Premises!$A$18:$F$18,1,$CH175+1)),IF(INDEX(MHR[Schichtmodell],$CI175)=2,INDEX(LOC[F2S],INDEX(Premises!$A$18:$F$18,1,$CH175+1)),IF(INDEX(MHR[Schichtmodell],$CI175)=3,INDEX(LOC[F3S],INDEX(Premises!$A$18:$F$18,1,$CH175+1)),0)))),
IF(OR($T175="M",$T175="U"),INDEX(Premises!$A$21:$F$21,1,$CH175),
IF(OR($T175="F",$T175="S"),INDEX(Premises!$A$22:$F$22,1,$CH175),0)))*100/INDEX(Premises!$A$16:$F$16,1,$CH175))</f>
        <v>0</v>
      </c>
      <c r="V175" s="631">
        <f t="shared" ref="V175:V184" si="481">IF($U175=0,0,IFERROR($F175/$H175/IF($G175="s",3600,IF($G175="min",60,IF($G175="h",1,0)))*$S175*$U175,0))</f>
        <v>0</v>
      </c>
      <c r="W175" s="410"/>
      <c r="X175" s="403"/>
      <c r="Y175" s="411"/>
      <c r="Z175" s="412"/>
      <c r="AA175" s="628">
        <f t="shared" ref="AA175:AA184" si="482">IFERROR($X175*$Z175/$Y175/MAX(1,$H175),0)</f>
        <v>0</v>
      </c>
      <c r="AB175" s="410"/>
      <c r="AC175" s="403"/>
      <c r="AD175" s="411"/>
      <c r="AE175" s="413"/>
      <c r="AF175" s="628">
        <f t="shared" ref="AF175:AF184" si="483">IFERROR($AC175*$AE175/$AD175,0)</f>
        <v>0</v>
      </c>
      <c r="AG175" s="629" cm="1">
        <f t="array" ref="AG175">IF(($J175+$V175+$AF175)=0,0,INDEX(Premises!$A$30:$F$30,1,$CH175)/100)</f>
        <v>0</v>
      </c>
      <c r="AH175" s="414"/>
      <c r="AI175" s="415"/>
      <c r="AJ175" s="416"/>
      <c r="AK175" s="630">
        <f t="shared" ref="AK175:AK184" si="484">IF(COUNTBLANK($AH175:$AI175),0,$AH175*$AI175*$AG175)</f>
        <v>0</v>
      </c>
      <c r="AL175" s="631">
        <f t="shared" ref="AL175:AL184" si="485">($AK175+$AJ175*$AG175*(1-$AH175)+($J175+$V175+$AF175)*$AG175*(1-$AH175))</f>
        <v>0</v>
      </c>
      <c r="AM175" s="632" cm="1">
        <f t="array" ref="AM175">IF($CI175=0,0,IFERROR(INDEX(MHR[],$CI175,MATCH($CA175,MHR!$B$4:$AY$4,0)+11),0))</f>
        <v>0</v>
      </c>
      <c r="AN175" s="633" cm="1">
        <f t="array" ref="AN175">IF(($J175+$V175)=0,0,IFERROR(IF(INDEX(Premises!$A$41:$F$41,1,$CH175)&lt;&gt;0,INDEX(Premises!$A$41:$F$41,1,$CH175)/100,(IFERROR(($J175/$I175)*$AM175,0)/($V175+$J175+$R175+$AL175))),0))</f>
        <v>0</v>
      </c>
      <c r="AO175" s="634">
        <f t="shared" ref="AO175:AO184" si="486">IF(($J175+$V175)=0,0,IF(IFERROR(($J175+$R175+$V175+$AL175)*$AN175,0)&lt;&gt;IFERROR(($J175/$I175)*$AM175,0),($J175+$R175+$V175+$AL175)*$AN175,IFERROR(($J175/$I175)*$AM175,0)))</f>
        <v>0</v>
      </c>
      <c r="AP175" s="635">
        <f t="shared" ref="AP175:AP184" si="487">$V175+$J175+$R175+$AA175+$AF175+$AL175+$AO175</f>
        <v>0</v>
      </c>
      <c r="AQ175" s="410" t="str">
        <f>VLOOKUP($B174,BOM,5,0)</f>
        <v>PE-LD Folienqualitäten</v>
      </c>
      <c r="AR175" s="409">
        <f>BOM!G22</f>
        <v>1E-3</v>
      </c>
      <c r="AS175" s="636" t="str" cm="1">
        <f t="array" ref="AS175">IF($CJ175=0,0,IFERROR(INDEX(MAT[Einheit],$CJ175,1),0))</f>
        <v>kg</v>
      </c>
      <c r="AT175" s="637" cm="1">
        <f t="array" ref="AT175">IF($CJ175=0,0,IFERROR(INDEX(MAT[Preis],$CJ175,1),0))</f>
        <v>1.58</v>
      </c>
      <c r="AU175" s="638">
        <f t="shared" ref="AU175:AU184" si="488">$AR175*$AT175</f>
        <v>1.58E-3</v>
      </c>
      <c r="AV175" s="639" cm="1">
        <f t="array" ref="AV175">IF($AU175&lt;=0,0,INDEX(Premises!$A$30:$F$30,1,$CH175)/100)</f>
        <v>0.01</v>
      </c>
      <c r="AW175" s="409"/>
      <c r="AX175" s="631">
        <f t="shared" ref="AX175:AX184" si="489">IF($AV175=0,0,($AU175+$AW175)*$AV175)</f>
        <v>1.5800000000000001E-5</v>
      </c>
      <c r="AY175" s="640" cm="1">
        <f t="array" ref="AY175">IF($AT175&lt;=0,0,IFERROR(IF(INDEX(Premises!$A$42:$F$42,1,$CH175)&lt;&gt;0,INDEX(Premises!$A$42:$F$42,1,$CH175)/100,(INDEX(MAT[],$CJ175,MATCH($CA175,MAT!$B$4:$AE$4,0))/($AR175*$CK175*INDEX(Premises!$A$13:$F$13,1,$CH175))+INDEX(MAT[],$CJ175,MATCH($CA175,MAT!$B$4:$AE$4,0)+7))/$AT175),0))</f>
        <v>3.5149283073315134</v>
      </c>
      <c r="AZ175" s="631">
        <f t="shared" ref="AZ175:AZ184" si="490">IF($AY175=0,0,($AU175+$AX175)*$AY175)</f>
        <v>5.6091225928396292E-3</v>
      </c>
      <c r="BA175" s="635">
        <f t="shared" ref="BA175:BA184" si="491">$AU175+$AX175+$AZ175</f>
        <v>7.2049225928396288E-3</v>
      </c>
      <c r="BB175" s="635">
        <f t="shared" ref="BB175:BB184" si="492">$AP175+$BA175</f>
        <v>7.2049225928396288E-3</v>
      </c>
      <c r="BC175" s="639" cm="1">
        <f t="array" ref="BC175">IF($BB175&lt;=0,0,IF(BC$2=-1,0,INDEX(Premises!$A$32:$F$32,1,$CH175)/100))</f>
        <v>0</v>
      </c>
      <c r="BD175" s="631">
        <f t="shared" ref="BD175:BD184" si="493">IF($AP175&lt;=0,0,($AP175-$AA175-$AL175)*$BC175)</f>
        <v>0</v>
      </c>
      <c r="BE175" s="639" cm="1">
        <f t="array" ref="BE175">IF($BB175&lt;=0,0,IF(BE$2=-1,0,INDEX(Premises!$A$33:$F$33,1,$CH175)/100))</f>
        <v>0</v>
      </c>
      <c r="BF175" s="631">
        <f t="shared" ref="BF175:BF184" si="494">IF($BA175&lt;=0,0,$BA175*$BE175)</f>
        <v>0</v>
      </c>
      <c r="BG175" s="639" cm="1">
        <f t="array" ref="BG175">IF($BB175&lt;=0,0,IF(BG$2=-1,0,INDEX(Premises!$A$31:$F$31,1,$CH175)/100))</f>
        <v>0.125</v>
      </c>
      <c r="BH175" s="631">
        <f t="shared" ref="BH175:BH184" si="495">(($AP175-$AA175-$AL175)+$BA175)*$BG175</f>
        <v>9.006153241049536E-4</v>
      </c>
      <c r="BI175" s="635">
        <f t="shared" ref="BI175:BI184" si="496">$BB175+$BD175+$BF175+$BH175</f>
        <v>8.1055379169445822E-3</v>
      </c>
      <c r="BJ175" s="639" cm="1">
        <f t="array" ref="BJ175">IF($BB175&lt;=0,0,IF(BJ$2=-1,0,INDEX(Premises!$A$35:$F$35,1,$CH175)/100))</f>
        <v>0</v>
      </c>
      <c r="BK175" s="631">
        <f t="shared" ref="BK175:BK184" si="497">IF($AP175&lt;=0,0,($AP175-$AL175-$AA175)*$BJ175)</f>
        <v>0</v>
      </c>
      <c r="BL175" s="639" cm="1">
        <f t="array" ref="BL175">IF($BB175&lt;=0,0,IF(BL$2=-1,0,INDEX(Premises!$A$36:$F$36,1,$CH175)/100))</f>
        <v>0</v>
      </c>
      <c r="BM175" s="631">
        <f t="shared" ref="BM175:BM184" si="498">IF($AU175&lt;=0,0,($AR175*$AT175)*$BL175)</f>
        <v>0</v>
      </c>
      <c r="BN175" s="639" cm="1">
        <f t="array" ref="BN175">IF($BB175&lt;=0,0,IF(BN$2=-1,0,INDEX(Premises!$A$34:$F$34,1,$CH175)/100))</f>
        <v>0.06</v>
      </c>
      <c r="BO175" s="631">
        <f t="shared" ref="BO175:BO184" si="499">(($AP175-$AL175-$AA175)+($AR175*$AT175))*$BN175</f>
        <v>9.48E-5</v>
      </c>
      <c r="BP175" s="639" cm="1">
        <f t="array" ref="BP175">IF($BI175=0,0,INDEX(Premises!$A$37:$F$37,1,$CH175)/100)</f>
        <v>0</v>
      </c>
      <c r="BQ175" s="409"/>
      <c r="BR175" s="631">
        <f t="shared" ref="BR175:BR184" si="500">($BI175+$BK175+$BM175+$BO175)*$BP175+$BQ175</f>
        <v>0</v>
      </c>
      <c r="BS175" s="641">
        <f t="shared" ref="BS175:BS184" si="501">BI175+BK175+BM175+BO175+BR175</f>
        <v>8.200337916944583E-3</v>
      </c>
      <c r="BT175" s="641">
        <f t="shared" ref="BT175:BT184" si="502">IF($BS175=0,0,$CK175*$BS175)</f>
        <v>8.200337916944583E-3</v>
      </c>
      <c r="BU175" s="642">
        <f t="shared" ref="BU175:BU184" si="503">IF($BT175=0,0,MAX(1,$EB175/$DP175))</f>
        <v>1</v>
      </c>
      <c r="BV175" s="417"/>
      <c r="BW175" s="418"/>
      <c r="BX175" s="418"/>
      <c r="BY175" s="419"/>
      <c r="BZ175" s="968"/>
      <c r="CA175" s="280" cm="1">
        <f t="array" ref="CA175">IF($BZ175&gt;0,VALUE(LEFT($BZ175,IF(ISERROR(FIND("-",$BZ175)),LEN($BZ175),FIND("-",$BZ175)-1))),INDEX($CA$1:$CA175,MAX(1,$CD175)))</f>
        <v>1</v>
      </c>
      <c r="CB175" s="280" cm="1">
        <f t="array" ref="CB175">IF($BT175=0,0,IF(LEN($BZ175)-LEN(SUBSTITUTE($BZ175,"-",""))&gt;1,
VALUE(MID($BZ175,FIND("-",$BZ175)+1,FIND("-",$BZ175,FIND("-",$BZ175)+1)-FIND("-",$BZ175)-1)),IF($BZ175&gt;0,0,INDEX($CB$1:$CB175,MAX(1,$CD175)))))</f>
        <v>0</v>
      </c>
      <c r="CC175" s="280" cm="1">
        <f t="array" ref="CC175">IF($BT175=0,0,IF(NOT(ISERROR(FIND("-",BZ175))),
VALUE(RIGHT($BZ175,LEN($BZ175)-IF(LEN($BZ175)-LEN(SUBSTITUTE($BZ175,"-",""))=1,FIND("-",$BZ175),FIND("-",$BZ175,FIND("-",$BZ175)+1)))),
IF($BZ175&gt;0,0,INDEX($CC$1:$CC175,MAX(1,$CD175)))))</f>
        <v>0</v>
      </c>
      <c r="CD175" s="393">
        <f>MATCH(0,$CE$1:$CE175,-1)</f>
        <v>174</v>
      </c>
      <c r="CE175" s="280"/>
      <c r="CF175" s="394"/>
      <c r="CG175" s="393" cm="1">
        <f t="array" ref="CG175">INDEX($CG$1:$CG175,$CD175)</f>
        <v>22</v>
      </c>
      <c r="CH175" s="280">
        <f>MATCH($CA175,Premises!$A$10:$F$10,0)</f>
        <v>4</v>
      </c>
      <c r="CI175" s="280">
        <f>IF(ISBLANK($E175),0,IFERROR(MATCH($E175,MHR[Bezeichnung],0),0))</f>
        <v>0</v>
      </c>
      <c r="CJ175" s="394">
        <f>IF(ISBLANK($AQ175),0,IFERROR(MATCH($AQ175,MAT[Bezeichnung],0),0))</f>
        <v>10</v>
      </c>
      <c r="CK175" s="280" cm="1">
        <f t="array" ref="CK175">INDEX($D$1:$D175,$CD175)</f>
        <v>1</v>
      </c>
      <c r="CL175" s="280"/>
      <c r="CM175" s="395"/>
      <c r="CN175" s="396" cm="1">
        <f t="array" ref="CN175">IF($CB175=0,0,IF($CB175=INDEX($CB$1:$CB175,$CD175),INDEX($CN$1:$CN175,$CD175),$CP175))</f>
        <v>0</v>
      </c>
      <c r="CO175" s="395"/>
      <c r="CP175" s="396" cm="1">
        <f t="array" ref="CP175">IF($CC175=0,0,INDEX($CP$1:$CP175,$CD175))</f>
        <v>0</v>
      </c>
      <c r="CQ175" s="397"/>
      <c r="CR175" s="398"/>
      <c r="CS175" s="398"/>
      <c r="CT175" s="970"/>
      <c r="CU175" s="2"/>
      <c r="CV175" s="647">
        <f t="shared" ref="CV175:CV184" si="504">$J175*$CK175</f>
        <v>0</v>
      </c>
      <c r="CW175" s="648">
        <f t="shared" ref="CW175:CW184" si="505">$R175*$CK175</f>
        <v>0</v>
      </c>
      <c r="CX175" s="648">
        <f t="shared" ref="CX175:CX184" si="506">$V175*$CK175</f>
        <v>0</v>
      </c>
      <c r="CY175" s="648">
        <f t="shared" ref="CY175:CY184" si="507">$AA175*$CK175</f>
        <v>0</v>
      </c>
      <c r="CZ175" s="648">
        <f t="shared" ref="CZ175:CZ184" si="508">$AF175*$CK175</f>
        <v>0</v>
      </c>
      <c r="DA175" s="648">
        <f t="shared" ref="DA175:DA184" si="509">$AL175*$CK175</f>
        <v>0</v>
      </c>
      <c r="DB175" s="648">
        <f t="shared" ref="DB175:DB184" si="510">$AO175*$CK175</f>
        <v>0</v>
      </c>
      <c r="DC175" s="649">
        <f t="shared" ref="DC175:DC184" si="511">$AP175*$CK175</f>
        <v>0</v>
      </c>
      <c r="DD175" s="648">
        <f t="shared" ref="DD175:DD184" si="512">$AU175*$CK175</f>
        <v>1.58E-3</v>
      </c>
      <c r="DE175" s="648">
        <f t="shared" ref="DE175:DE184" si="513">$AX175*$CK175</f>
        <v>1.5800000000000001E-5</v>
      </c>
      <c r="DF175" s="648">
        <f t="shared" ref="DF175:DF184" si="514">$AZ175*$CK175</f>
        <v>5.6091225928396292E-3</v>
      </c>
      <c r="DG175" s="649">
        <f t="shared" ref="DG175:DG184" si="515">$BA175*$CK175</f>
        <v>7.2049225928396288E-3</v>
      </c>
      <c r="DH175" s="649">
        <f t="shared" ref="DH175:DH184" si="516">$BB175*$CK175</f>
        <v>7.2049225928396288E-3</v>
      </c>
      <c r="DI175" s="648">
        <f t="shared" ref="DI175:DI184" si="517">$BD175*$CK175</f>
        <v>0</v>
      </c>
      <c r="DJ175" s="648">
        <f t="shared" ref="DJ175:DJ184" si="518">$BF175*$CK175</f>
        <v>0</v>
      </c>
      <c r="DK175" s="648">
        <f t="shared" ref="DK175:DK184" si="519">$BH175*$CK175</f>
        <v>9.006153241049536E-4</v>
      </c>
      <c r="DL175" s="648">
        <f t="shared" ref="DL175:DL184" si="520">$BK175*$CK175</f>
        <v>0</v>
      </c>
      <c r="DM175" s="648">
        <f t="shared" ref="DM175:DM184" si="521">$BM175*$CK175</f>
        <v>0</v>
      </c>
      <c r="DN175" s="648">
        <f t="shared" ref="DN175:DN184" si="522">$BO175*$CK175</f>
        <v>9.48E-5</v>
      </c>
      <c r="DO175" s="648">
        <f t="shared" ref="DO175:DO184" si="523">$BR175*$CK175</f>
        <v>0</v>
      </c>
      <c r="DP175" s="651">
        <f t="shared" ref="DP175:DP184" si="524">$CK175*($BB175+$BD175+$BF175+$BH175+$BK175+$BM175+$BO175+$BR175)</f>
        <v>8.200337916944583E-3</v>
      </c>
      <c r="DQ175" s="951">
        <f>IF($CB175=0,0,$DP175*_xlfn.XLOOKUP($CB175,Premises!$A$10:$F$10,Premises!$A$30:$F$30)/100)</f>
        <v>0</v>
      </c>
      <c r="DR175" s="650">
        <f>IFERROR(SUM($DP175:$DQ175)*IF(INDEX(Premises!$A$42:$F$42,1,MATCH($CB175,Premises!$A$10:$F$10,0))&gt;0,INDEX(Premises!$A$42:$F$42,1,MATCH($CB175,Premises!$A$10:$F$10,0))%,$CN175),0)</f>
        <v>0</v>
      </c>
      <c r="DS175" s="650" cm="1">
        <f t="array" ref="DS175">IF($CB175=0,0,SUM($DP175:$DR175)*_xlfn.XLOOKUP($CB175,Premises!$A$10:$F$10,IF(INDEX(Settings[],MATCH(3001,Settings[ID],0),2)="B",Premises!$A$33:$F$33,Premises!$A$31:$F$31))/100)</f>
        <v>0</v>
      </c>
      <c r="DT175" s="650" cm="1">
        <f t="array" ref="DT175">IF($CB175=0,0,$DP175*_xlfn.XLOOKUP($CB175,Premises!$A$10:$F$10,IF(INDEX(Settings[],MATCH(3002,Settings[ID],0),2)="B",Premises!$A$36:$F$36,Premises!$A$34:$F$34))/100)</f>
        <v>0</v>
      </c>
      <c r="DU175" s="650">
        <f>IF($CB175=0,0,SUM($DP175:$DT175)*_xlfn.XLOOKUP($CB175,Premises!$A$10:$F$10,Premises!$A$37:$F$37)/100)</f>
        <v>0</v>
      </c>
      <c r="DV175" s="954">
        <f t="shared" ref="DV175:DV184" si="525">SUM($DP175:$DU175)</f>
        <v>8.200337916944583E-3</v>
      </c>
      <c r="DW175" s="951">
        <f>IF($CC175=0,0,$DV175*_xlfn.XLOOKUP($CC175,Premises!$A$10:$F$10,Premises!$A$30:$F$30)/100)</f>
        <v>0</v>
      </c>
      <c r="DX175" s="650">
        <f>IFERROR(SUM($DV175:$DW175)*IF(INDEX(Premises!$A$42:$F$42,1,MATCH($CC175,Premises!$A$10:$F$10,0))&gt;0,INDEX(Premises!$A$42:$F$42,1,MATCH($CC175,Premises!$A$10:$F$10,0))%,$CP175),0)</f>
        <v>0</v>
      </c>
      <c r="DY175" s="650" cm="1">
        <f t="array" ref="DY175">IF($CC175=0,0,SUM($DV175:$DX175)*_xlfn.XLOOKUP($CC175,Premises!$A$10:$F$10,IF(INDEX(Settings[],MATCH(3001,Settings[ID],0),2)="B",Premises!$A$33:$F$33,Premises!$A$31:$F$31))/100)</f>
        <v>0</v>
      </c>
      <c r="DZ175" s="650" cm="1">
        <f t="array" ref="DZ175">IF($CC175=0,0,$DV175*_xlfn.XLOOKUP($CC175,Premises!$A$10:$F$10,IF(INDEX(Settings[],MATCH(3002,Settings[ID],0),2)="B",Premises!$A$36:$F$36,Premises!$A$34:$F$34))/100)</f>
        <v>0</v>
      </c>
      <c r="EA175" s="650">
        <f>IF($CC175=0,0,SUM($DV175:$DZ175)*_xlfn.XLOOKUP($CC175,Premises!$A$10:$F$10,Premises!$A$37:$F$37)/100)</f>
        <v>0</v>
      </c>
      <c r="EB175" s="651">
        <f t="shared" ref="EB175:EB184" si="526">SUM($DV175:$EA175)</f>
        <v>8.200337916944583E-3</v>
      </c>
      <c r="EC175" s="805"/>
      <c r="ED175" s="1104"/>
      <c r="EE175" s="650"/>
      <c r="EF175" s="1110"/>
      <c r="EG175" s="1108"/>
      <c r="EH175" s="1108"/>
      <c r="EI175" s="1108"/>
      <c r="EJ175" s="1108"/>
      <c r="EK175" s="1108"/>
      <c r="EL175" s="1108"/>
      <c r="EM175" s="1110"/>
      <c r="EN175" s="1108"/>
      <c r="EO175" s="1108"/>
      <c r="EP175" s="1108"/>
      <c r="EQ175" s="1108"/>
      <c r="ER175" s="1110"/>
      <c r="ES175" s="1108"/>
      <c r="ET175" s="1108"/>
      <c r="EU175" s="1108"/>
      <c r="EV175" s="1108"/>
      <c r="EW175" s="1108"/>
      <c r="EX175" s="1111"/>
      <c r="EY175" s="2"/>
      <c r="EZ175" s="2"/>
      <c r="FA175" s="2"/>
      <c r="FB175" s="2"/>
      <c r="FC175" s="2"/>
      <c r="FD175" s="2"/>
      <c r="FE175" s="2"/>
      <c r="FF175" s="2"/>
      <c r="FG175" s="2"/>
      <c r="FH175" s="2"/>
      <c r="FI175" s="2"/>
      <c r="FJ175" s="420"/>
      <c r="FK175" s="421"/>
      <c r="FL175" s="422"/>
      <c r="FM175" s="970"/>
    </row>
    <row r="176" spans="1:169" s="13" customFormat="1" ht="12.75" customHeight="1">
      <c r="A176" s="221"/>
      <c r="B176" s="402"/>
      <c r="C176" s="403"/>
      <c r="D176" s="646"/>
      <c r="E176" s="404"/>
      <c r="F176" s="405"/>
      <c r="G176" s="405"/>
      <c r="H176" s="405"/>
      <c r="I176" s="637" cm="1">
        <f t="array" ref="I176">IF($CI176=0,0,IFERROR(INDEX(MHR[],$CI176,MATCH($CA176,MHR!$B$4:$AY$4,0)),0))</f>
        <v>0</v>
      </c>
      <c r="J176" s="634">
        <f t="shared" ref="J176:J184" si="527">IF(COUNTBLANK($E176:$H176),0,IFERROR($F176/$H176/IF($G176="s",3600,IF($G176="min",60,IF($G176="h",1,0)))*I176,0))</f>
        <v>0</v>
      </c>
      <c r="K176" s="406"/>
      <c r="L176" s="407"/>
      <c r="M176" s="871"/>
      <c r="N176" s="407"/>
      <c r="O176" s="405"/>
      <c r="P176" s="645" cm="1">
        <f t="array" ref="P176">IF($K176=0,0,IFERROR(ROUNDUP(IF(ISNUMBER($K176),$K176,INDEX($D$1:$D176,$CD176)*INDEX(Premises!$A$13:$F$13,1,$CH176)/IF(OR($K176="T",$K176="D"),250,IF($K176="W",50,IF($K176="M",12,IF(OR($K176="HJ",$K176="HY"),2,IF(OR($K176="J",$K176="Y"),1,0)))))),0),0))</f>
        <v>0</v>
      </c>
      <c r="Q176" s="637" cm="1">
        <f t="array" ref="Q176">IF($K176=0,0,IFERROR(INDEX(Premises!$A$22:$F$22,1,$CH176)*100/INDEX(Premises!$A$16:$F$16,1,$CH176),0))</f>
        <v>0</v>
      </c>
      <c r="R176" s="634">
        <f t="shared" si="480"/>
        <v>0</v>
      </c>
      <c r="S176" s="408"/>
      <c r="T176" s="409"/>
      <c r="U176" s="637" cm="1">
        <f t="array" ref="U176">IF(COUNTBLANK($S176:$T176),0,
IF(AND(INDEX(MHR[Schichtmodell],$CI176)&lt;&gt;0,INDEX(MHR[Schichtmodell],$CI176)&lt;&gt;INDEX(Premises!$A$20:$F$20,1,$CH176)),ExchangeRate*
IF(OR($T176="M",$T176="U"),IF(INDEX(MHR[Schichtmodell],$CI176)=1,INDEX(LOC[M1S],INDEX(Premises!$A$18:$F$18,1,$CH176+1)),IF(INDEX(MHR[Schichtmodell],$CI176)=2,INDEX(LOC[M2S],INDEX(Premises!$A$18:$F$18,1,$CH176+1),IF(INDEX(MHR[Schichtmodell],$CI176)=3,INDEX(LOC[M3S],INDEX(Premises!$A$18:$F$18,1,$CH176+1)),0)))),
IF(INDEX(MHR[Schichtmodell],$CI176)=1,INDEX(LOC[F1S],INDEX(Premises!$A$18:$F$18,1,$CH176+1)),IF(INDEX(MHR[Schichtmodell],$CI176)=2,INDEX(LOC[F2S],INDEX(Premises!$A$18:$F$18,1,$CH176+1)),IF(INDEX(MHR[Schichtmodell],$CI176)=3,INDEX(LOC[F3S],INDEX(Premises!$A$18:$F$18,1,$CH176+1)),0)))),
IF(OR($T176="M",$T176="U"),INDEX(Premises!$A$21:$F$21,1,$CH176),
IF(OR($T176="F",$T176="S"),INDEX(Premises!$A$22:$F$22,1,$CH176),0)))*100/INDEX(Premises!$A$16:$F$16,1,$CH176))</f>
        <v>0</v>
      </c>
      <c r="V176" s="631">
        <f t="shared" si="481"/>
        <v>0</v>
      </c>
      <c r="W176" s="410"/>
      <c r="X176" s="403"/>
      <c r="Y176" s="411"/>
      <c r="Z176" s="412"/>
      <c r="AA176" s="628">
        <f t="shared" si="482"/>
        <v>0</v>
      </c>
      <c r="AB176" s="410"/>
      <c r="AC176" s="403"/>
      <c r="AD176" s="411"/>
      <c r="AE176" s="413"/>
      <c r="AF176" s="628">
        <f t="shared" si="483"/>
        <v>0</v>
      </c>
      <c r="AG176" s="629" cm="1">
        <f t="array" ref="AG176">IF(($J176+$V176+$AF176)=0,0,INDEX(Premises!$A$30:$F$30,1,$CH176)/100)</f>
        <v>0</v>
      </c>
      <c r="AH176" s="414"/>
      <c r="AI176" s="415"/>
      <c r="AJ176" s="416"/>
      <c r="AK176" s="630">
        <f t="shared" si="484"/>
        <v>0</v>
      </c>
      <c r="AL176" s="631">
        <f t="shared" si="485"/>
        <v>0</v>
      </c>
      <c r="AM176" s="632" cm="1">
        <f t="array" ref="AM176">IF($CI176=0,0,IFERROR(INDEX(MHR[],$CI176,MATCH($CA176,MHR!$B$4:$AY$4,0)+11),0))</f>
        <v>0</v>
      </c>
      <c r="AN176" s="633" cm="1">
        <f t="array" ref="AN176">IF(($J176+$V176)=0,0,IFERROR(IF(INDEX(Premises!$A$41:$F$41,1,$CH176)&lt;&gt;0,INDEX(Premises!$A$41:$F$41,1,$CH176)/100,(IFERROR(($J176/$I176)*$AM176,0)/($V176+$J176+$R176+$AL176))),0))</f>
        <v>0</v>
      </c>
      <c r="AO176" s="634">
        <f t="shared" si="486"/>
        <v>0</v>
      </c>
      <c r="AP176" s="635">
        <f t="shared" si="487"/>
        <v>0</v>
      </c>
      <c r="AQ176" s="410"/>
      <c r="AR176" s="409"/>
      <c r="AS176" s="636" cm="1">
        <f t="array" ref="AS176">IF($CJ176=0,0,IFERROR(INDEX(MAT[Einheit],$CJ176,1),0))</f>
        <v>0</v>
      </c>
      <c r="AT176" s="637" cm="1">
        <f t="array" ref="AT176">IF($CJ176=0,0,IFERROR(INDEX(MAT[Preis],$CJ176,1),0))</f>
        <v>0</v>
      </c>
      <c r="AU176" s="638">
        <f t="shared" si="488"/>
        <v>0</v>
      </c>
      <c r="AV176" s="639" cm="1">
        <f t="array" ref="AV176">IF($AU176&lt;=0,0,INDEX(Premises!$A$30:$F$30,1,$CH176)/100)</f>
        <v>0</v>
      </c>
      <c r="AW176" s="409"/>
      <c r="AX176" s="631">
        <f t="shared" si="489"/>
        <v>0</v>
      </c>
      <c r="AY176" s="640" cm="1">
        <f t="array" ref="AY176">IF($AT176&lt;=0,0,IFERROR(IF(INDEX(Premises!$A$42:$F$42,1,$CH176)&lt;&gt;0,INDEX(Premises!$A$42:$F$42,1,$CH176)/100,(INDEX(MAT[],$CJ176,MATCH($CA176,MAT!$B$4:$AE$4,0))/($AR176*$CK176*INDEX(Premises!$A$13:$F$13,1,$CH176))+INDEX(MAT[],$CJ176,MATCH($CA176,MAT!$B$4:$AE$4,0)+7))/$AT176),0))</f>
        <v>0</v>
      </c>
      <c r="AZ176" s="631">
        <f t="shared" si="490"/>
        <v>0</v>
      </c>
      <c r="BA176" s="635">
        <f t="shared" si="491"/>
        <v>0</v>
      </c>
      <c r="BB176" s="635">
        <f t="shared" si="492"/>
        <v>0</v>
      </c>
      <c r="BC176" s="639" cm="1">
        <f t="array" ref="BC176">IF($BB176&lt;=0,0,IF(BC$2=-1,0,INDEX(Premises!$A$32:$F$32,1,$CH176)/100))</f>
        <v>0</v>
      </c>
      <c r="BD176" s="631">
        <f t="shared" si="493"/>
        <v>0</v>
      </c>
      <c r="BE176" s="639" cm="1">
        <f t="array" ref="BE176">IF($BB176&lt;=0,0,IF(BE$2=-1,0,INDEX(Premises!$A$33:$F$33,1,$CH176)/100))</f>
        <v>0</v>
      </c>
      <c r="BF176" s="631">
        <f t="shared" si="494"/>
        <v>0</v>
      </c>
      <c r="BG176" s="639" cm="1">
        <f t="array" ref="BG176">IF($BB176&lt;=0,0,IF(BG$2=-1,0,INDEX(Premises!$A$31:$F$31,1,$CH176)/100))</f>
        <v>0</v>
      </c>
      <c r="BH176" s="631">
        <f t="shared" si="495"/>
        <v>0</v>
      </c>
      <c r="BI176" s="635">
        <f t="shared" si="496"/>
        <v>0</v>
      </c>
      <c r="BJ176" s="639" cm="1">
        <f t="array" ref="BJ176">IF($BB176&lt;=0,0,IF(BJ$2=-1,0,INDEX(Premises!$A$35:$F$35,1,$CH176)/100))</f>
        <v>0</v>
      </c>
      <c r="BK176" s="631">
        <f t="shared" si="497"/>
        <v>0</v>
      </c>
      <c r="BL176" s="639" cm="1">
        <f t="array" ref="BL176">IF($BB176&lt;=0,0,IF(BL$2=-1,0,INDEX(Premises!$A$36:$F$36,1,$CH176)/100))</f>
        <v>0</v>
      </c>
      <c r="BM176" s="631">
        <f t="shared" si="498"/>
        <v>0</v>
      </c>
      <c r="BN176" s="639" cm="1">
        <f t="array" ref="BN176">IF($BB176&lt;=0,0,IF(BN$2=-1,0,INDEX(Premises!$A$34:$F$34,1,$CH176)/100))</f>
        <v>0</v>
      </c>
      <c r="BO176" s="631">
        <f t="shared" si="499"/>
        <v>0</v>
      </c>
      <c r="BP176" s="639" cm="1">
        <f t="array" ref="BP176">IF($BI176=0,0,INDEX(Premises!$A$37:$F$37,1,$CH176)/100)</f>
        <v>0</v>
      </c>
      <c r="BQ176" s="409"/>
      <c r="BR176" s="631">
        <f t="shared" si="500"/>
        <v>0</v>
      </c>
      <c r="BS176" s="641">
        <f t="shared" si="501"/>
        <v>0</v>
      </c>
      <c r="BT176" s="641">
        <f t="shared" si="502"/>
        <v>0</v>
      </c>
      <c r="BU176" s="642">
        <f t="shared" si="503"/>
        <v>0</v>
      </c>
      <c r="BV176" s="417"/>
      <c r="BW176" s="418"/>
      <c r="BX176" s="418"/>
      <c r="BY176" s="419"/>
      <c r="BZ176" s="968"/>
      <c r="CA176" s="280" cm="1">
        <f t="array" ref="CA176">IF($BZ176&gt;0,VALUE(LEFT($BZ176,IF(ISERROR(FIND("-",$BZ176)),LEN($BZ176),FIND("-",$BZ176)-1))),INDEX($CA$1:$CA176,MAX(1,$CD176)))</f>
        <v>1</v>
      </c>
      <c r="CB176" s="280" cm="1">
        <f t="array" ref="CB176">IF($BT176=0,0,IF(LEN($BZ176)-LEN(SUBSTITUTE($BZ176,"-",""))&gt;1,
VALUE(MID($BZ176,FIND("-",$BZ176)+1,FIND("-",$BZ176,FIND("-",$BZ176)+1)-FIND("-",$BZ176)-1)),IF($BZ176&gt;0,0,INDEX($CB$1:$CB176,MAX(1,$CD176)))))</f>
        <v>0</v>
      </c>
      <c r="CC176" s="280" cm="1">
        <f t="array" ref="CC176">IF($BT176=0,0,IF(NOT(ISERROR(FIND("-",BZ176))),
VALUE(RIGHT($BZ176,LEN($BZ176)-IF(LEN($BZ176)-LEN(SUBSTITUTE($BZ176,"-",""))=1,FIND("-",$BZ176),FIND("-",$BZ176,FIND("-",$BZ176)+1)))),
IF($BZ176&gt;0,0,INDEX($CC$1:$CC176,MAX(1,$CD176)))))</f>
        <v>0</v>
      </c>
      <c r="CD176" s="393">
        <f>MATCH(0,$CE$1:$CE176,-1)</f>
        <v>174</v>
      </c>
      <c r="CE176" s="280"/>
      <c r="CF176" s="394"/>
      <c r="CG176" s="393" cm="1">
        <f t="array" ref="CG176">INDEX($CG$1:$CG176,$CD176)</f>
        <v>22</v>
      </c>
      <c r="CH176" s="280">
        <f>MATCH($CA176,Premises!$A$10:$F$10,0)</f>
        <v>4</v>
      </c>
      <c r="CI176" s="280">
        <f>IF(ISBLANK($E176),0,IFERROR(MATCH($E176,MHR[Bezeichnung],0),0))</f>
        <v>0</v>
      </c>
      <c r="CJ176" s="394">
        <f>IF(ISBLANK($AQ176),0,IFERROR(MATCH($AQ176,MAT[Bezeichnung],0),0))</f>
        <v>0</v>
      </c>
      <c r="CK176" s="280" cm="1">
        <f t="array" ref="CK176">INDEX($D$1:$D176,$CD176)</f>
        <v>1</v>
      </c>
      <c r="CL176" s="280"/>
      <c r="CM176" s="395"/>
      <c r="CN176" s="396" cm="1">
        <f t="array" ref="CN176">IF($CB176=0,0,IF($CB176=INDEX($CB$1:$CB176,$CD176),INDEX($CN$1:$CN176,$CD176),$CP176))</f>
        <v>0</v>
      </c>
      <c r="CO176" s="395"/>
      <c r="CP176" s="396" cm="1">
        <f t="array" ref="CP176">IF($CC176=0,0,INDEX($CP$1:$CP176,$CD176))</f>
        <v>0</v>
      </c>
      <c r="CQ176" s="397"/>
      <c r="CR176" s="398"/>
      <c r="CS176" s="398"/>
      <c r="CT176" s="970"/>
      <c r="CU176" s="2"/>
      <c r="CV176" s="647">
        <f t="shared" si="504"/>
        <v>0</v>
      </c>
      <c r="CW176" s="648">
        <f t="shared" si="505"/>
        <v>0</v>
      </c>
      <c r="CX176" s="648">
        <f t="shared" si="506"/>
        <v>0</v>
      </c>
      <c r="CY176" s="648">
        <f t="shared" si="507"/>
        <v>0</v>
      </c>
      <c r="CZ176" s="648">
        <f t="shared" si="508"/>
        <v>0</v>
      </c>
      <c r="DA176" s="648">
        <f t="shared" si="509"/>
        <v>0</v>
      </c>
      <c r="DB176" s="648">
        <f t="shared" si="510"/>
        <v>0</v>
      </c>
      <c r="DC176" s="649">
        <f t="shared" si="511"/>
        <v>0</v>
      </c>
      <c r="DD176" s="648">
        <f t="shared" si="512"/>
        <v>0</v>
      </c>
      <c r="DE176" s="648">
        <f t="shared" si="513"/>
        <v>0</v>
      </c>
      <c r="DF176" s="648">
        <f t="shared" si="514"/>
        <v>0</v>
      </c>
      <c r="DG176" s="649">
        <f t="shared" si="515"/>
        <v>0</v>
      </c>
      <c r="DH176" s="649">
        <f t="shared" si="516"/>
        <v>0</v>
      </c>
      <c r="DI176" s="648">
        <f t="shared" si="517"/>
        <v>0</v>
      </c>
      <c r="DJ176" s="648">
        <f t="shared" si="518"/>
        <v>0</v>
      </c>
      <c r="DK176" s="648">
        <f t="shared" si="519"/>
        <v>0</v>
      </c>
      <c r="DL176" s="648">
        <f t="shared" si="520"/>
        <v>0</v>
      </c>
      <c r="DM176" s="648">
        <f t="shared" si="521"/>
        <v>0</v>
      </c>
      <c r="DN176" s="648">
        <f t="shared" si="522"/>
        <v>0</v>
      </c>
      <c r="DO176" s="648">
        <f t="shared" si="523"/>
        <v>0</v>
      </c>
      <c r="DP176" s="651">
        <f t="shared" si="524"/>
        <v>0</v>
      </c>
      <c r="DQ176" s="951">
        <f>IF($CB176=0,0,$DP176*_xlfn.XLOOKUP($CB176,Premises!$A$10:$F$10,Premises!$A$30:$F$30)/100)</f>
        <v>0</v>
      </c>
      <c r="DR176" s="650">
        <f>IFERROR(SUM($DP176:$DQ176)*IF(INDEX(Premises!$A$42:$F$42,1,MATCH($CB176,Premises!$A$10:$F$10,0))&gt;0,INDEX(Premises!$A$42:$F$42,1,MATCH($CB176,Premises!$A$10:$F$10,0))%,$CN176),0)</f>
        <v>0</v>
      </c>
      <c r="DS176" s="650" cm="1">
        <f t="array" ref="DS176">IF($CB176=0,0,SUM($DP176:$DR176)*_xlfn.XLOOKUP($CB176,Premises!$A$10:$F$10,IF(INDEX(Settings[],MATCH(3001,Settings[ID],0),2)="B",Premises!$A$33:$F$33,Premises!$A$31:$F$31))/100)</f>
        <v>0</v>
      </c>
      <c r="DT176" s="650" cm="1">
        <f t="array" ref="DT176">IF($CB176=0,0,$DP176*_xlfn.XLOOKUP($CB176,Premises!$A$10:$F$10,IF(INDEX(Settings[],MATCH(3002,Settings[ID],0),2)="B",Premises!$A$36:$F$36,Premises!$A$34:$F$34))/100)</f>
        <v>0</v>
      </c>
      <c r="DU176" s="650">
        <f>IF($CB176=0,0,SUM($DP176:$DT176)*_xlfn.XLOOKUP($CB176,Premises!$A$10:$F$10,Premises!$A$37:$F$37)/100)</f>
        <v>0</v>
      </c>
      <c r="DV176" s="954">
        <f t="shared" si="525"/>
        <v>0</v>
      </c>
      <c r="DW176" s="951">
        <f>IF($CC176=0,0,$DV176*_xlfn.XLOOKUP($CC176,Premises!$A$10:$F$10,Premises!$A$30:$F$30)/100)</f>
        <v>0</v>
      </c>
      <c r="DX176" s="650">
        <f>IFERROR(SUM($DV176:$DW176)*IF(INDEX(Premises!$A$42:$F$42,1,MATCH($CC176,Premises!$A$10:$F$10,0))&gt;0,INDEX(Premises!$A$42:$F$42,1,MATCH($CC176,Premises!$A$10:$F$10,0))%,$CP176),0)</f>
        <v>0</v>
      </c>
      <c r="DY176" s="650" cm="1">
        <f t="array" ref="DY176">IF($CC176=0,0,SUM($DV176:$DX176)*_xlfn.XLOOKUP($CC176,Premises!$A$10:$F$10,IF(INDEX(Settings[],MATCH(3001,Settings[ID],0),2)="B",Premises!$A$33:$F$33,Premises!$A$31:$F$31))/100)</f>
        <v>0</v>
      </c>
      <c r="DZ176" s="650" cm="1">
        <f t="array" ref="DZ176">IF($CC176=0,0,$DV176*_xlfn.XLOOKUP($CC176,Premises!$A$10:$F$10,IF(INDEX(Settings[],MATCH(3002,Settings[ID],0),2)="B",Premises!$A$36:$F$36,Premises!$A$34:$F$34))/100)</f>
        <v>0</v>
      </c>
      <c r="EA176" s="650">
        <f>IF($CC176=0,0,SUM($DV176:$DZ176)*_xlfn.XLOOKUP($CC176,Premises!$A$10:$F$10,Premises!$A$37:$F$37)/100)</f>
        <v>0</v>
      </c>
      <c r="EB176" s="651">
        <f t="shared" si="526"/>
        <v>0</v>
      </c>
      <c r="EC176" s="805"/>
      <c r="ED176" s="1104"/>
      <c r="EE176" s="650"/>
      <c r="EF176" s="1110"/>
      <c r="EG176" s="1108"/>
      <c r="EH176" s="1108"/>
      <c r="EI176" s="1108"/>
      <c r="EJ176" s="1108"/>
      <c r="EK176" s="1108"/>
      <c r="EL176" s="1108"/>
      <c r="EM176" s="1110"/>
      <c r="EN176" s="1108"/>
      <c r="EO176" s="1108"/>
      <c r="EP176" s="1108"/>
      <c r="EQ176" s="1108"/>
      <c r="ER176" s="1110"/>
      <c r="ES176" s="1108"/>
      <c r="ET176" s="1108"/>
      <c r="EU176" s="1108"/>
      <c r="EV176" s="1108"/>
      <c r="EW176" s="1108"/>
      <c r="EX176" s="1111"/>
      <c r="EY176" s="2"/>
      <c r="EZ176" s="2"/>
      <c r="FA176" s="2"/>
      <c r="FB176" s="2"/>
      <c r="FC176" s="2"/>
      <c r="FD176" s="2"/>
      <c r="FE176" s="2"/>
      <c r="FF176" s="2"/>
      <c r="FG176" s="2"/>
      <c r="FH176" s="2"/>
      <c r="FI176" s="2"/>
      <c r="FJ176" s="420"/>
      <c r="FK176" s="421"/>
      <c r="FL176" s="422"/>
      <c r="FM176" s="970"/>
    </row>
    <row r="177" spans="1:169" s="13" customFormat="1" ht="12.75" customHeight="1">
      <c r="A177" s="221"/>
      <c r="B177" s="1329" t="s">
        <v>4338</v>
      </c>
      <c r="C177" s="403" t="s">
        <v>4347</v>
      </c>
      <c r="D177" s="646"/>
      <c r="E177" s="404" t="s">
        <v>4345</v>
      </c>
      <c r="F177" s="405">
        <v>1</v>
      </c>
      <c r="G177" s="405" t="s">
        <v>93</v>
      </c>
      <c r="H177" s="405">
        <v>83</v>
      </c>
      <c r="I177" s="637" cm="1">
        <f t="array" ref="I177">IF($CI177=0,0,IFERROR(INDEX(MHR[],$CI177,MATCH($CA177,MHR!$B$4:$AY$4,0)),0))</f>
        <v>50.88640625</v>
      </c>
      <c r="J177" s="634">
        <f t="shared" si="527"/>
        <v>1.7030256442436415E-4</v>
      </c>
      <c r="K177" s="406" t="s">
        <v>49</v>
      </c>
      <c r="L177" s="407">
        <v>30</v>
      </c>
      <c r="M177" s="871">
        <v>2</v>
      </c>
      <c r="N177" s="407"/>
      <c r="O177" s="405"/>
      <c r="P177" s="645" cm="1">
        <f t="array" ref="P177">IF($K177=0,0,IFERROR(ROUNDUP(IF(ISNUMBER($K177),$K177,INDEX($D$1:$D177,$CD177)*INDEX(Premises!$A$13:$F$13,1,$CH177)/IF(OR($K177="T",$K177="D"),250,IF($K177="W",50,IF($K177="M",12,IF(OR($K177="HJ",$K177="HY"),2,IF(OR($K177="J",$K177="Y"),1,0)))))),0),0))</f>
        <v>3334</v>
      </c>
      <c r="Q177" s="637" cm="1">
        <f t="array" ref="Q177">IF($K177=0,0,IFERROR(INDEX(Premises!$A$22:$F$22,1,$CH177)*100/INDEX(Premises!$A$16:$F$16,1,$CH177),0))</f>
        <v>16.925000000000001</v>
      </c>
      <c r="R177" s="634">
        <f t="shared" si="480"/>
        <v>1.2707919353629275E-2</v>
      </c>
      <c r="S177" s="408">
        <v>1</v>
      </c>
      <c r="T177" s="409" t="s">
        <v>275</v>
      </c>
      <c r="U177" s="637" cm="1">
        <f t="array" ref="U177">IF(COUNTBLANK($S177:$T177),0,
IF(AND(INDEX(MHR[Schichtmodell],$CI177)&lt;&gt;0,INDEX(MHR[Schichtmodell],$CI177)&lt;&gt;INDEX(Premises!$A$20:$F$20,1,$CH177)),ExchangeRate*
IF(OR($T177="M",$T177="U"),IF(INDEX(MHR[Schichtmodell],$CI177)=1,INDEX(LOC[M1S],INDEX(Premises!$A$18:$F$18,1,$CH177+1)),IF(INDEX(MHR[Schichtmodell],$CI177)=2,INDEX(LOC[M2S],INDEX(Premises!$A$18:$F$18,1,$CH177+1),IF(INDEX(MHR[Schichtmodell],$CI177)=3,INDEX(LOC[M3S],INDEX(Premises!$A$18:$F$18,1,$CH177+1)),0)))),
IF(INDEX(MHR[Schichtmodell],$CI177)=1,INDEX(LOC[F1S],INDEX(Premises!$A$18:$F$18,1,$CH177+1)),IF(INDEX(MHR[Schichtmodell],$CI177)=2,INDEX(LOC[F2S],INDEX(Premises!$A$18:$F$18,1,$CH177+1)),IF(INDEX(MHR[Schichtmodell],$CI177)=3,INDEX(LOC[F3S],INDEX(Premises!$A$18:$F$18,1,$CH177+1)),0)))),
IF(OR($T177="M",$T177="U"),INDEX(Premises!$A$21:$F$21,1,$CH177),
IF(OR($T177="F",$T177="S"),INDEX(Premises!$A$22:$F$22,1,$CH177),0)))*100/INDEX(Premises!$A$16:$F$16,1,$CH177))</f>
        <v>12.037500000000001</v>
      </c>
      <c r="V177" s="631">
        <f t="shared" si="481"/>
        <v>4.0286144578313263E-5</v>
      </c>
      <c r="W177" s="410"/>
      <c r="X177" s="403"/>
      <c r="Y177" s="411"/>
      <c r="Z177" s="412"/>
      <c r="AA177" s="628">
        <f t="shared" si="482"/>
        <v>0</v>
      </c>
      <c r="AB177" s="410"/>
      <c r="AC177" s="403"/>
      <c r="AD177" s="411"/>
      <c r="AE177" s="413"/>
      <c r="AF177" s="628">
        <f t="shared" si="483"/>
        <v>0</v>
      </c>
      <c r="AG177" s="629" cm="1">
        <f t="array" ref="AG177">IF(($J177+$V177+$AF177)=0,0,INDEX(Premises!$A$30:$F$30,1,$CH177)/100)</f>
        <v>0.01</v>
      </c>
      <c r="AH177" s="414"/>
      <c r="AI177" s="415"/>
      <c r="AJ177" s="416"/>
      <c r="AK177" s="630">
        <f t="shared" si="484"/>
        <v>0</v>
      </c>
      <c r="AL177" s="631">
        <f t="shared" si="485"/>
        <v>2.1058870900267743E-6</v>
      </c>
      <c r="AM177" s="632" cm="1">
        <f t="array" ref="AM177">IF($CI177=0,0,IFERROR(INDEX(MHR[],$CI177,MATCH($CA177,MHR!$B$4:$AY$4,0)+11),0))</f>
        <v>4.2450010155189757</v>
      </c>
      <c r="AN177" s="633" cm="1">
        <f t="array" ref="AN177">IF(($J177+$V177)=0,0,IFERROR(IF(INDEX(Premises!$A$41:$F$41,1,$CH177)&lt;&gt;0,INDEX(Premises!$A$41:$F$41,1,$CH177)/100,(IFERROR(($J177/$I177)*$AM177,0)/($V177+$J177+$R177+$AL177))),0))</f>
        <v>1.0995476502260583E-3</v>
      </c>
      <c r="AO177" s="634">
        <f t="shared" si="486"/>
        <v>1.4206830707894832E-5</v>
      </c>
      <c r="AP177" s="635">
        <f t="shared" si="487"/>
        <v>1.2934820780429873E-2</v>
      </c>
      <c r="AQ177" s="410"/>
      <c r="AR177" s="409"/>
      <c r="AS177" s="636" cm="1">
        <f t="array" ref="AS177">IF($CJ177=0,0,IFERROR(INDEX(MAT[Einheit],$CJ177,1),0))</f>
        <v>0</v>
      </c>
      <c r="AT177" s="637" cm="1">
        <f t="array" ref="AT177">IF($CJ177=0,0,IFERROR(INDEX(MAT[Preis],$CJ177,1),0))</f>
        <v>0</v>
      </c>
      <c r="AU177" s="638">
        <f t="shared" si="488"/>
        <v>0</v>
      </c>
      <c r="AV177" s="639" cm="1">
        <f t="array" ref="AV177">IF($AU177&lt;=0,0,INDEX(Premises!$A$30:$F$30,1,$CH177)/100)</f>
        <v>0</v>
      </c>
      <c r="AW177" s="409"/>
      <c r="AX177" s="631">
        <f t="shared" si="489"/>
        <v>0</v>
      </c>
      <c r="AY177" s="640" cm="1">
        <f t="array" ref="AY177">IF($AT177&lt;=0,0,IFERROR(IF(INDEX(Premises!$A$42:$F$42,1,$CH177)&lt;&gt;0,INDEX(Premises!$A$42:$F$42,1,$CH177)/100,(INDEX(MAT[],$CJ177,MATCH($CA177,MAT!$B$4:$AE$4,0))/($AR177*$CK177*INDEX(Premises!$A$13:$F$13,1,$CH177))+INDEX(MAT[],$CJ177,MATCH($CA177,MAT!$B$4:$AE$4,0)+7))/$AT177),0))</f>
        <v>0</v>
      </c>
      <c r="AZ177" s="631">
        <f t="shared" si="490"/>
        <v>0</v>
      </c>
      <c r="BA177" s="635">
        <f t="shared" si="491"/>
        <v>0</v>
      </c>
      <c r="BB177" s="635">
        <f t="shared" si="492"/>
        <v>1.2934820780429873E-2</v>
      </c>
      <c r="BC177" s="639" cm="1">
        <f t="array" ref="BC177">IF($BB177&lt;=0,0,IF(BC$2=-1,0,INDEX(Premises!$A$32:$F$32,1,$CH177)/100))</f>
        <v>0</v>
      </c>
      <c r="BD177" s="631">
        <f t="shared" si="493"/>
        <v>0</v>
      </c>
      <c r="BE177" s="639" cm="1">
        <f t="array" ref="BE177">IF($BB177&lt;=0,0,IF(BE$2=-1,0,INDEX(Premises!$A$33:$F$33,1,$CH177)/100))</f>
        <v>0</v>
      </c>
      <c r="BF177" s="631">
        <f t="shared" si="494"/>
        <v>0</v>
      </c>
      <c r="BG177" s="639" cm="1">
        <f t="array" ref="BG177">IF($BB177&lt;=0,0,IF(BG$2=-1,0,INDEX(Premises!$A$31:$F$31,1,$CH177)/100))</f>
        <v>0.125</v>
      </c>
      <c r="BH177" s="631">
        <f t="shared" si="495"/>
        <v>1.6165893616674808E-3</v>
      </c>
      <c r="BI177" s="635">
        <f t="shared" si="496"/>
        <v>1.4551410142097354E-2</v>
      </c>
      <c r="BJ177" s="639" cm="1">
        <f t="array" ref="BJ177">IF($BB177&lt;=0,0,IF(BJ$2=-1,0,INDEX(Premises!$A$35:$F$35,1,$CH177)/100))</f>
        <v>0</v>
      </c>
      <c r="BK177" s="631">
        <f t="shared" si="497"/>
        <v>0</v>
      </c>
      <c r="BL177" s="639" cm="1">
        <f t="array" ref="BL177">IF($BB177&lt;=0,0,IF(BL$2=-1,0,INDEX(Premises!$A$36:$F$36,1,$CH177)/100))</f>
        <v>0</v>
      </c>
      <c r="BM177" s="631">
        <f t="shared" si="498"/>
        <v>0</v>
      </c>
      <c r="BN177" s="639" cm="1">
        <f t="array" ref="BN177">IF($BB177&lt;=0,0,IF(BN$2=-1,0,INDEX(Premises!$A$34:$F$34,1,$CH177)/100))</f>
        <v>0.06</v>
      </c>
      <c r="BO177" s="631">
        <f t="shared" si="499"/>
        <v>7.7596289360039078E-4</v>
      </c>
      <c r="BP177" s="639" cm="1">
        <f t="array" ref="BP177">IF($BI177=0,0,INDEX(Premises!$A$37:$F$37,1,$CH177)/100)</f>
        <v>0</v>
      </c>
      <c r="BQ177" s="409"/>
      <c r="BR177" s="631">
        <f t="shared" si="500"/>
        <v>0</v>
      </c>
      <c r="BS177" s="641">
        <f t="shared" si="501"/>
        <v>1.5327373035697745E-2</v>
      </c>
      <c r="BT177" s="641">
        <f t="shared" si="502"/>
        <v>1.5327373035697745E-2</v>
      </c>
      <c r="BU177" s="642">
        <f t="shared" si="503"/>
        <v>1</v>
      </c>
      <c r="BV177" s="417"/>
      <c r="BW177" s="418"/>
      <c r="BX177" s="418"/>
      <c r="BY177" s="419"/>
      <c r="BZ177" s="968"/>
      <c r="CA177" s="280" cm="1">
        <f t="array" ref="CA177">IF($BZ177&gt;0,VALUE(LEFT($BZ177,IF(ISERROR(FIND("-",$BZ177)),LEN($BZ177),FIND("-",$BZ177)-1))),INDEX($CA$1:$CA177,MAX(1,$CD177)))</f>
        <v>1</v>
      </c>
      <c r="CB177" s="280" cm="1">
        <f t="array" ref="CB177">IF($BT177=0,0,IF(LEN($BZ177)-LEN(SUBSTITUTE($BZ177,"-",""))&gt;1,
VALUE(MID($BZ177,FIND("-",$BZ177)+1,FIND("-",$BZ177,FIND("-",$BZ177)+1)-FIND("-",$BZ177)-1)),IF($BZ177&gt;0,0,INDEX($CB$1:$CB177,MAX(1,$CD177)))))</f>
        <v>0</v>
      </c>
      <c r="CC177" s="280" cm="1">
        <f t="array" ref="CC177">IF($BT177=0,0,IF(NOT(ISERROR(FIND("-",BZ177))),
VALUE(RIGHT($BZ177,LEN($BZ177)-IF(LEN($BZ177)-LEN(SUBSTITUTE($BZ177,"-",""))=1,FIND("-",$BZ177),FIND("-",$BZ177,FIND("-",$BZ177)+1)))),
IF($BZ177&gt;0,0,INDEX($CC$1:$CC177,MAX(1,$CD177)))))</f>
        <v>0</v>
      </c>
      <c r="CD177" s="393">
        <f>MATCH(0,$CE$1:$CE177,-1)</f>
        <v>174</v>
      </c>
      <c r="CE177" s="280"/>
      <c r="CF177" s="394"/>
      <c r="CG177" s="393" cm="1">
        <f t="array" ref="CG177">INDEX($CG$1:$CG177,$CD177)</f>
        <v>22</v>
      </c>
      <c r="CH177" s="280">
        <f>MATCH($CA177,Premises!$A$10:$F$10,0)</f>
        <v>4</v>
      </c>
      <c r="CI177" s="280">
        <f>IF(ISBLANK($E177),0,IFERROR(MATCH($E177,MHR[Bezeichnung],0),0))</f>
        <v>6</v>
      </c>
      <c r="CJ177" s="394">
        <f>IF(ISBLANK($AQ177),0,IFERROR(MATCH($AQ177,MAT[Bezeichnung],0),0))</f>
        <v>0</v>
      </c>
      <c r="CK177" s="280" cm="1">
        <f t="array" ref="CK177">INDEX($D$1:$D177,$CD177)</f>
        <v>1</v>
      </c>
      <c r="CL177" s="280"/>
      <c r="CM177" s="395"/>
      <c r="CN177" s="396" cm="1">
        <f t="array" ref="CN177">IF($CB177=0,0,IF($CB177=INDEX($CB$1:$CB177,$CD177),INDEX($CN$1:$CN177,$CD177),$CP177))</f>
        <v>0</v>
      </c>
      <c r="CO177" s="395"/>
      <c r="CP177" s="396" cm="1">
        <f t="array" ref="CP177">IF($CC177=0,0,INDEX($CP$1:$CP177,$CD177))</f>
        <v>0</v>
      </c>
      <c r="CQ177" s="397"/>
      <c r="CR177" s="398"/>
      <c r="CS177" s="398"/>
      <c r="CT177" s="970"/>
      <c r="CU177" s="2"/>
      <c r="CV177" s="647">
        <f t="shared" si="504"/>
        <v>1.7030256442436415E-4</v>
      </c>
      <c r="CW177" s="648">
        <f t="shared" si="505"/>
        <v>1.2707919353629275E-2</v>
      </c>
      <c r="CX177" s="648">
        <f t="shared" si="506"/>
        <v>4.0286144578313263E-5</v>
      </c>
      <c r="CY177" s="648">
        <f t="shared" si="507"/>
        <v>0</v>
      </c>
      <c r="CZ177" s="648">
        <f t="shared" si="508"/>
        <v>0</v>
      </c>
      <c r="DA177" s="648">
        <f t="shared" si="509"/>
        <v>2.1058870900267743E-6</v>
      </c>
      <c r="DB177" s="648">
        <f t="shared" si="510"/>
        <v>1.4206830707894832E-5</v>
      </c>
      <c r="DC177" s="649">
        <f t="shared" si="511"/>
        <v>1.2934820780429873E-2</v>
      </c>
      <c r="DD177" s="648">
        <f t="shared" si="512"/>
        <v>0</v>
      </c>
      <c r="DE177" s="648">
        <f t="shared" si="513"/>
        <v>0</v>
      </c>
      <c r="DF177" s="648">
        <f t="shared" si="514"/>
        <v>0</v>
      </c>
      <c r="DG177" s="649">
        <f t="shared" si="515"/>
        <v>0</v>
      </c>
      <c r="DH177" s="649">
        <f t="shared" si="516"/>
        <v>1.2934820780429873E-2</v>
      </c>
      <c r="DI177" s="648">
        <f t="shared" si="517"/>
        <v>0</v>
      </c>
      <c r="DJ177" s="648">
        <f t="shared" si="518"/>
        <v>0</v>
      </c>
      <c r="DK177" s="648">
        <f t="shared" si="519"/>
        <v>1.6165893616674808E-3</v>
      </c>
      <c r="DL177" s="648">
        <f t="shared" si="520"/>
        <v>0</v>
      </c>
      <c r="DM177" s="648">
        <f t="shared" si="521"/>
        <v>0</v>
      </c>
      <c r="DN177" s="648">
        <f t="shared" si="522"/>
        <v>7.7596289360039078E-4</v>
      </c>
      <c r="DO177" s="648">
        <f t="shared" si="523"/>
        <v>0</v>
      </c>
      <c r="DP177" s="651">
        <f t="shared" si="524"/>
        <v>1.5327373035697745E-2</v>
      </c>
      <c r="DQ177" s="951">
        <f>IF($CB177=0,0,$DP177*_xlfn.XLOOKUP($CB177,Premises!$A$10:$F$10,Premises!$A$30:$F$30)/100)</f>
        <v>0</v>
      </c>
      <c r="DR177" s="650">
        <f>IFERROR(SUM($DP177:$DQ177)*IF(INDEX(Premises!$A$42:$F$42,1,MATCH($CB177,Premises!$A$10:$F$10,0))&gt;0,INDEX(Premises!$A$42:$F$42,1,MATCH($CB177,Premises!$A$10:$F$10,0))%,$CN177),0)</f>
        <v>0</v>
      </c>
      <c r="DS177" s="650" cm="1">
        <f t="array" ref="DS177">IF($CB177=0,0,SUM($DP177:$DR177)*_xlfn.XLOOKUP($CB177,Premises!$A$10:$F$10,IF(INDEX(Settings[],MATCH(3001,Settings[ID],0),2)="B",Premises!$A$33:$F$33,Premises!$A$31:$F$31))/100)</f>
        <v>0</v>
      </c>
      <c r="DT177" s="650" cm="1">
        <f t="array" ref="DT177">IF($CB177=0,0,$DP177*_xlfn.XLOOKUP($CB177,Premises!$A$10:$F$10,IF(INDEX(Settings[],MATCH(3002,Settings[ID],0),2)="B",Premises!$A$36:$F$36,Premises!$A$34:$F$34))/100)</f>
        <v>0</v>
      </c>
      <c r="DU177" s="650">
        <f>IF($CB177=0,0,SUM($DP177:$DT177)*_xlfn.XLOOKUP($CB177,Premises!$A$10:$F$10,Premises!$A$37:$F$37)/100)</f>
        <v>0</v>
      </c>
      <c r="DV177" s="954">
        <f t="shared" si="525"/>
        <v>1.5327373035697745E-2</v>
      </c>
      <c r="DW177" s="951">
        <f>IF($CC177=0,0,$DV177*_xlfn.XLOOKUP($CC177,Premises!$A$10:$F$10,Premises!$A$30:$F$30)/100)</f>
        <v>0</v>
      </c>
      <c r="DX177" s="650">
        <f>IFERROR(SUM($DV177:$DW177)*IF(INDEX(Premises!$A$42:$F$42,1,MATCH($CC177,Premises!$A$10:$F$10,0))&gt;0,INDEX(Premises!$A$42:$F$42,1,MATCH($CC177,Premises!$A$10:$F$10,0))%,$CP177),0)</f>
        <v>0</v>
      </c>
      <c r="DY177" s="650" cm="1">
        <f t="array" ref="DY177">IF($CC177=0,0,SUM($DV177:$DX177)*_xlfn.XLOOKUP($CC177,Premises!$A$10:$F$10,IF(INDEX(Settings[],MATCH(3001,Settings[ID],0),2)="B",Premises!$A$33:$F$33,Premises!$A$31:$F$31))/100)</f>
        <v>0</v>
      </c>
      <c r="DZ177" s="650" cm="1">
        <f t="array" ref="DZ177">IF($CC177=0,0,$DV177*_xlfn.XLOOKUP($CC177,Premises!$A$10:$F$10,IF(INDEX(Settings[],MATCH(3002,Settings[ID],0),2)="B",Premises!$A$36:$F$36,Premises!$A$34:$F$34))/100)</f>
        <v>0</v>
      </c>
      <c r="EA177" s="650">
        <f>IF($CC177=0,0,SUM($DV177:$DZ177)*_xlfn.XLOOKUP($CC177,Premises!$A$10:$F$10,Premises!$A$37:$F$37)/100)</f>
        <v>0</v>
      </c>
      <c r="EB177" s="651">
        <f t="shared" si="526"/>
        <v>1.5327373035697745E-2</v>
      </c>
      <c r="EC177" s="805"/>
      <c r="ED177" s="1104"/>
      <c r="EE177" s="650"/>
      <c r="EF177" s="1110"/>
      <c r="EG177" s="1108"/>
      <c r="EH177" s="1108"/>
      <c r="EI177" s="1108"/>
      <c r="EJ177" s="1108"/>
      <c r="EK177" s="1108"/>
      <c r="EL177" s="1108"/>
      <c r="EM177" s="1110"/>
      <c r="EN177" s="1108"/>
      <c r="EO177" s="1108"/>
      <c r="EP177" s="1108"/>
      <c r="EQ177" s="1108"/>
      <c r="ER177" s="1110"/>
      <c r="ES177" s="1108"/>
      <c r="ET177" s="1108"/>
      <c r="EU177" s="1108"/>
      <c r="EV177" s="1108"/>
      <c r="EW177" s="1108"/>
      <c r="EX177" s="1111"/>
      <c r="EY177" s="2"/>
      <c r="EZ177" s="2"/>
      <c r="FA177" s="2"/>
      <c r="FB177" s="2"/>
      <c r="FC177" s="2"/>
      <c r="FD177" s="2"/>
      <c r="FE177" s="2"/>
      <c r="FF177" s="2"/>
      <c r="FG177" s="2"/>
      <c r="FH177" s="2"/>
      <c r="FI177" s="2"/>
      <c r="FJ177" s="420"/>
      <c r="FK177" s="421"/>
      <c r="FL177" s="422"/>
      <c r="FM177" s="970"/>
    </row>
    <row r="178" spans="1:169" s="13" customFormat="1" ht="12.75" customHeight="1">
      <c r="A178" s="221"/>
      <c r="B178" s="1329"/>
      <c r="C178" s="403"/>
      <c r="D178" s="646"/>
      <c r="E178" s="404"/>
      <c r="F178" s="405"/>
      <c r="G178" s="405"/>
      <c r="H178" s="405"/>
      <c r="I178" s="637" cm="1">
        <f t="array" ref="I178">IF($CI178=0,0,IFERROR(INDEX(MHR[],$CI178,MATCH($CA178,MHR!$B$4:$AY$4,0)),0))</f>
        <v>0</v>
      </c>
      <c r="J178" s="634">
        <f t="shared" si="527"/>
        <v>0</v>
      </c>
      <c r="K178" s="406"/>
      <c r="L178" s="407"/>
      <c r="M178" s="871"/>
      <c r="N178" s="407"/>
      <c r="O178" s="405"/>
      <c r="P178" s="645" cm="1">
        <f t="array" ref="P178">IF($K178=0,0,IFERROR(ROUNDUP(IF(ISNUMBER($K178),$K178,INDEX($D$1:$D178,$CD178)*INDEX(Premises!$A$13:$F$13,1,$CH178)/IF(OR($K178="T",$K178="D"),250,IF($K178="W",50,IF($K178="M",12,IF(OR($K178="HJ",$K178="HY"),2,IF(OR($K178="J",$K178="Y"),1,0)))))),0),0))</f>
        <v>0</v>
      </c>
      <c r="Q178" s="637" cm="1">
        <f t="array" ref="Q178">IF($K178=0,0,IFERROR(INDEX(Premises!$A$22:$F$22,1,$CH178)*100/INDEX(Premises!$A$16:$F$16,1,$CH178),0))</f>
        <v>0</v>
      </c>
      <c r="R178" s="634">
        <f t="shared" si="480"/>
        <v>0</v>
      </c>
      <c r="S178" s="408"/>
      <c r="T178" s="409"/>
      <c r="U178" s="637" cm="1">
        <f t="array" ref="U178">IF(COUNTBLANK($S178:$T178),0,
IF(AND(INDEX(MHR[Schichtmodell],$CI178)&lt;&gt;0,INDEX(MHR[Schichtmodell],$CI178)&lt;&gt;INDEX(Premises!$A$20:$F$20,1,$CH178)),ExchangeRate*
IF(OR($T178="M",$T178="U"),IF(INDEX(MHR[Schichtmodell],$CI178)=1,INDEX(LOC[M1S],INDEX(Premises!$A$18:$F$18,1,$CH178+1)),IF(INDEX(MHR[Schichtmodell],$CI178)=2,INDEX(LOC[M2S],INDEX(Premises!$A$18:$F$18,1,$CH178+1),IF(INDEX(MHR[Schichtmodell],$CI178)=3,INDEX(LOC[M3S],INDEX(Premises!$A$18:$F$18,1,$CH178+1)),0)))),
IF(INDEX(MHR[Schichtmodell],$CI178)=1,INDEX(LOC[F1S],INDEX(Premises!$A$18:$F$18,1,$CH178+1)),IF(INDEX(MHR[Schichtmodell],$CI178)=2,INDEX(LOC[F2S],INDEX(Premises!$A$18:$F$18,1,$CH178+1)),IF(INDEX(MHR[Schichtmodell],$CI178)=3,INDEX(LOC[F3S],INDEX(Premises!$A$18:$F$18,1,$CH178+1)),0)))),
IF(OR($T178="M",$T178="U"),INDEX(Premises!$A$21:$F$21,1,$CH178),
IF(OR($T178="F",$T178="S"),INDEX(Premises!$A$22:$F$22,1,$CH178),0)))*100/INDEX(Premises!$A$16:$F$16,1,$CH178))</f>
        <v>0</v>
      </c>
      <c r="V178" s="631">
        <f t="shared" si="481"/>
        <v>0</v>
      </c>
      <c r="W178" s="410"/>
      <c r="X178" s="403"/>
      <c r="Y178" s="411"/>
      <c r="Z178" s="412"/>
      <c r="AA178" s="628">
        <f t="shared" si="482"/>
        <v>0</v>
      </c>
      <c r="AB178" s="410"/>
      <c r="AC178" s="403"/>
      <c r="AD178" s="411"/>
      <c r="AE178" s="413"/>
      <c r="AF178" s="628">
        <f t="shared" si="483"/>
        <v>0</v>
      </c>
      <c r="AG178" s="629" cm="1">
        <f t="array" ref="AG178">IF(($J178+$V178+$AF178)=0,0,INDEX(Premises!$A$30:$F$30,1,$CH178)/100)</f>
        <v>0</v>
      </c>
      <c r="AH178" s="414"/>
      <c r="AI178" s="415"/>
      <c r="AJ178" s="416"/>
      <c r="AK178" s="630">
        <f t="shared" si="484"/>
        <v>0</v>
      </c>
      <c r="AL178" s="631">
        <f t="shared" si="485"/>
        <v>0</v>
      </c>
      <c r="AM178" s="632" cm="1">
        <f t="array" ref="AM178">IF($CI178=0,0,IFERROR(INDEX(MHR[],$CI178,MATCH($CA178,MHR!$B$4:$AY$4,0)+11),0))</f>
        <v>0</v>
      </c>
      <c r="AN178" s="633" cm="1">
        <f t="array" ref="AN178">IF(($J178+$V178)=0,0,IFERROR(IF(INDEX(Premises!$A$41:$F$41,1,$CH178)&lt;&gt;0,INDEX(Premises!$A$41:$F$41,1,$CH178)/100,(IFERROR(($J178/$I178)*$AM178,0)/($V178+$J178+$R178+$AL178))),0))</f>
        <v>0</v>
      </c>
      <c r="AO178" s="634">
        <f t="shared" si="486"/>
        <v>0</v>
      </c>
      <c r="AP178" s="635">
        <f t="shared" si="487"/>
        <v>0</v>
      </c>
      <c r="AQ178" s="410"/>
      <c r="AR178" s="409"/>
      <c r="AS178" s="636" cm="1">
        <f t="array" ref="AS178">IF($CJ178=0,0,IFERROR(INDEX(MAT[Einheit],$CJ178,1),0))</f>
        <v>0</v>
      </c>
      <c r="AT178" s="637" cm="1">
        <f t="array" ref="AT178">IF($CJ178=0,0,IFERROR(INDEX(MAT[Preis],$CJ178,1),0))</f>
        <v>0</v>
      </c>
      <c r="AU178" s="638">
        <f t="shared" si="488"/>
        <v>0</v>
      </c>
      <c r="AV178" s="639" cm="1">
        <f t="array" ref="AV178">IF($AU178&lt;=0,0,INDEX(Premises!$A$30:$F$30,1,$CH178)/100)</f>
        <v>0</v>
      </c>
      <c r="AW178" s="409"/>
      <c r="AX178" s="631">
        <f t="shared" si="489"/>
        <v>0</v>
      </c>
      <c r="AY178" s="640" cm="1">
        <f t="array" ref="AY178">IF($AT178&lt;=0,0,IFERROR(IF(INDEX(Premises!$A$42:$F$42,1,$CH178)&lt;&gt;0,INDEX(Premises!$A$42:$F$42,1,$CH178)/100,(INDEX(MAT[],$CJ178,MATCH($CA178,MAT!$B$4:$AE$4,0))/($AR178*$CK178*INDEX(Premises!$A$13:$F$13,1,$CH178))+INDEX(MAT[],$CJ178,MATCH($CA178,MAT!$B$4:$AE$4,0)+7))/$AT178),0))</f>
        <v>0</v>
      </c>
      <c r="AZ178" s="631">
        <f t="shared" si="490"/>
        <v>0</v>
      </c>
      <c r="BA178" s="635">
        <f t="shared" si="491"/>
        <v>0</v>
      </c>
      <c r="BB178" s="635">
        <f t="shared" si="492"/>
        <v>0</v>
      </c>
      <c r="BC178" s="639" cm="1">
        <f t="array" ref="BC178">IF($BB178&lt;=0,0,IF(BC$2=-1,0,INDEX(Premises!$A$32:$F$32,1,$CH178)/100))</f>
        <v>0</v>
      </c>
      <c r="BD178" s="631">
        <f t="shared" si="493"/>
        <v>0</v>
      </c>
      <c r="BE178" s="639" cm="1">
        <f t="array" ref="BE178">IF($BB178&lt;=0,0,IF(BE$2=-1,0,INDEX(Premises!$A$33:$F$33,1,$CH178)/100))</f>
        <v>0</v>
      </c>
      <c r="BF178" s="631">
        <f t="shared" si="494"/>
        <v>0</v>
      </c>
      <c r="BG178" s="639" cm="1">
        <f t="array" ref="BG178">IF($BB178&lt;=0,0,IF(BG$2=-1,0,INDEX(Premises!$A$31:$F$31,1,$CH178)/100))</f>
        <v>0</v>
      </c>
      <c r="BH178" s="631">
        <f t="shared" si="495"/>
        <v>0</v>
      </c>
      <c r="BI178" s="635">
        <f t="shared" si="496"/>
        <v>0</v>
      </c>
      <c r="BJ178" s="639" cm="1">
        <f t="array" ref="BJ178">IF($BB178&lt;=0,0,IF(BJ$2=-1,0,INDEX(Premises!$A$35:$F$35,1,$CH178)/100))</f>
        <v>0</v>
      </c>
      <c r="BK178" s="631">
        <f t="shared" si="497"/>
        <v>0</v>
      </c>
      <c r="BL178" s="639" cm="1">
        <f t="array" ref="BL178">IF($BB178&lt;=0,0,IF(BL$2=-1,0,INDEX(Premises!$A$36:$F$36,1,$CH178)/100))</f>
        <v>0</v>
      </c>
      <c r="BM178" s="631">
        <f t="shared" si="498"/>
        <v>0</v>
      </c>
      <c r="BN178" s="639" cm="1">
        <f t="array" ref="BN178">IF($BB178&lt;=0,0,IF(BN$2=-1,0,INDEX(Premises!$A$34:$F$34,1,$CH178)/100))</f>
        <v>0</v>
      </c>
      <c r="BO178" s="631">
        <f t="shared" si="499"/>
        <v>0</v>
      </c>
      <c r="BP178" s="639" cm="1">
        <f t="array" ref="BP178">IF($BI178=0,0,INDEX(Premises!$A$37:$F$37,1,$CH178)/100)</f>
        <v>0</v>
      </c>
      <c r="BQ178" s="409"/>
      <c r="BR178" s="631">
        <f t="shared" si="500"/>
        <v>0</v>
      </c>
      <c r="BS178" s="641">
        <f t="shared" si="501"/>
        <v>0</v>
      </c>
      <c r="BT178" s="641">
        <f t="shared" si="502"/>
        <v>0</v>
      </c>
      <c r="BU178" s="642">
        <f t="shared" si="503"/>
        <v>0</v>
      </c>
      <c r="BV178" s="1147"/>
      <c r="BW178" s="418"/>
      <c r="BX178" s="418"/>
      <c r="BY178" s="419"/>
      <c r="BZ178" s="968"/>
      <c r="CA178" s="280" cm="1">
        <f t="array" ref="CA178">IF($BZ178&gt;0,VALUE(LEFT($BZ178,IF(ISERROR(FIND("-",$BZ178)),LEN($BZ178),FIND("-",$BZ178)-1))),INDEX($CA$1:$CA178,MAX(1,$CD178)))</f>
        <v>1</v>
      </c>
      <c r="CB178" s="280" cm="1">
        <f t="array" ref="CB178">IF($BT178=0,0,IF(LEN($BZ178)-LEN(SUBSTITUTE($BZ178,"-",""))&gt;1,
VALUE(MID($BZ178,FIND("-",$BZ178)+1,FIND("-",$BZ178,FIND("-",$BZ178)+1)-FIND("-",$BZ178)-1)),IF($BZ178&gt;0,0,INDEX($CB$1:$CB178,MAX(1,$CD178)))))</f>
        <v>0</v>
      </c>
      <c r="CC178" s="280" cm="1">
        <f t="array" ref="CC178">IF($BT178=0,0,IF(NOT(ISERROR(FIND("-",BZ178))),
VALUE(RIGHT($BZ178,LEN($BZ178)-IF(LEN($BZ178)-LEN(SUBSTITUTE($BZ178,"-",""))=1,FIND("-",$BZ178),FIND("-",$BZ178,FIND("-",$BZ178)+1)))),
IF($BZ178&gt;0,0,INDEX($CC$1:$CC178,MAX(1,$CD178)))))</f>
        <v>0</v>
      </c>
      <c r="CD178" s="393">
        <f>MATCH(0,$CE$1:$CE178,-1)</f>
        <v>174</v>
      </c>
      <c r="CE178" s="280"/>
      <c r="CF178" s="394"/>
      <c r="CG178" s="393" cm="1">
        <f t="array" ref="CG178">INDEX($CG$1:$CG178,$CD178)</f>
        <v>22</v>
      </c>
      <c r="CH178" s="280">
        <f>MATCH($CA178,Premises!$A$10:$F$10,0)</f>
        <v>4</v>
      </c>
      <c r="CI178" s="280">
        <f>IF(ISBLANK($E178),0,IFERROR(MATCH($E178,MHR[Bezeichnung],0),0))</f>
        <v>0</v>
      </c>
      <c r="CJ178" s="394">
        <f>IF(ISBLANK($AQ178),0,IFERROR(MATCH($AQ178,MAT[Bezeichnung],0),0))</f>
        <v>0</v>
      </c>
      <c r="CK178" s="280" cm="1">
        <f t="array" ref="CK178">INDEX($D$1:$D178,$CD178)</f>
        <v>1</v>
      </c>
      <c r="CL178" s="280"/>
      <c r="CM178" s="395"/>
      <c r="CN178" s="396" cm="1">
        <f t="array" ref="CN178">IF($CB178=0,0,IF($CB178=INDEX($CB$1:$CB178,$CD178),INDEX($CN$1:$CN178,$CD178),$CP178))</f>
        <v>0</v>
      </c>
      <c r="CO178" s="395"/>
      <c r="CP178" s="396" cm="1">
        <f t="array" ref="CP178">IF($CC178=0,0,INDEX($CP$1:$CP178,$CD178))</f>
        <v>0</v>
      </c>
      <c r="CQ178" s="397"/>
      <c r="CR178" s="398"/>
      <c r="CS178" s="398"/>
      <c r="CT178" s="1152"/>
      <c r="CU178" s="1149"/>
      <c r="CV178" s="647">
        <f t="shared" si="504"/>
        <v>0</v>
      </c>
      <c r="CW178" s="648">
        <f t="shared" si="505"/>
        <v>0</v>
      </c>
      <c r="CX178" s="648">
        <f t="shared" si="506"/>
        <v>0</v>
      </c>
      <c r="CY178" s="648">
        <f t="shared" si="507"/>
        <v>0</v>
      </c>
      <c r="CZ178" s="648">
        <f t="shared" si="508"/>
        <v>0</v>
      </c>
      <c r="DA178" s="648">
        <f t="shared" si="509"/>
        <v>0</v>
      </c>
      <c r="DB178" s="648">
        <f t="shared" si="510"/>
        <v>0</v>
      </c>
      <c r="DC178" s="649">
        <f t="shared" si="511"/>
        <v>0</v>
      </c>
      <c r="DD178" s="648">
        <f t="shared" si="512"/>
        <v>0</v>
      </c>
      <c r="DE178" s="648">
        <f t="shared" si="513"/>
        <v>0</v>
      </c>
      <c r="DF178" s="648">
        <f t="shared" si="514"/>
        <v>0</v>
      </c>
      <c r="DG178" s="649">
        <f t="shared" si="515"/>
        <v>0</v>
      </c>
      <c r="DH178" s="649">
        <f t="shared" si="516"/>
        <v>0</v>
      </c>
      <c r="DI178" s="648">
        <f t="shared" si="517"/>
        <v>0</v>
      </c>
      <c r="DJ178" s="648">
        <f t="shared" si="518"/>
        <v>0</v>
      </c>
      <c r="DK178" s="648">
        <f t="shared" si="519"/>
        <v>0</v>
      </c>
      <c r="DL178" s="648">
        <f t="shared" si="520"/>
        <v>0</v>
      </c>
      <c r="DM178" s="648">
        <f t="shared" si="521"/>
        <v>0</v>
      </c>
      <c r="DN178" s="648">
        <f t="shared" si="522"/>
        <v>0</v>
      </c>
      <c r="DO178" s="648">
        <f t="shared" si="523"/>
        <v>0</v>
      </c>
      <c r="DP178" s="651">
        <f t="shared" si="524"/>
        <v>0</v>
      </c>
      <c r="DQ178" s="951">
        <f>IF($CB178=0,0,$DP178*_xlfn.XLOOKUP($CB178,Premises!$A$10:$F$10,Premises!$A$30:$F$30)/100)</f>
        <v>0</v>
      </c>
      <c r="DR178" s="650">
        <f>IFERROR(SUM($DP178:$DQ178)*IF(INDEX(Premises!$A$42:$F$42,1,MATCH($CB178,Premises!$A$10:$F$10,0))&gt;0,INDEX(Premises!$A$42:$F$42,1,MATCH($CB178,Premises!$A$10:$F$10,0))%,$CN178),0)</f>
        <v>0</v>
      </c>
      <c r="DS178" s="650" cm="1">
        <f t="array" ref="DS178">IF($CB178=0,0,SUM($DP178:$DR178)*_xlfn.XLOOKUP($CB178,Premises!$A$10:$F$10,IF(INDEX(Settings[],MATCH(3001,Settings[ID],0),2)="B",Premises!$A$33:$F$33,Premises!$A$31:$F$31))/100)</f>
        <v>0</v>
      </c>
      <c r="DT178" s="650" cm="1">
        <f t="array" ref="DT178">IF($CB178=0,0,$DP178*_xlfn.XLOOKUP($CB178,Premises!$A$10:$F$10,IF(INDEX(Settings[],MATCH(3002,Settings[ID],0),2)="B",Premises!$A$36:$F$36,Premises!$A$34:$F$34))/100)</f>
        <v>0</v>
      </c>
      <c r="DU178" s="650">
        <f>IF($CB178=0,0,SUM($DP178:$DT178)*_xlfn.XLOOKUP($CB178,Premises!$A$10:$F$10,Premises!$A$37:$F$37)/100)</f>
        <v>0</v>
      </c>
      <c r="DV178" s="954">
        <f t="shared" si="525"/>
        <v>0</v>
      </c>
      <c r="DW178" s="951">
        <f>IF($CC178=0,0,$DV178*_xlfn.XLOOKUP($CC178,Premises!$A$10:$F$10,Premises!$A$30:$F$30)/100)</f>
        <v>0</v>
      </c>
      <c r="DX178" s="650">
        <f>IFERROR(SUM($DV178:$DW178)*IF(INDEX(Premises!$A$42:$F$42,1,MATCH($CC178,Premises!$A$10:$F$10,0))&gt;0,INDEX(Premises!$A$42:$F$42,1,MATCH($CC178,Premises!$A$10:$F$10,0))%,$CP178),0)</f>
        <v>0</v>
      </c>
      <c r="DY178" s="650" cm="1">
        <f t="array" ref="DY178">IF($CC178=0,0,SUM($DV178:$DX178)*_xlfn.XLOOKUP($CC178,Premises!$A$10:$F$10,IF(INDEX(Settings[],MATCH(3001,Settings[ID],0),2)="B",Premises!$A$33:$F$33,Premises!$A$31:$F$31))/100)</f>
        <v>0</v>
      </c>
      <c r="DZ178" s="650" cm="1">
        <f t="array" ref="DZ178">IF($CC178=0,0,$DV178*_xlfn.XLOOKUP($CC178,Premises!$A$10:$F$10,IF(INDEX(Settings[],MATCH(3002,Settings[ID],0),2)="B",Premises!$A$36:$F$36,Premises!$A$34:$F$34))/100)</f>
        <v>0</v>
      </c>
      <c r="EA178" s="650">
        <f>IF($CC178=0,0,SUM($DV178:$DZ178)*_xlfn.XLOOKUP($CC178,Premises!$A$10:$F$10,Premises!$A$37:$F$37)/100)</f>
        <v>0</v>
      </c>
      <c r="EB178" s="651">
        <f t="shared" si="526"/>
        <v>0</v>
      </c>
      <c r="EC178" s="805"/>
      <c r="ED178" s="1104"/>
      <c r="EE178" s="650"/>
      <c r="EF178" s="1110"/>
      <c r="EG178" s="1108"/>
      <c r="EH178" s="1108"/>
      <c r="EI178" s="1108"/>
      <c r="EJ178" s="1108"/>
      <c r="EK178" s="1108"/>
      <c r="EL178" s="1108"/>
      <c r="EM178" s="1110"/>
      <c r="EN178" s="1108"/>
      <c r="EO178" s="1108"/>
      <c r="EP178" s="1108"/>
      <c r="EQ178" s="1108"/>
      <c r="ER178" s="1110"/>
      <c r="ES178" s="1108"/>
      <c r="ET178" s="1108"/>
      <c r="EU178" s="1108"/>
      <c r="EV178" s="1108"/>
      <c r="EW178" s="1108"/>
      <c r="EX178" s="1111"/>
      <c r="EY178" s="2"/>
      <c r="EZ178" s="2"/>
      <c r="FA178" s="2"/>
      <c r="FB178" s="2"/>
      <c r="FC178" s="2"/>
      <c r="FD178" s="2"/>
      <c r="FE178" s="2"/>
      <c r="FF178" s="2"/>
      <c r="FG178" s="2"/>
      <c r="FH178" s="2"/>
      <c r="FI178" s="2"/>
      <c r="FJ178" s="420"/>
      <c r="FK178" s="421"/>
      <c r="FL178" s="422"/>
      <c r="FM178" s="1153"/>
    </row>
    <row r="179" spans="1:169" s="13" customFormat="1" ht="12.75" customHeight="1">
      <c r="A179" s="221"/>
      <c r="B179" s="1329" t="s">
        <v>4339</v>
      </c>
      <c r="C179" s="403" t="s">
        <v>4347</v>
      </c>
      <c r="D179" s="646"/>
      <c r="E179" s="404" t="s">
        <v>4345</v>
      </c>
      <c r="F179" s="405">
        <v>1</v>
      </c>
      <c r="G179" s="405" t="s">
        <v>93</v>
      </c>
      <c r="H179" s="405">
        <v>83</v>
      </c>
      <c r="I179" s="637" cm="1">
        <f t="array" ref="I179">IF($CI179=0,0,IFERROR(INDEX(MHR[],$CI179,MATCH($CA179,MHR!$B$4:$AY$4,0)),0))</f>
        <v>50.88640625</v>
      </c>
      <c r="J179" s="634">
        <f t="shared" si="527"/>
        <v>1.7030256442436415E-4</v>
      </c>
      <c r="K179" s="406" t="s">
        <v>49</v>
      </c>
      <c r="L179" s="407">
        <v>30</v>
      </c>
      <c r="M179" s="871">
        <v>2</v>
      </c>
      <c r="N179" s="407"/>
      <c r="O179" s="405"/>
      <c r="P179" s="645" cm="1">
        <f t="array" ref="P179">IF($K179=0,0,IFERROR(ROUNDUP(IF(ISNUMBER($K179),$K179,INDEX($D$1:$D179,$CD179)*INDEX(Premises!$A$13:$F$13,1,$CH179)/IF(OR($K179="T",$K179="D"),250,IF($K179="W",50,IF($K179="M",12,IF(OR($K179="HJ",$K179="HY"),2,IF(OR($K179="J",$K179="Y"),1,0)))))),0),0))</f>
        <v>3334</v>
      </c>
      <c r="Q179" s="637" cm="1">
        <f t="array" ref="Q179">IF($K179=0,0,IFERROR(INDEX(Premises!$A$22:$F$22,1,$CH179)*100/INDEX(Premises!$A$16:$F$16,1,$CH179),0))</f>
        <v>16.925000000000001</v>
      </c>
      <c r="R179" s="634">
        <f t="shared" si="480"/>
        <v>1.2707919353629275E-2</v>
      </c>
      <c r="S179" s="408">
        <v>1</v>
      </c>
      <c r="T179" s="409" t="s">
        <v>275</v>
      </c>
      <c r="U179" s="637" cm="1">
        <f t="array" ref="U179">IF(COUNTBLANK($S179:$T179),0,
IF(AND(INDEX(MHR[Schichtmodell],$CI179)&lt;&gt;0,INDEX(MHR[Schichtmodell],$CI179)&lt;&gt;INDEX(Premises!$A$20:$F$20,1,$CH179)),ExchangeRate*
IF(OR($T179="M",$T179="U"),IF(INDEX(MHR[Schichtmodell],$CI179)=1,INDEX(LOC[M1S],INDEX(Premises!$A$18:$F$18,1,$CH179+1)),IF(INDEX(MHR[Schichtmodell],$CI179)=2,INDEX(LOC[M2S],INDEX(Premises!$A$18:$F$18,1,$CH179+1),IF(INDEX(MHR[Schichtmodell],$CI179)=3,INDEX(LOC[M3S],INDEX(Premises!$A$18:$F$18,1,$CH179+1)),0)))),
IF(INDEX(MHR[Schichtmodell],$CI179)=1,INDEX(LOC[F1S],INDEX(Premises!$A$18:$F$18,1,$CH179+1)),IF(INDEX(MHR[Schichtmodell],$CI179)=2,INDEX(LOC[F2S],INDEX(Premises!$A$18:$F$18,1,$CH179+1)),IF(INDEX(MHR[Schichtmodell],$CI179)=3,INDEX(LOC[F3S],INDEX(Premises!$A$18:$F$18,1,$CH179+1)),0)))),
IF(OR($T179="M",$T179="U"),INDEX(Premises!$A$21:$F$21,1,$CH179),
IF(OR($T179="F",$T179="S"),INDEX(Premises!$A$22:$F$22,1,$CH179),0)))*100/INDEX(Premises!$A$16:$F$16,1,$CH179))</f>
        <v>12.037500000000001</v>
      </c>
      <c r="V179" s="631">
        <f t="shared" si="481"/>
        <v>4.0286144578313263E-5</v>
      </c>
      <c r="W179" s="410"/>
      <c r="X179" s="403"/>
      <c r="Y179" s="411"/>
      <c r="Z179" s="412"/>
      <c r="AA179" s="628">
        <f t="shared" si="482"/>
        <v>0</v>
      </c>
      <c r="AB179" s="410"/>
      <c r="AC179" s="403"/>
      <c r="AD179" s="411"/>
      <c r="AE179" s="413"/>
      <c r="AF179" s="628">
        <f t="shared" si="483"/>
        <v>0</v>
      </c>
      <c r="AG179" s="629" cm="1">
        <f t="array" ref="AG179">IF(($J179+$V179+$AF179)=0,0,INDEX(Premises!$A$30:$F$30,1,$CH179)/100)</f>
        <v>0.01</v>
      </c>
      <c r="AH179" s="414"/>
      <c r="AI179" s="415"/>
      <c r="AJ179" s="416"/>
      <c r="AK179" s="630">
        <f t="shared" si="484"/>
        <v>0</v>
      </c>
      <c r="AL179" s="631">
        <f t="shared" si="485"/>
        <v>2.1058870900267743E-6</v>
      </c>
      <c r="AM179" s="632" cm="1">
        <f t="array" ref="AM179">IF($CI179=0,0,IFERROR(INDEX(MHR[],$CI179,MATCH($CA179,MHR!$B$4:$AY$4,0)+11),0))</f>
        <v>4.2450010155189757</v>
      </c>
      <c r="AN179" s="633" cm="1">
        <f t="array" ref="AN179">IF(($J179+$V179)=0,0,IFERROR(IF(INDEX(Premises!$A$41:$F$41,1,$CH179)&lt;&gt;0,INDEX(Premises!$A$41:$F$41,1,$CH179)/100,(IFERROR(($J179/$I179)*$AM179,0)/($V179+$J179+$R179+$AL179))),0))</f>
        <v>1.0995476502260583E-3</v>
      </c>
      <c r="AO179" s="634">
        <f t="shared" si="486"/>
        <v>1.4206830707894832E-5</v>
      </c>
      <c r="AP179" s="635">
        <f t="shared" si="487"/>
        <v>1.2934820780429873E-2</v>
      </c>
      <c r="AQ179" s="410"/>
      <c r="AR179" s="409"/>
      <c r="AS179" s="636" cm="1">
        <f t="array" ref="AS179">IF($CJ179=0,0,IFERROR(INDEX(MAT[Einheit],$CJ179,1),0))</f>
        <v>0</v>
      </c>
      <c r="AT179" s="637" cm="1">
        <f t="array" ref="AT179">IF($CJ179=0,0,IFERROR(INDEX(MAT[Preis],$CJ179,1),0))</f>
        <v>0</v>
      </c>
      <c r="AU179" s="638">
        <f t="shared" si="488"/>
        <v>0</v>
      </c>
      <c r="AV179" s="639" cm="1">
        <f t="array" ref="AV179">IF($AU179&lt;=0,0,INDEX(Premises!$A$30:$F$30,1,$CH179)/100)</f>
        <v>0</v>
      </c>
      <c r="AW179" s="409"/>
      <c r="AX179" s="631">
        <f t="shared" si="489"/>
        <v>0</v>
      </c>
      <c r="AY179" s="640" cm="1">
        <f t="array" ref="AY179">IF($AT179&lt;=0,0,IFERROR(IF(INDEX(Premises!$A$42:$F$42,1,$CH179)&lt;&gt;0,INDEX(Premises!$A$42:$F$42,1,$CH179)/100,(INDEX(MAT[],$CJ179,MATCH($CA179,MAT!$B$4:$AE$4,0))/($AR179*$CK179*INDEX(Premises!$A$13:$F$13,1,$CH179))+INDEX(MAT[],$CJ179,MATCH($CA179,MAT!$B$4:$AE$4,0)+7))/$AT179),0))</f>
        <v>0</v>
      </c>
      <c r="AZ179" s="631">
        <f t="shared" si="490"/>
        <v>0</v>
      </c>
      <c r="BA179" s="635">
        <f t="shared" si="491"/>
        <v>0</v>
      </c>
      <c r="BB179" s="635">
        <f t="shared" si="492"/>
        <v>1.2934820780429873E-2</v>
      </c>
      <c r="BC179" s="639" cm="1">
        <f t="array" ref="BC179">IF($BB179&lt;=0,0,IF(BC$2=-1,0,INDEX(Premises!$A$32:$F$32,1,$CH179)/100))</f>
        <v>0</v>
      </c>
      <c r="BD179" s="631">
        <f t="shared" si="493"/>
        <v>0</v>
      </c>
      <c r="BE179" s="639" cm="1">
        <f t="array" ref="BE179">IF($BB179&lt;=0,0,IF(BE$2=-1,0,INDEX(Premises!$A$33:$F$33,1,$CH179)/100))</f>
        <v>0</v>
      </c>
      <c r="BF179" s="631">
        <f t="shared" si="494"/>
        <v>0</v>
      </c>
      <c r="BG179" s="639" cm="1">
        <f t="array" ref="BG179">IF($BB179&lt;=0,0,IF(BG$2=-1,0,INDEX(Premises!$A$31:$F$31,1,$CH179)/100))</f>
        <v>0.125</v>
      </c>
      <c r="BH179" s="631">
        <f t="shared" si="495"/>
        <v>1.6165893616674808E-3</v>
      </c>
      <c r="BI179" s="635">
        <f t="shared" si="496"/>
        <v>1.4551410142097354E-2</v>
      </c>
      <c r="BJ179" s="639" cm="1">
        <f t="array" ref="BJ179">IF($BB179&lt;=0,0,IF(BJ$2=-1,0,INDEX(Premises!$A$35:$F$35,1,$CH179)/100))</f>
        <v>0</v>
      </c>
      <c r="BK179" s="631">
        <f t="shared" si="497"/>
        <v>0</v>
      </c>
      <c r="BL179" s="639" cm="1">
        <f t="array" ref="BL179">IF($BB179&lt;=0,0,IF(BL$2=-1,0,INDEX(Premises!$A$36:$F$36,1,$CH179)/100))</f>
        <v>0</v>
      </c>
      <c r="BM179" s="631">
        <f t="shared" si="498"/>
        <v>0</v>
      </c>
      <c r="BN179" s="639" cm="1">
        <f t="array" ref="BN179">IF($BB179&lt;=0,0,IF(BN$2=-1,0,INDEX(Premises!$A$34:$F$34,1,$CH179)/100))</f>
        <v>0.06</v>
      </c>
      <c r="BO179" s="631">
        <f t="shared" si="499"/>
        <v>7.7596289360039078E-4</v>
      </c>
      <c r="BP179" s="639" cm="1">
        <f t="array" ref="BP179">IF($BI179=0,0,INDEX(Premises!$A$37:$F$37,1,$CH179)/100)</f>
        <v>0</v>
      </c>
      <c r="BQ179" s="409"/>
      <c r="BR179" s="631">
        <f t="shared" si="500"/>
        <v>0</v>
      </c>
      <c r="BS179" s="641">
        <f t="shared" si="501"/>
        <v>1.5327373035697745E-2</v>
      </c>
      <c r="BT179" s="641">
        <f t="shared" si="502"/>
        <v>1.5327373035697745E-2</v>
      </c>
      <c r="BU179" s="642">
        <f t="shared" si="503"/>
        <v>1</v>
      </c>
      <c r="BV179" s="1147"/>
      <c r="BW179" s="418"/>
      <c r="BX179" s="418"/>
      <c r="BY179" s="419"/>
      <c r="BZ179" s="968"/>
      <c r="CA179" s="280" cm="1">
        <f t="array" ref="CA179">IF($BZ179&gt;0,VALUE(LEFT($BZ179,IF(ISERROR(FIND("-",$BZ179)),LEN($BZ179),FIND("-",$BZ179)-1))),INDEX($CA$1:$CA179,MAX(1,$CD179)))</f>
        <v>1</v>
      </c>
      <c r="CB179" s="280" cm="1">
        <f t="array" ref="CB179">IF($BT179=0,0,IF(LEN($BZ179)-LEN(SUBSTITUTE($BZ179,"-",""))&gt;1,
VALUE(MID($BZ179,FIND("-",$BZ179)+1,FIND("-",$BZ179,FIND("-",$BZ179)+1)-FIND("-",$BZ179)-1)),IF($BZ179&gt;0,0,INDEX($CB$1:$CB179,MAX(1,$CD179)))))</f>
        <v>0</v>
      </c>
      <c r="CC179" s="280" cm="1">
        <f t="array" ref="CC179">IF($BT179=0,0,IF(NOT(ISERROR(FIND("-",BZ179))),
VALUE(RIGHT($BZ179,LEN($BZ179)-IF(LEN($BZ179)-LEN(SUBSTITUTE($BZ179,"-",""))=1,FIND("-",$BZ179),FIND("-",$BZ179,FIND("-",$BZ179)+1)))),
IF($BZ179&gt;0,0,INDEX($CC$1:$CC179,MAX(1,$CD179)))))</f>
        <v>0</v>
      </c>
      <c r="CD179" s="393">
        <f>MATCH(0,$CE$1:$CE179,-1)</f>
        <v>174</v>
      </c>
      <c r="CE179" s="280"/>
      <c r="CF179" s="394"/>
      <c r="CG179" s="393" cm="1">
        <f t="array" ref="CG179">INDEX($CG$1:$CG179,$CD179)</f>
        <v>22</v>
      </c>
      <c r="CH179" s="280">
        <f>MATCH($CA179,Premises!$A$10:$F$10,0)</f>
        <v>4</v>
      </c>
      <c r="CI179" s="280">
        <f>IF(ISBLANK($E179),0,IFERROR(MATCH($E179,MHR[Bezeichnung],0),0))</f>
        <v>6</v>
      </c>
      <c r="CJ179" s="394">
        <f>IF(ISBLANK($AQ179),0,IFERROR(MATCH($AQ179,MAT[Bezeichnung],0),0))</f>
        <v>0</v>
      </c>
      <c r="CK179" s="280" cm="1">
        <f t="array" ref="CK179">INDEX($D$1:$D179,$CD179)</f>
        <v>1</v>
      </c>
      <c r="CL179" s="280"/>
      <c r="CM179" s="395"/>
      <c r="CN179" s="396" cm="1">
        <f t="array" ref="CN179">IF($CB179=0,0,IF($CB179=INDEX($CB$1:$CB179,$CD179),INDEX($CN$1:$CN179,$CD179),$CP179))</f>
        <v>0</v>
      </c>
      <c r="CO179" s="395"/>
      <c r="CP179" s="396" cm="1">
        <f t="array" ref="CP179">IF($CC179=0,0,INDEX($CP$1:$CP179,$CD179))</f>
        <v>0</v>
      </c>
      <c r="CQ179" s="397"/>
      <c r="CR179" s="398"/>
      <c r="CS179" s="398"/>
      <c r="CT179" s="1152"/>
      <c r="CU179" s="1149"/>
      <c r="CV179" s="647">
        <f t="shared" si="504"/>
        <v>1.7030256442436415E-4</v>
      </c>
      <c r="CW179" s="648">
        <f t="shared" si="505"/>
        <v>1.2707919353629275E-2</v>
      </c>
      <c r="CX179" s="648">
        <f t="shared" si="506"/>
        <v>4.0286144578313263E-5</v>
      </c>
      <c r="CY179" s="648">
        <f t="shared" si="507"/>
        <v>0</v>
      </c>
      <c r="CZ179" s="648">
        <f t="shared" si="508"/>
        <v>0</v>
      </c>
      <c r="DA179" s="648">
        <f t="shared" si="509"/>
        <v>2.1058870900267743E-6</v>
      </c>
      <c r="DB179" s="648">
        <f t="shared" si="510"/>
        <v>1.4206830707894832E-5</v>
      </c>
      <c r="DC179" s="649">
        <f t="shared" si="511"/>
        <v>1.2934820780429873E-2</v>
      </c>
      <c r="DD179" s="648">
        <f t="shared" si="512"/>
        <v>0</v>
      </c>
      <c r="DE179" s="648">
        <f t="shared" si="513"/>
        <v>0</v>
      </c>
      <c r="DF179" s="648">
        <f t="shared" si="514"/>
        <v>0</v>
      </c>
      <c r="DG179" s="649">
        <f t="shared" si="515"/>
        <v>0</v>
      </c>
      <c r="DH179" s="649">
        <f t="shared" si="516"/>
        <v>1.2934820780429873E-2</v>
      </c>
      <c r="DI179" s="648">
        <f t="shared" si="517"/>
        <v>0</v>
      </c>
      <c r="DJ179" s="648">
        <f t="shared" si="518"/>
        <v>0</v>
      </c>
      <c r="DK179" s="648">
        <f t="shared" si="519"/>
        <v>1.6165893616674808E-3</v>
      </c>
      <c r="DL179" s="648">
        <f t="shared" si="520"/>
        <v>0</v>
      </c>
      <c r="DM179" s="648">
        <f t="shared" si="521"/>
        <v>0</v>
      </c>
      <c r="DN179" s="648">
        <f t="shared" si="522"/>
        <v>7.7596289360039078E-4</v>
      </c>
      <c r="DO179" s="648">
        <f t="shared" si="523"/>
        <v>0</v>
      </c>
      <c r="DP179" s="651">
        <f t="shared" si="524"/>
        <v>1.5327373035697745E-2</v>
      </c>
      <c r="DQ179" s="951">
        <f>IF($CB179=0,0,$DP179*_xlfn.XLOOKUP($CB179,Premises!$A$10:$F$10,Premises!$A$30:$F$30)/100)</f>
        <v>0</v>
      </c>
      <c r="DR179" s="650">
        <f>IFERROR(SUM($DP179:$DQ179)*IF(INDEX(Premises!$A$42:$F$42,1,MATCH($CB179,Premises!$A$10:$F$10,0))&gt;0,INDEX(Premises!$A$42:$F$42,1,MATCH($CB179,Premises!$A$10:$F$10,0))%,$CN179),0)</f>
        <v>0</v>
      </c>
      <c r="DS179" s="650" cm="1">
        <f t="array" ref="DS179">IF($CB179=0,0,SUM($DP179:$DR179)*_xlfn.XLOOKUP($CB179,Premises!$A$10:$F$10,IF(INDEX(Settings[],MATCH(3001,Settings[ID],0),2)="B",Premises!$A$33:$F$33,Premises!$A$31:$F$31))/100)</f>
        <v>0</v>
      </c>
      <c r="DT179" s="650" cm="1">
        <f t="array" ref="DT179">IF($CB179=0,0,$DP179*_xlfn.XLOOKUP($CB179,Premises!$A$10:$F$10,IF(INDEX(Settings[],MATCH(3002,Settings[ID],0),2)="B",Premises!$A$36:$F$36,Premises!$A$34:$F$34))/100)</f>
        <v>0</v>
      </c>
      <c r="DU179" s="650">
        <f>IF($CB179=0,0,SUM($DP179:$DT179)*_xlfn.XLOOKUP($CB179,Premises!$A$10:$F$10,Premises!$A$37:$F$37)/100)</f>
        <v>0</v>
      </c>
      <c r="DV179" s="954">
        <f t="shared" si="525"/>
        <v>1.5327373035697745E-2</v>
      </c>
      <c r="DW179" s="951">
        <f>IF($CC179=0,0,$DV179*_xlfn.XLOOKUP($CC179,Premises!$A$10:$F$10,Premises!$A$30:$F$30)/100)</f>
        <v>0</v>
      </c>
      <c r="DX179" s="650">
        <f>IFERROR(SUM($DV179:$DW179)*IF(INDEX(Premises!$A$42:$F$42,1,MATCH($CC179,Premises!$A$10:$F$10,0))&gt;0,INDEX(Premises!$A$42:$F$42,1,MATCH($CC179,Premises!$A$10:$F$10,0))%,$CP179),0)</f>
        <v>0</v>
      </c>
      <c r="DY179" s="650" cm="1">
        <f t="array" ref="DY179">IF($CC179=0,0,SUM($DV179:$DX179)*_xlfn.XLOOKUP($CC179,Premises!$A$10:$F$10,IF(INDEX(Settings[],MATCH(3001,Settings[ID],0),2)="B",Premises!$A$33:$F$33,Premises!$A$31:$F$31))/100)</f>
        <v>0</v>
      </c>
      <c r="DZ179" s="650" cm="1">
        <f t="array" ref="DZ179">IF($CC179=0,0,$DV179*_xlfn.XLOOKUP($CC179,Premises!$A$10:$F$10,IF(INDEX(Settings[],MATCH(3002,Settings[ID],0),2)="B",Premises!$A$36:$F$36,Premises!$A$34:$F$34))/100)</f>
        <v>0</v>
      </c>
      <c r="EA179" s="650">
        <f>IF($CC179=0,0,SUM($DV179:$DZ179)*_xlfn.XLOOKUP($CC179,Premises!$A$10:$F$10,Premises!$A$37:$F$37)/100)</f>
        <v>0</v>
      </c>
      <c r="EB179" s="651">
        <f t="shared" si="526"/>
        <v>1.5327373035697745E-2</v>
      </c>
      <c r="EC179" s="805"/>
      <c r="ED179" s="1104"/>
      <c r="EE179" s="650"/>
      <c r="EF179" s="1110"/>
      <c r="EG179" s="1108"/>
      <c r="EH179" s="1108"/>
      <c r="EI179" s="1108"/>
      <c r="EJ179" s="1108"/>
      <c r="EK179" s="1108"/>
      <c r="EL179" s="1108"/>
      <c r="EM179" s="1110"/>
      <c r="EN179" s="1108"/>
      <c r="EO179" s="1108"/>
      <c r="EP179" s="1108"/>
      <c r="EQ179" s="1108"/>
      <c r="ER179" s="1110"/>
      <c r="ES179" s="1108"/>
      <c r="ET179" s="1108"/>
      <c r="EU179" s="1108"/>
      <c r="EV179" s="1108"/>
      <c r="EW179" s="1108"/>
      <c r="EX179" s="1111"/>
      <c r="EY179" s="2"/>
      <c r="EZ179" s="2"/>
      <c r="FA179" s="2"/>
      <c r="FB179" s="2"/>
      <c r="FC179" s="2"/>
      <c r="FD179" s="2"/>
      <c r="FE179" s="2"/>
      <c r="FF179" s="2"/>
      <c r="FG179" s="2"/>
      <c r="FH179" s="2"/>
      <c r="FI179" s="2"/>
      <c r="FJ179" s="420"/>
      <c r="FK179" s="421"/>
      <c r="FL179" s="422"/>
      <c r="FM179" s="1153"/>
    </row>
    <row r="180" spans="1:169" s="13" customFormat="1" ht="12.75" customHeight="1">
      <c r="A180" s="221"/>
      <c r="B180" s="1329"/>
      <c r="C180" s="403"/>
      <c r="D180" s="646"/>
      <c r="E180" s="404"/>
      <c r="F180" s="405"/>
      <c r="G180" s="405"/>
      <c r="H180" s="405"/>
      <c r="I180" s="637" cm="1">
        <f t="array" ref="I180">IF($CI180=0,0,IFERROR(INDEX(MHR[],$CI180,MATCH($CA180,MHR!$B$4:$AY$4,0)),0))</f>
        <v>0</v>
      </c>
      <c r="J180" s="634">
        <f t="shared" si="527"/>
        <v>0</v>
      </c>
      <c r="K180" s="406"/>
      <c r="L180" s="407"/>
      <c r="M180" s="871"/>
      <c r="N180" s="407"/>
      <c r="O180" s="405"/>
      <c r="P180" s="645" cm="1">
        <f t="array" ref="P180">IF($K180=0,0,IFERROR(ROUNDUP(IF(ISNUMBER($K180),$K180,INDEX($D$1:$D180,$CD180)*INDEX(Premises!$A$13:$F$13,1,$CH180)/IF(OR($K180="T",$K180="D"),250,IF($K180="W",50,IF($K180="M",12,IF(OR($K180="HJ",$K180="HY"),2,IF(OR($K180="J",$K180="Y"),1,0)))))),0),0))</f>
        <v>0</v>
      </c>
      <c r="Q180" s="637" cm="1">
        <f t="array" ref="Q180">IF($K180=0,0,IFERROR(INDEX(Premises!$A$22:$F$22,1,$CH180)*100/INDEX(Premises!$A$16:$F$16,1,$CH180),0))</f>
        <v>0</v>
      </c>
      <c r="R180" s="634">
        <f t="shared" si="480"/>
        <v>0</v>
      </c>
      <c r="S180" s="408"/>
      <c r="T180" s="409"/>
      <c r="U180" s="637" cm="1">
        <f t="array" ref="U180">IF(COUNTBLANK($S180:$T180),0,
IF(AND(INDEX(MHR[Schichtmodell],$CI180)&lt;&gt;0,INDEX(MHR[Schichtmodell],$CI180)&lt;&gt;INDEX(Premises!$A$20:$F$20,1,$CH180)),ExchangeRate*
IF(OR($T180="M",$T180="U"),IF(INDEX(MHR[Schichtmodell],$CI180)=1,INDEX(LOC[M1S],INDEX(Premises!$A$18:$F$18,1,$CH180+1)),IF(INDEX(MHR[Schichtmodell],$CI180)=2,INDEX(LOC[M2S],INDEX(Premises!$A$18:$F$18,1,$CH180+1),IF(INDEX(MHR[Schichtmodell],$CI180)=3,INDEX(LOC[M3S],INDEX(Premises!$A$18:$F$18,1,$CH180+1)),0)))),
IF(INDEX(MHR[Schichtmodell],$CI180)=1,INDEX(LOC[F1S],INDEX(Premises!$A$18:$F$18,1,$CH180+1)),IF(INDEX(MHR[Schichtmodell],$CI180)=2,INDEX(LOC[F2S],INDEX(Premises!$A$18:$F$18,1,$CH180+1)),IF(INDEX(MHR[Schichtmodell],$CI180)=3,INDEX(LOC[F3S],INDEX(Premises!$A$18:$F$18,1,$CH180+1)),0)))),
IF(OR($T180="M",$T180="U"),INDEX(Premises!$A$21:$F$21,1,$CH180),
IF(OR($T180="F",$T180="S"),INDEX(Premises!$A$22:$F$22,1,$CH180),0)))*100/INDEX(Premises!$A$16:$F$16,1,$CH180))</f>
        <v>0</v>
      </c>
      <c r="V180" s="631">
        <f t="shared" si="481"/>
        <v>0</v>
      </c>
      <c r="W180" s="410"/>
      <c r="X180" s="403"/>
      <c r="Y180" s="411"/>
      <c r="Z180" s="412"/>
      <c r="AA180" s="628">
        <f t="shared" si="482"/>
        <v>0</v>
      </c>
      <c r="AB180" s="410"/>
      <c r="AC180" s="403"/>
      <c r="AD180" s="411"/>
      <c r="AE180" s="413"/>
      <c r="AF180" s="628">
        <f t="shared" si="483"/>
        <v>0</v>
      </c>
      <c r="AG180" s="629" cm="1">
        <f t="array" ref="AG180">IF(($J180+$V180+$AF180)=0,0,INDEX(Premises!$A$30:$F$30,1,$CH180)/100)</f>
        <v>0</v>
      </c>
      <c r="AH180" s="414"/>
      <c r="AI180" s="415"/>
      <c r="AJ180" s="416"/>
      <c r="AK180" s="630">
        <f t="shared" si="484"/>
        <v>0</v>
      </c>
      <c r="AL180" s="631">
        <f t="shared" si="485"/>
        <v>0</v>
      </c>
      <c r="AM180" s="632" cm="1">
        <f t="array" ref="AM180">IF($CI180=0,0,IFERROR(INDEX(MHR[],$CI180,MATCH($CA180,MHR!$B$4:$AY$4,0)+11),0))</f>
        <v>0</v>
      </c>
      <c r="AN180" s="633" cm="1">
        <f t="array" ref="AN180">IF(($J180+$V180)=0,0,IFERROR(IF(INDEX(Premises!$A$41:$F$41,1,$CH180)&lt;&gt;0,INDEX(Premises!$A$41:$F$41,1,$CH180)/100,(IFERROR(($J180/$I180)*$AM180,0)/($V180+$J180+$R180+$AL180))),0))</f>
        <v>0</v>
      </c>
      <c r="AO180" s="634">
        <f t="shared" si="486"/>
        <v>0</v>
      </c>
      <c r="AP180" s="635">
        <f t="shared" si="487"/>
        <v>0</v>
      </c>
      <c r="AQ180" s="410"/>
      <c r="AR180" s="409"/>
      <c r="AS180" s="636" cm="1">
        <f t="array" ref="AS180">IF($CJ180=0,0,IFERROR(INDEX(MAT[Einheit],$CJ180,1),0))</f>
        <v>0</v>
      </c>
      <c r="AT180" s="637" cm="1">
        <f t="array" ref="AT180">IF($CJ180=0,0,IFERROR(INDEX(MAT[Preis],$CJ180,1),0))</f>
        <v>0</v>
      </c>
      <c r="AU180" s="638">
        <f t="shared" si="488"/>
        <v>0</v>
      </c>
      <c r="AV180" s="639" cm="1">
        <f t="array" ref="AV180">IF($AU180&lt;=0,0,INDEX(Premises!$A$30:$F$30,1,$CH180)/100)</f>
        <v>0</v>
      </c>
      <c r="AW180" s="409"/>
      <c r="AX180" s="631">
        <f t="shared" si="489"/>
        <v>0</v>
      </c>
      <c r="AY180" s="640" cm="1">
        <f t="array" ref="AY180">IF($AT180&lt;=0,0,IFERROR(IF(INDEX(Premises!$A$42:$F$42,1,$CH180)&lt;&gt;0,INDEX(Premises!$A$42:$F$42,1,$CH180)/100,(INDEX(MAT[],$CJ180,MATCH($CA180,MAT!$B$4:$AE$4,0))/($AR180*$CK180*INDEX(Premises!$A$13:$F$13,1,$CH180))+INDEX(MAT[],$CJ180,MATCH($CA180,MAT!$B$4:$AE$4,0)+7))/$AT180),0))</f>
        <v>0</v>
      </c>
      <c r="AZ180" s="631">
        <f t="shared" si="490"/>
        <v>0</v>
      </c>
      <c r="BA180" s="635">
        <f t="shared" si="491"/>
        <v>0</v>
      </c>
      <c r="BB180" s="635">
        <f t="shared" si="492"/>
        <v>0</v>
      </c>
      <c r="BC180" s="639" cm="1">
        <f t="array" ref="BC180">IF($BB180&lt;=0,0,IF(BC$2=-1,0,INDEX(Premises!$A$32:$F$32,1,$CH180)/100))</f>
        <v>0</v>
      </c>
      <c r="BD180" s="631">
        <f t="shared" si="493"/>
        <v>0</v>
      </c>
      <c r="BE180" s="639" cm="1">
        <f t="array" ref="BE180">IF($BB180&lt;=0,0,IF(BE$2=-1,0,INDEX(Premises!$A$33:$F$33,1,$CH180)/100))</f>
        <v>0</v>
      </c>
      <c r="BF180" s="631">
        <f t="shared" si="494"/>
        <v>0</v>
      </c>
      <c r="BG180" s="639" cm="1">
        <f t="array" ref="BG180">IF($BB180&lt;=0,0,IF(BG$2=-1,0,INDEX(Premises!$A$31:$F$31,1,$CH180)/100))</f>
        <v>0</v>
      </c>
      <c r="BH180" s="631">
        <f t="shared" si="495"/>
        <v>0</v>
      </c>
      <c r="BI180" s="635">
        <f t="shared" si="496"/>
        <v>0</v>
      </c>
      <c r="BJ180" s="639" cm="1">
        <f t="array" ref="BJ180">IF($BB180&lt;=0,0,IF(BJ$2=-1,0,INDEX(Premises!$A$35:$F$35,1,$CH180)/100))</f>
        <v>0</v>
      </c>
      <c r="BK180" s="631">
        <f t="shared" si="497"/>
        <v>0</v>
      </c>
      <c r="BL180" s="639" cm="1">
        <f t="array" ref="BL180">IF($BB180&lt;=0,0,IF(BL$2=-1,0,INDEX(Premises!$A$36:$F$36,1,$CH180)/100))</f>
        <v>0</v>
      </c>
      <c r="BM180" s="631">
        <f t="shared" si="498"/>
        <v>0</v>
      </c>
      <c r="BN180" s="639" cm="1">
        <f t="array" ref="BN180">IF($BB180&lt;=0,0,IF(BN$2=-1,0,INDEX(Premises!$A$34:$F$34,1,$CH180)/100))</f>
        <v>0</v>
      </c>
      <c r="BO180" s="631">
        <f t="shared" si="499"/>
        <v>0</v>
      </c>
      <c r="BP180" s="639" cm="1">
        <f t="array" ref="BP180">IF($BI180=0,0,INDEX(Premises!$A$37:$F$37,1,$CH180)/100)</f>
        <v>0</v>
      </c>
      <c r="BQ180" s="409"/>
      <c r="BR180" s="631">
        <f t="shared" si="500"/>
        <v>0</v>
      </c>
      <c r="BS180" s="641">
        <f t="shared" si="501"/>
        <v>0</v>
      </c>
      <c r="BT180" s="641">
        <f t="shared" si="502"/>
        <v>0</v>
      </c>
      <c r="BU180" s="642">
        <f t="shared" si="503"/>
        <v>0</v>
      </c>
      <c r="BV180" s="1147"/>
      <c r="BW180" s="418"/>
      <c r="BX180" s="418"/>
      <c r="BY180" s="419"/>
      <c r="BZ180" s="968"/>
      <c r="CA180" s="280" cm="1">
        <f t="array" ref="CA180">IF($BZ180&gt;0,VALUE(LEFT($BZ180,IF(ISERROR(FIND("-",$BZ180)),LEN($BZ180),FIND("-",$BZ180)-1))),INDEX($CA$1:$CA180,MAX(1,$CD180)))</f>
        <v>1</v>
      </c>
      <c r="CB180" s="280" cm="1">
        <f t="array" ref="CB180">IF($BT180=0,0,IF(LEN($BZ180)-LEN(SUBSTITUTE($BZ180,"-",""))&gt;1,
VALUE(MID($BZ180,FIND("-",$BZ180)+1,FIND("-",$BZ180,FIND("-",$BZ180)+1)-FIND("-",$BZ180)-1)),IF($BZ180&gt;0,0,INDEX($CB$1:$CB180,MAX(1,$CD180)))))</f>
        <v>0</v>
      </c>
      <c r="CC180" s="280" cm="1">
        <f t="array" ref="CC180">IF($BT180=0,0,IF(NOT(ISERROR(FIND("-",BZ180))),
VALUE(RIGHT($BZ180,LEN($BZ180)-IF(LEN($BZ180)-LEN(SUBSTITUTE($BZ180,"-",""))=1,FIND("-",$BZ180),FIND("-",$BZ180,FIND("-",$BZ180)+1)))),
IF($BZ180&gt;0,0,INDEX($CC$1:$CC180,MAX(1,$CD180)))))</f>
        <v>0</v>
      </c>
      <c r="CD180" s="393">
        <f>MATCH(0,$CE$1:$CE180,-1)</f>
        <v>174</v>
      </c>
      <c r="CE180" s="280"/>
      <c r="CF180" s="394"/>
      <c r="CG180" s="393" cm="1">
        <f t="array" ref="CG180">INDEX($CG$1:$CG180,$CD180)</f>
        <v>22</v>
      </c>
      <c r="CH180" s="280">
        <f>MATCH($CA180,Premises!$A$10:$F$10,0)</f>
        <v>4</v>
      </c>
      <c r="CI180" s="280">
        <f>IF(ISBLANK($E180),0,IFERROR(MATCH($E180,MHR[Bezeichnung],0),0))</f>
        <v>0</v>
      </c>
      <c r="CJ180" s="394">
        <f>IF(ISBLANK($AQ180),0,IFERROR(MATCH($AQ180,MAT[Bezeichnung],0),0))</f>
        <v>0</v>
      </c>
      <c r="CK180" s="280" cm="1">
        <f t="array" ref="CK180">INDEX($D$1:$D180,$CD180)</f>
        <v>1</v>
      </c>
      <c r="CL180" s="280"/>
      <c r="CM180" s="395"/>
      <c r="CN180" s="396" cm="1">
        <f t="array" ref="CN180">IF($CB180=0,0,IF($CB180=INDEX($CB$1:$CB180,$CD180),INDEX($CN$1:$CN180,$CD180),$CP180))</f>
        <v>0</v>
      </c>
      <c r="CO180" s="395"/>
      <c r="CP180" s="396" cm="1">
        <f t="array" ref="CP180">IF($CC180=0,0,INDEX($CP$1:$CP180,$CD180))</f>
        <v>0</v>
      </c>
      <c r="CQ180" s="397"/>
      <c r="CR180" s="398"/>
      <c r="CS180" s="398"/>
      <c r="CT180" s="1152"/>
      <c r="CU180" s="1149"/>
      <c r="CV180" s="647">
        <f t="shared" si="504"/>
        <v>0</v>
      </c>
      <c r="CW180" s="648">
        <f t="shared" si="505"/>
        <v>0</v>
      </c>
      <c r="CX180" s="648">
        <f t="shared" si="506"/>
        <v>0</v>
      </c>
      <c r="CY180" s="648">
        <f t="shared" si="507"/>
        <v>0</v>
      </c>
      <c r="CZ180" s="648">
        <f t="shared" si="508"/>
        <v>0</v>
      </c>
      <c r="DA180" s="648">
        <f t="shared" si="509"/>
        <v>0</v>
      </c>
      <c r="DB180" s="648">
        <f t="shared" si="510"/>
        <v>0</v>
      </c>
      <c r="DC180" s="649">
        <f t="shared" si="511"/>
        <v>0</v>
      </c>
      <c r="DD180" s="648">
        <f t="shared" si="512"/>
        <v>0</v>
      </c>
      <c r="DE180" s="648">
        <f t="shared" si="513"/>
        <v>0</v>
      </c>
      <c r="DF180" s="648">
        <f t="shared" si="514"/>
        <v>0</v>
      </c>
      <c r="DG180" s="649">
        <f t="shared" si="515"/>
        <v>0</v>
      </c>
      <c r="DH180" s="649">
        <f t="shared" si="516"/>
        <v>0</v>
      </c>
      <c r="DI180" s="648">
        <f t="shared" si="517"/>
        <v>0</v>
      </c>
      <c r="DJ180" s="648">
        <f t="shared" si="518"/>
        <v>0</v>
      </c>
      <c r="DK180" s="648">
        <f t="shared" si="519"/>
        <v>0</v>
      </c>
      <c r="DL180" s="648">
        <f t="shared" si="520"/>
        <v>0</v>
      </c>
      <c r="DM180" s="648">
        <f t="shared" si="521"/>
        <v>0</v>
      </c>
      <c r="DN180" s="648">
        <f t="shared" si="522"/>
        <v>0</v>
      </c>
      <c r="DO180" s="648">
        <f t="shared" si="523"/>
        <v>0</v>
      </c>
      <c r="DP180" s="651">
        <f t="shared" si="524"/>
        <v>0</v>
      </c>
      <c r="DQ180" s="951">
        <f>IF($CB180=0,0,$DP180*_xlfn.XLOOKUP($CB180,Premises!$A$10:$F$10,Premises!$A$30:$F$30)/100)</f>
        <v>0</v>
      </c>
      <c r="DR180" s="650">
        <f>IFERROR(SUM($DP180:$DQ180)*IF(INDEX(Premises!$A$42:$F$42,1,MATCH($CB180,Premises!$A$10:$F$10,0))&gt;0,INDEX(Premises!$A$42:$F$42,1,MATCH($CB180,Premises!$A$10:$F$10,0))%,$CN180),0)</f>
        <v>0</v>
      </c>
      <c r="DS180" s="650" cm="1">
        <f t="array" ref="DS180">IF($CB180=0,0,SUM($DP180:$DR180)*_xlfn.XLOOKUP($CB180,Premises!$A$10:$F$10,IF(INDEX(Settings[],MATCH(3001,Settings[ID],0),2)="B",Premises!$A$33:$F$33,Premises!$A$31:$F$31))/100)</f>
        <v>0</v>
      </c>
      <c r="DT180" s="650" cm="1">
        <f t="array" ref="DT180">IF($CB180=0,0,$DP180*_xlfn.XLOOKUP($CB180,Premises!$A$10:$F$10,IF(INDEX(Settings[],MATCH(3002,Settings[ID],0),2)="B",Premises!$A$36:$F$36,Premises!$A$34:$F$34))/100)</f>
        <v>0</v>
      </c>
      <c r="DU180" s="650">
        <f>IF($CB180=0,0,SUM($DP180:$DT180)*_xlfn.XLOOKUP($CB180,Premises!$A$10:$F$10,Premises!$A$37:$F$37)/100)</f>
        <v>0</v>
      </c>
      <c r="DV180" s="954">
        <f t="shared" si="525"/>
        <v>0</v>
      </c>
      <c r="DW180" s="951">
        <f>IF($CC180=0,0,$DV180*_xlfn.XLOOKUP($CC180,Premises!$A$10:$F$10,Premises!$A$30:$F$30)/100)</f>
        <v>0</v>
      </c>
      <c r="DX180" s="650">
        <f>IFERROR(SUM($DV180:$DW180)*IF(INDEX(Premises!$A$42:$F$42,1,MATCH($CC180,Premises!$A$10:$F$10,0))&gt;0,INDEX(Premises!$A$42:$F$42,1,MATCH($CC180,Premises!$A$10:$F$10,0))%,$CP180),0)</f>
        <v>0</v>
      </c>
      <c r="DY180" s="650" cm="1">
        <f t="array" ref="DY180">IF($CC180=0,0,SUM($DV180:$DX180)*_xlfn.XLOOKUP($CC180,Premises!$A$10:$F$10,IF(INDEX(Settings[],MATCH(3001,Settings[ID],0),2)="B",Premises!$A$33:$F$33,Premises!$A$31:$F$31))/100)</f>
        <v>0</v>
      </c>
      <c r="DZ180" s="650" cm="1">
        <f t="array" ref="DZ180">IF($CC180=0,0,$DV180*_xlfn.XLOOKUP($CC180,Premises!$A$10:$F$10,IF(INDEX(Settings[],MATCH(3002,Settings[ID],0),2)="B",Premises!$A$36:$F$36,Premises!$A$34:$F$34))/100)</f>
        <v>0</v>
      </c>
      <c r="EA180" s="650">
        <f>IF($CC180=0,0,SUM($DV180:$DZ180)*_xlfn.XLOOKUP($CC180,Premises!$A$10:$F$10,Premises!$A$37:$F$37)/100)</f>
        <v>0</v>
      </c>
      <c r="EB180" s="651">
        <f t="shared" si="526"/>
        <v>0</v>
      </c>
      <c r="EC180" s="805"/>
      <c r="ED180" s="1104"/>
      <c r="EE180" s="650"/>
      <c r="EF180" s="1110"/>
      <c r="EG180" s="1108"/>
      <c r="EH180" s="1108"/>
      <c r="EI180" s="1108"/>
      <c r="EJ180" s="1108"/>
      <c r="EK180" s="1108"/>
      <c r="EL180" s="1108"/>
      <c r="EM180" s="1110"/>
      <c r="EN180" s="1108"/>
      <c r="EO180" s="1108"/>
      <c r="EP180" s="1108"/>
      <c r="EQ180" s="1108"/>
      <c r="ER180" s="1110"/>
      <c r="ES180" s="1108"/>
      <c r="ET180" s="1108"/>
      <c r="EU180" s="1108"/>
      <c r="EV180" s="1108"/>
      <c r="EW180" s="1108"/>
      <c r="EX180" s="1111"/>
      <c r="EY180" s="2"/>
      <c r="EZ180" s="2"/>
      <c r="FA180" s="2"/>
      <c r="FB180" s="2"/>
      <c r="FC180" s="2"/>
      <c r="FD180" s="2"/>
      <c r="FE180" s="2"/>
      <c r="FF180" s="2"/>
      <c r="FG180" s="2"/>
      <c r="FH180" s="2"/>
      <c r="FI180" s="2"/>
      <c r="FJ180" s="420"/>
      <c r="FK180" s="421"/>
      <c r="FL180" s="422"/>
      <c r="FM180" s="1153"/>
    </row>
    <row r="181" spans="1:169" s="13" customFormat="1" ht="12.75" customHeight="1">
      <c r="A181" s="221"/>
      <c r="B181" s="1329" t="s">
        <v>4340</v>
      </c>
      <c r="C181" s="403" t="s">
        <v>4347</v>
      </c>
      <c r="D181" s="646"/>
      <c r="E181" s="404" t="s">
        <v>4345</v>
      </c>
      <c r="F181" s="405">
        <v>1</v>
      </c>
      <c r="G181" s="405" t="s">
        <v>93</v>
      </c>
      <c r="H181" s="405">
        <v>83</v>
      </c>
      <c r="I181" s="637" cm="1">
        <f t="array" ref="I181">IF($CI181=0,0,IFERROR(INDEX(MHR[],$CI181,MATCH($CA181,MHR!$B$4:$AY$4,0)),0))</f>
        <v>50.88640625</v>
      </c>
      <c r="J181" s="634">
        <f>IF(COUNTBLANK($E181:$H181),0,IFERROR($F181/$H181/IF($G181="s",3600,IF($G181="min",60,IF($G181="h",1,0)))*I181,0))</f>
        <v>1.7030256442436415E-4</v>
      </c>
      <c r="K181" s="406" t="s">
        <v>49</v>
      </c>
      <c r="L181" s="407">
        <v>30</v>
      </c>
      <c r="M181" s="871">
        <v>2</v>
      </c>
      <c r="N181" s="407"/>
      <c r="O181" s="405"/>
      <c r="P181" s="645" cm="1">
        <f t="array" ref="P181">IF($K181=0,0,IFERROR(ROUNDUP(IF(ISNUMBER($K181),$K181,INDEX($D$1:$D181,$CD181)*INDEX(Premises!$A$13:$F$13,1,$CH181)/IF(OR($K181="T",$K181="D"),250,IF($K181="W",50,IF($K181="M",12,IF(OR($K181="HJ",$K181="HY"),2,IF(OR($K181="J",$K181="Y"),1,0)))))),0),0))</f>
        <v>3334</v>
      </c>
      <c r="Q181" s="637" cm="1">
        <f t="array" ref="Q181">IF($K181=0,0,IFERROR(INDEX(Premises!$A$22:$F$22,1,$CH181)*100/INDEX(Premises!$A$16:$F$16,1,$CH181),0))</f>
        <v>16.925000000000001</v>
      </c>
      <c r="R181" s="634">
        <f>IF($P181=0,0,IFERROR(($L181/60*($I181+$Q181*$M181)+($N181/60*($Q181*$O181)))/$P181,0))</f>
        <v>1.2707919353629275E-2</v>
      </c>
      <c r="S181" s="408">
        <v>1</v>
      </c>
      <c r="T181" s="409" t="s">
        <v>275</v>
      </c>
      <c r="U181" s="637" cm="1">
        <f t="array" ref="U181">IF(COUNTBLANK($S181:$T181),0,
IF(AND(INDEX(MHR[Schichtmodell],$CI181)&lt;&gt;0,INDEX(MHR[Schichtmodell],$CI181)&lt;&gt;INDEX(Premises!$A$20:$F$20,1,$CH181)),ExchangeRate*
IF(OR($T181="M",$T181="U"),IF(INDEX(MHR[Schichtmodell],$CI181)=1,INDEX(LOC[M1S],INDEX(Premises!$A$18:$F$18,1,$CH181+1)),IF(INDEX(MHR[Schichtmodell],$CI181)=2,INDEX(LOC[M2S],INDEX(Premises!$A$18:$F$18,1,$CH181+1),IF(INDEX(MHR[Schichtmodell],$CI181)=3,INDEX(LOC[M3S],INDEX(Premises!$A$18:$F$18,1,$CH181+1)),0)))),
IF(INDEX(MHR[Schichtmodell],$CI181)=1,INDEX(LOC[F1S],INDEX(Premises!$A$18:$F$18,1,$CH181+1)),IF(INDEX(MHR[Schichtmodell],$CI181)=2,INDEX(LOC[F2S],INDEX(Premises!$A$18:$F$18,1,$CH181+1)),IF(INDEX(MHR[Schichtmodell],$CI181)=3,INDEX(LOC[F3S],INDEX(Premises!$A$18:$F$18,1,$CH181+1)),0)))),
IF(OR($T181="M",$T181="U"),INDEX(Premises!$A$21:$F$21,1,$CH181),
IF(OR($T181="F",$T181="S"),INDEX(Premises!$A$22:$F$22,1,$CH181),0)))*100/INDEX(Premises!$A$16:$F$16,1,$CH181))</f>
        <v>12.037500000000001</v>
      </c>
      <c r="V181" s="631">
        <f>IF($U181=0,0,IFERROR($F181/$H181/IF($G181="s",3600,IF($G181="min",60,IF($G181="h",1,0)))*$S181*$U181,0))</f>
        <v>4.0286144578313263E-5</v>
      </c>
      <c r="W181" s="410"/>
      <c r="X181" s="403"/>
      <c r="Y181" s="411"/>
      <c r="Z181" s="412"/>
      <c r="AA181" s="628">
        <f>IFERROR($X181*$Z181/$Y181/MAX(1,$H181),0)</f>
        <v>0</v>
      </c>
      <c r="AB181" s="410"/>
      <c r="AC181" s="403"/>
      <c r="AD181" s="411"/>
      <c r="AE181" s="413"/>
      <c r="AF181" s="628">
        <f>IFERROR($AC181*$AE181/$AD181,0)</f>
        <v>0</v>
      </c>
      <c r="AG181" s="629" cm="1">
        <f t="array" ref="AG181">IF(($J181+$V181+$AF181)=0,0,INDEX(Premises!$A$30:$F$30,1,$CH181)/100)</f>
        <v>0.01</v>
      </c>
      <c r="AH181" s="414"/>
      <c r="AI181" s="415"/>
      <c r="AJ181" s="416"/>
      <c r="AK181" s="630">
        <f>IF(COUNTBLANK($AH181:$AI181),0,$AH181*$AI181*$AG181)</f>
        <v>0</v>
      </c>
      <c r="AL181" s="631">
        <f>($AK181+$AJ181*$AG181*(1-$AH181)+($J181+$V181+$AF181)*$AG181*(1-$AH181))</f>
        <v>2.1058870900267743E-6</v>
      </c>
      <c r="AM181" s="632" cm="1">
        <f t="array" ref="AM181">IF($CI181=0,0,IFERROR(INDEX(MHR[],$CI181,MATCH($CA181,MHR!$B$4:$AY$4,0)+11),0))</f>
        <v>4.2450010155189757</v>
      </c>
      <c r="AN181" s="633" cm="1">
        <f t="array" ref="AN181">IF(($J181+$V181)=0,0,IFERROR(IF(INDEX(Premises!$A$41:$F$41,1,$CH181)&lt;&gt;0,INDEX(Premises!$A$41:$F$41,1,$CH181)/100,(IFERROR(($J181/$I181)*$AM181,0)/($V181+$J181+$R181+$AL181))),0))</f>
        <v>1.0995476502260583E-3</v>
      </c>
      <c r="AO181" s="634">
        <f>IF(($J181+$V181)=0,0,IF(IFERROR(($J181+$R181+$V181+$AL181)*$AN181,0)&lt;&gt;IFERROR(($J181/$I181)*$AM181,0),($J181+$R181+$V181+$AL181)*$AN181,IFERROR(($J181/$I181)*$AM181,0)))</f>
        <v>1.4206830707894832E-5</v>
      </c>
      <c r="AP181" s="635">
        <f>$V181+$J181+$R181+$AA181+$AF181+$AL181+$AO181</f>
        <v>1.2934820780429873E-2</v>
      </c>
      <c r="AQ181" s="410"/>
      <c r="AR181" s="409"/>
      <c r="AS181" s="636" cm="1">
        <f t="array" ref="AS181">IF($CJ181=0,0,IFERROR(INDEX(MAT[Einheit],$CJ181,1),0))</f>
        <v>0</v>
      </c>
      <c r="AT181" s="637" cm="1">
        <f t="array" ref="AT181">IF($CJ181=0,0,IFERROR(INDEX(MAT[Preis],$CJ181,1),0))</f>
        <v>0</v>
      </c>
      <c r="AU181" s="638">
        <f>$AR181*$AT181</f>
        <v>0</v>
      </c>
      <c r="AV181" s="639" cm="1">
        <f t="array" ref="AV181">IF($AU181&lt;=0,0,INDEX(Premises!$A$30:$F$30,1,$CH181)/100)</f>
        <v>0</v>
      </c>
      <c r="AW181" s="409"/>
      <c r="AX181" s="631">
        <f>IF($AV181=0,0,($AU181+$AW181)*$AV181)</f>
        <v>0</v>
      </c>
      <c r="AY181" s="640" cm="1">
        <f t="array" ref="AY181">IF($AT181&lt;=0,0,IFERROR(IF(INDEX(Premises!$A$42:$F$42,1,$CH181)&lt;&gt;0,INDEX(Premises!$A$42:$F$42,1,$CH181)/100,(INDEX(MAT[],$CJ181,MATCH($CA181,MAT!$B$4:$AE$4,0))/($AR181*$CK181*INDEX(Premises!$A$13:$F$13,1,$CH181))+INDEX(MAT[],$CJ181,MATCH($CA181,MAT!$B$4:$AE$4,0)+7))/$AT181),0))</f>
        <v>0</v>
      </c>
      <c r="AZ181" s="631">
        <f>IF($AY181=0,0,($AU181+$AX181)*$AY181)</f>
        <v>0</v>
      </c>
      <c r="BA181" s="635">
        <f>$AU181+$AX181+$AZ181</f>
        <v>0</v>
      </c>
      <c r="BB181" s="635">
        <f>$AP181+$BA181</f>
        <v>1.2934820780429873E-2</v>
      </c>
      <c r="BC181" s="639" cm="1">
        <f t="array" ref="BC181">IF($BB181&lt;=0,0,IF(BC$2=-1,0,INDEX(Premises!$A$32:$F$32,1,$CH181)/100))</f>
        <v>0</v>
      </c>
      <c r="BD181" s="631">
        <f>IF($AP181&lt;=0,0,($AP181-$AA181-$AL181)*$BC181)</f>
        <v>0</v>
      </c>
      <c r="BE181" s="639" cm="1">
        <f t="array" ref="BE181">IF($BB181&lt;=0,0,IF(BE$2=-1,0,INDEX(Premises!$A$33:$F$33,1,$CH181)/100))</f>
        <v>0</v>
      </c>
      <c r="BF181" s="631">
        <f>IF($BA181&lt;=0,0,$BA181*$BE181)</f>
        <v>0</v>
      </c>
      <c r="BG181" s="639" cm="1">
        <f t="array" ref="BG181">IF($BB181&lt;=0,0,IF(BG$2=-1,0,INDEX(Premises!$A$31:$F$31,1,$CH181)/100))</f>
        <v>0.125</v>
      </c>
      <c r="BH181" s="631">
        <f>(($AP181-$AA181-$AL181)+$BA181)*$BG181</f>
        <v>1.6165893616674808E-3</v>
      </c>
      <c r="BI181" s="635">
        <f>$BB181+$BD181+$BF181+$BH181</f>
        <v>1.4551410142097354E-2</v>
      </c>
      <c r="BJ181" s="639" cm="1">
        <f t="array" ref="BJ181">IF($BB181&lt;=0,0,IF(BJ$2=-1,0,INDEX(Premises!$A$35:$F$35,1,$CH181)/100))</f>
        <v>0</v>
      </c>
      <c r="BK181" s="631">
        <f>IF($AP181&lt;=0,0,($AP181-$AL181-$AA181)*$BJ181)</f>
        <v>0</v>
      </c>
      <c r="BL181" s="639" cm="1">
        <f t="array" ref="BL181">IF($BB181&lt;=0,0,IF(BL$2=-1,0,INDEX(Premises!$A$36:$F$36,1,$CH181)/100))</f>
        <v>0</v>
      </c>
      <c r="BM181" s="631">
        <f>IF($AU181&lt;=0,0,($AR181*$AT181)*$BL181)</f>
        <v>0</v>
      </c>
      <c r="BN181" s="639" cm="1">
        <f t="array" ref="BN181">IF($BB181&lt;=0,0,IF(BN$2=-1,0,INDEX(Premises!$A$34:$F$34,1,$CH181)/100))</f>
        <v>0.06</v>
      </c>
      <c r="BO181" s="631">
        <f>(($AP181-$AL181-$AA181)+($AR181*$AT181))*$BN181</f>
        <v>7.7596289360039078E-4</v>
      </c>
      <c r="BP181" s="639" cm="1">
        <f t="array" ref="BP181">IF($BI181=0,0,INDEX(Premises!$A$37:$F$37,1,$CH181)/100)</f>
        <v>0</v>
      </c>
      <c r="BQ181" s="409"/>
      <c r="BR181" s="631">
        <f>($BI181+$BK181+$BM181+$BO181)*$BP181+$BQ181</f>
        <v>0</v>
      </c>
      <c r="BS181" s="641">
        <f>BI181+BK181+BM181+BO181+BR181</f>
        <v>1.5327373035697745E-2</v>
      </c>
      <c r="BT181" s="641">
        <f>IF($BS181=0,0,$CK181*$BS181)</f>
        <v>1.5327373035697745E-2</v>
      </c>
      <c r="BU181" s="642">
        <f>IF($BT181=0,0,MAX(1,$EB181/$DP181))</f>
        <v>1</v>
      </c>
      <c r="BV181" s="1147"/>
      <c r="BW181" s="418"/>
      <c r="BX181" s="418"/>
      <c r="BY181" s="419"/>
      <c r="BZ181" s="968"/>
      <c r="CA181" s="280" cm="1">
        <f t="array" ref="CA181">IF($BZ181&gt;0,VALUE(LEFT($BZ181,IF(ISERROR(FIND("-",$BZ181)),LEN($BZ181),FIND("-",$BZ181)-1))),INDEX($CA$1:$CA181,MAX(1,$CD181)))</f>
        <v>1</v>
      </c>
      <c r="CB181" s="280" cm="1">
        <f t="array" ref="CB181">IF($BT181=0,0,IF(LEN($BZ181)-LEN(SUBSTITUTE($BZ181,"-",""))&gt;1,
VALUE(MID($BZ181,FIND("-",$BZ181)+1,FIND("-",$BZ181,FIND("-",$BZ181)+1)-FIND("-",$BZ181)-1)),IF($BZ181&gt;0,0,INDEX($CB$1:$CB181,MAX(1,$CD181)))))</f>
        <v>0</v>
      </c>
      <c r="CC181" s="280" cm="1">
        <f t="array" ref="CC181">IF($BT181=0,0,IF(NOT(ISERROR(FIND("-",BZ181))),
VALUE(RIGHT($BZ181,LEN($BZ181)-IF(LEN($BZ181)-LEN(SUBSTITUTE($BZ181,"-",""))=1,FIND("-",$BZ181),FIND("-",$BZ181,FIND("-",$BZ181)+1)))),
IF($BZ181&gt;0,0,INDEX($CC$1:$CC181,MAX(1,$CD181)))))</f>
        <v>0</v>
      </c>
      <c r="CD181" s="393">
        <f>MATCH(0,$CE$1:$CE181,-1)</f>
        <v>174</v>
      </c>
      <c r="CE181" s="280"/>
      <c r="CF181" s="394"/>
      <c r="CG181" s="393" cm="1">
        <f t="array" ref="CG181">INDEX($CG$1:$CG181,$CD181)</f>
        <v>22</v>
      </c>
      <c r="CH181" s="280">
        <f>MATCH($CA181,Premises!$A$10:$F$10,0)</f>
        <v>4</v>
      </c>
      <c r="CI181" s="280">
        <f>IF(ISBLANK($E181),0,IFERROR(MATCH($E181,MHR[Bezeichnung],0),0))</f>
        <v>6</v>
      </c>
      <c r="CJ181" s="394">
        <f>IF(ISBLANK($AQ181),0,IFERROR(MATCH($AQ181,MAT[Bezeichnung],0),0))</f>
        <v>0</v>
      </c>
      <c r="CK181" s="280" cm="1">
        <f t="array" ref="CK181">INDEX($D$1:$D181,$CD181)</f>
        <v>1</v>
      </c>
      <c r="CL181" s="280"/>
      <c r="CM181" s="395"/>
      <c r="CN181" s="396" cm="1">
        <f t="array" ref="CN181">IF($CB181=0,0,IF($CB181=INDEX($CB$1:$CB181,$CD181),INDEX($CN$1:$CN181,$CD181),$CP181))</f>
        <v>0</v>
      </c>
      <c r="CO181" s="395"/>
      <c r="CP181" s="396" cm="1">
        <f t="array" ref="CP181">IF($CC181=0,0,INDEX($CP$1:$CP181,$CD181))</f>
        <v>0</v>
      </c>
      <c r="CQ181" s="397"/>
      <c r="CR181" s="398"/>
      <c r="CS181" s="398"/>
      <c r="CT181" s="1152"/>
      <c r="CU181" s="1149"/>
      <c r="CV181" s="647">
        <f>$J181*$CK181</f>
        <v>1.7030256442436415E-4</v>
      </c>
      <c r="CW181" s="648">
        <f>$R181*$CK181</f>
        <v>1.2707919353629275E-2</v>
      </c>
      <c r="CX181" s="648">
        <f>$V181*$CK181</f>
        <v>4.0286144578313263E-5</v>
      </c>
      <c r="CY181" s="648">
        <f>$AA181*$CK181</f>
        <v>0</v>
      </c>
      <c r="CZ181" s="648">
        <f>$AF181*$CK181</f>
        <v>0</v>
      </c>
      <c r="DA181" s="648">
        <f>$AL181*$CK181</f>
        <v>2.1058870900267743E-6</v>
      </c>
      <c r="DB181" s="648">
        <f>$AO181*$CK181</f>
        <v>1.4206830707894832E-5</v>
      </c>
      <c r="DC181" s="649">
        <f>$AP181*$CK181</f>
        <v>1.2934820780429873E-2</v>
      </c>
      <c r="DD181" s="648">
        <f>$AU181*$CK181</f>
        <v>0</v>
      </c>
      <c r="DE181" s="648">
        <f>$AX181*$CK181</f>
        <v>0</v>
      </c>
      <c r="DF181" s="648">
        <f>$AZ181*$CK181</f>
        <v>0</v>
      </c>
      <c r="DG181" s="649">
        <f>$BA181*$CK181</f>
        <v>0</v>
      </c>
      <c r="DH181" s="649">
        <f>$BB181*$CK181</f>
        <v>1.2934820780429873E-2</v>
      </c>
      <c r="DI181" s="648">
        <f>$BD181*$CK181</f>
        <v>0</v>
      </c>
      <c r="DJ181" s="648">
        <f>$BF181*$CK181</f>
        <v>0</v>
      </c>
      <c r="DK181" s="648">
        <f>$BH181*$CK181</f>
        <v>1.6165893616674808E-3</v>
      </c>
      <c r="DL181" s="648">
        <f>$BK181*$CK181</f>
        <v>0</v>
      </c>
      <c r="DM181" s="648">
        <f>$BM181*$CK181</f>
        <v>0</v>
      </c>
      <c r="DN181" s="648">
        <f>$BO181*$CK181</f>
        <v>7.7596289360039078E-4</v>
      </c>
      <c r="DO181" s="648">
        <f>$BR181*$CK181</f>
        <v>0</v>
      </c>
      <c r="DP181" s="651">
        <f>$CK181*($BB181+$BD181+$BF181+$BH181+$BK181+$BM181+$BO181+$BR181)</f>
        <v>1.5327373035697745E-2</v>
      </c>
      <c r="DQ181" s="951">
        <f>IF($CB181=0,0,$DP181*_xlfn.XLOOKUP($CB181,Premises!$A$10:$F$10,Premises!$A$30:$F$30)/100)</f>
        <v>0</v>
      </c>
      <c r="DR181" s="650">
        <f>IFERROR(SUM($DP181:$DQ181)*IF(INDEX(Premises!$A$42:$F$42,1,MATCH($CB181,Premises!$A$10:$F$10,0))&gt;0,INDEX(Premises!$A$42:$F$42,1,MATCH($CB181,Premises!$A$10:$F$10,0))%,$CN181),0)</f>
        <v>0</v>
      </c>
      <c r="DS181" s="650" cm="1">
        <f t="array" ref="DS181">IF($CB181=0,0,SUM($DP181:$DR181)*_xlfn.XLOOKUP($CB181,Premises!$A$10:$F$10,IF(INDEX(Settings[],MATCH(3001,Settings[ID],0),2)="B",Premises!$A$33:$F$33,Premises!$A$31:$F$31))/100)</f>
        <v>0</v>
      </c>
      <c r="DT181" s="650" cm="1">
        <f t="array" ref="DT181">IF($CB181=0,0,$DP181*_xlfn.XLOOKUP($CB181,Premises!$A$10:$F$10,IF(INDEX(Settings[],MATCH(3002,Settings[ID],0),2)="B",Premises!$A$36:$F$36,Premises!$A$34:$F$34))/100)</f>
        <v>0</v>
      </c>
      <c r="DU181" s="650">
        <f>IF($CB181=0,0,SUM($DP181:$DT181)*_xlfn.XLOOKUP($CB181,Premises!$A$10:$F$10,Premises!$A$37:$F$37)/100)</f>
        <v>0</v>
      </c>
      <c r="DV181" s="954">
        <f>SUM($DP181:$DU181)</f>
        <v>1.5327373035697745E-2</v>
      </c>
      <c r="DW181" s="951">
        <f>IF($CC181=0,0,$DV181*_xlfn.XLOOKUP($CC181,Premises!$A$10:$F$10,Premises!$A$30:$F$30)/100)</f>
        <v>0</v>
      </c>
      <c r="DX181" s="650">
        <f>IFERROR(SUM($DV181:$DW181)*IF(INDEX(Premises!$A$42:$F$42,1,MATCH($CC181,Premises!$A$10:$F$10,0))&gt;0,INDEX(Premises!$A$42:$F$42,1,MATCH($CC181,Premises!$A$10:$F$10,0))%,$CP181),0)</f>
        <v>0</v>
      </c>
      <c r="DY181" s="650" cm="1">
        <f t="array" ref="DY181">IF($CC181=0,0,SUM($DV181:$DX181)*_xlfn.XLOOKUP($CC181,Premises!$A$10:$F$10,IF(INDEX(Settings[],MATCH(3001,Settings[ID],0),2)="B",Premises!$A$33:$F$33,Premises!$A$31:$F$31))/100)</f>
        <v>0</v>
      </c>
      <c r="DZ181" s="650" cm="1">
        <f t="array" ref="DZ181">IF($CC181=0,0,$DV181*_xlfn.XLOOKUP($CC181,Premises!$A$10:$F$10,IF(INDEX(Settings[],MATCH(3002,Settings[ID],0),2)="B",Premises!$A$36:$F$36,Premises!$A$34:$F$34))/100)</f>
        <v>0</v>
      </c>
      <c r="EA181" s="650">
        <f>IF($CC181=0,0,SUM($DV181:$DZ181)*_xlfn.XLOOKUP($CC181,Premises!$A$10:$F$10,Premises!$A$37:$F$37)/100)</f>
        <v>0</v>
      </c>
      <c r="EB181" s="651">
        <f>SUM($DV181:$EA181)</f>
        <v>1.5327373035697745E-2</v>
      </c>
      <c r="EC181" s="805"/>
      <c r="ED181" s="1104"/>
      <c r="EE181" s="650"/>
      <c r="EF181" s="1110"/>
      <c r="EG181" s="1108"/>
      <c r="EH181" s="1108"/>
      <c r="EI181" s="1108"/>
      <c r="EJ181" s="1108"/>
      <c r="EK181" s="1108"/>
      <c r="EL181" s="1108"/>
      <c r="EM181" s="1110"/>
      <c r="EN181" s="1108"/>
      <c r="EO181" s="1108"/>
      <c r="EP181" s="1108"/>
      <c r="EQ181" s="1108"/>
      <c r="ER181" s="1110"/>
      <c r="ES181" s="1108"/>
      <c r="ET181" s="1108"/>
      <c r="EU181" s="1108"/>
      <c r="EV181" s="1108"/>
      <c r="EW181" s="1108"/>
      <c r="EX181" s="1111"/>
      <c r="EY181" s="2"/>
      <c r="EZ181" s="2"/>
      <c r="FA181" s="2"/>
      <c r="FB181" s="2"/>
      <c r="FC181" s="2"/>
      <c r="FD181" s="2"/>
      <c r="FE181" s="2"/>
      <c r="FF181" s="2"/>
      <c r="FG181" s="2"/>
      <c r="FH181" s="2"/>
      <c r="FI181" s="2"/>
      <c r="FJ181" s="420"/>
      <c r="FK181" s="421"/>
      <c r="FL181" s="422"/>
      <c r="FM181" s="1153"/>
    </row>
    <row r="182" spans="1:169" s="13" customFormat="1" ht="12.75" customHeight="1">
      <c r="A182" s="221"/>
      <c r="B182" s="1329"/>
      <c r="C182" s="403"/>
      <c r="D182" s="646"/>
      <c r="E182" s="404"/>
      <c r="F182" s="405"/>
      <c r="G182" s="405"/>
      <c r="H182" s="405"/>
      <c r="I182" s="637" cm="1">
        <f t="array" ref="I182">IF($CI182=0,0,IFERROR(INDEX(MHR[],$CI182,MATCH($CA182,MHR!$B$4:$AY$4,0)),0))</f>
        <v>0</v>
      </c>
      <c r="J182" s="634">
        <f>IF(COUNTBLANK($E182:$H182),0,IFERROR($F182/$H182/IF($G182="s",3600,IF($G182="min",60,IF($G182="h",1,0)))*I182,0))</f>
        <v>0</v>
      </c>
      <c r="K182" s="406"/>
      <c r="L182" s="407"/>
      <c r="M182" s="871"/>
      <c r="N182" s="407"/>
      <c r="O182" s="405"/>
      <c r="P182" s="645" cm="1">
        <f t="array" ref="P182">IF($K182=0,0,IFERROR(ROUNDUP(IF(ISNUMBER($K182),$K182,INDEX($D$1:$D182,$CD182)*INDEX(Premises!$A$13:$F$13,1,$CH182)/IF(OR($K182="T",$K182="D"),250,IF($K182="W",50,IF($K182="M",12,IF(OR($K182="HJ",$K182="HY"),2,IF(OR($K182="J",$K182="Y"),1,0)))))),0),0))</f>
        <v>0</v>
      </c>
      <c r="Q182" s="637" cm="1">
        <f t="array" ref="Q182">IF($K182=0,0,IFERROR(INDEX(Premises!$A$22:$F$22,1,$CH182)*100/INDEX(Premises!$A$16:$F$16,1,$CH182),0))</f>
        <v>0</v>
      </c>
      <c r="R182" s="634">
        <f>IF($P182=0,0,IFERROR(($L182/60*($I182+$Q182*$M182)+($N182/60*($Q182*$O182)))/$P182,0))</f>
        <v>0</v>
      </c>
      <c r="S182" s="408"/>
      <c r="T182" s="409"/>
      <c r="U182" s="637" cm="1">
        <f t="array" ref="U182">IF(COUNTBLANK($S182:$T182),0,
IF(AND(INDEX(MHR[Schichtmodell],$CI182)&lt;&gt;0,INDEX(MHR[Schichtmodell],$CI182)&lt;&gt;INDEX(Premises!$A$20:$F$20,1,$CH182)),ExchangeRate*
IF(OR($T182="M",$T182="U"),IF(INDEX(MHR[Schichtmodell],$CI182)=1,INDEX(LOC[M1S],INDEX(Premises!$A$18:$F$18,1,$CH182+1)),IF(INDEX(MHR[Schichtmodell],$CI182)=2,INDEX(LOC[M2S],INDEX(Premises!$A$18:$F$18,1,$CH182+1),IF(INDEX(MHR[Schichtmodell],$CI182)=3,INDEX(LOC[M3S],INDEX(Premises!$A$18:$F$18,1,$CH182+1)),0)))),
IF(INDEX(MHR[Schichtmodell],$CI182)=1,INDEX(LOC[F1S],INDEX(Premises!$A$18:$F$18,1,$CH182+1)),IF(INDEX(MHR[Schichtmodell],$CI182)=2,INDEX(LOC[F2S],INDEX(Premises!$A$18:$F$18,1,$CH182+1)),IF(INDEX(MHR[Schichtmodell],$CI182)=3,INDEX(LOC[F3S],INDEX(Premises!$A$18:$F$18,1,$CH182+1)),0)))),
IF(OR($T182="M",$T182="U"),INDEX(Premises!$A$21:$F$21,1,$CH182),
IF(OR($T182="F",$T182="S"),INDEX(Premises!$A$22:$F$22,1,$CH182),0)))*100/INDEX(Premises!$A$16:$F$16,1,$CH182))</f>
        <v>0</v>
      </c>
      <c r="V182" s="631">
        <f>IF($U182=0,0,IFERROR($F182/$H182/IF($G182="s",3600,IF($G182="min",60,IF($G182="h",1,0)))*$S182*$U182,0))</f>
        <v>0</v>
      </c>
      <c r="W182" s="410"/>
      <c r="X182" s="403"/>
      <c r="Y182" s="411"/>
      <c r="Z182" s="412"/>
      <c r="AA182" s="628">
        <f>IFERROR($X182*$Z182/$Y182/MAX(1,$H182),0)</f>
        <v>0</v>
      </c>
      <c r="AB182" s="410"/>
      <c r="AC182" s="403"/>
      <c r="AD182" s="411"/>
      <c r="AE182" s="413"/>
      <c r="AF182" s="628">
        <f>IFERROR($AC182*$AE182/$AD182,0)</f>
        <v>0</v>
      </c>
      <c r="AG182" s="629" cm="1">
        <f t="array" ref="AG182">IF(($J182+$V182+$AF182)=0,0,INDEX(Premises!$A$30:$F$30,1,$CH182)/100)</f>
        <v>0</v>
      </c>
      <c r="AH182" s="414"/>
      <c r="AI182" s="415"/>
      <c r="AJ182" s="416"/>
      <c r="AK182" s="630">
        <f>IF(COUNTBLANK($AH182:$AI182),0,$AH182*$AI182*$AG182)</f>
        <v>0</v>
      </c>
      <c r="AL182" s="631">
        <f>($AK182+$AJ182*$AG182*(1-$AH182)+($J182+$V182+$AF182)*$AG182*(1-$AH182))</f>
        <v>0</v>
      </c>
      <c r="AM182" s="632" cm="1">
        <f t="array" ref="AM182">IF($CI182=0,0,IFERROR(INDEX(MHR[],$CI182,MATCH($CA182,MHR!$B$4:$AY$4,0)+11),0))</f>
        <v>0</v>
      </c>
      <c r="AN182" s="633" cm="1">
        <f t="array" ref="AN182">IF(($J182+$V182)=0,0,IFERROR(IF(INDEX(Premises!$A$41:$F$41,1,$CH182)&lt;&gt;0,INDEX(Premises!$A$41:$F$41,1,$CH182)/100,(IFERROR(($J182/$I182)*$AM182,0)/($V182+$J182+$R182+$AL182))),0))</f>
        <v>0</v>
      </c>
      <c r="AO182" s="634">
        <f>IF(($J182+$V182)=0,0,IF(IFERROR(($J182+$R182+$V182+$AL182)*$AN182,0)&lt;&gt;IFERROR(($J182/$I182)*$AM182,0),($J182+$R182+$V182+$AL182)*$AN182,IFERROR(($J182/$I182)*$AM182,0)))</f>
        <v>0</v>
      </c>
      <c r="AP182" s="635">
        <f>$V182+$J182+$R182+$AA182+$AF182+$AL182+$AO182</f>
        <v>0</v>
      </c>
      <c r="AQ182" s="410"/>
      <c r="AR182" s="409"/>
      <c r="AS182" s="636" cm="1">
        <f t="array" ref="AS182">IF($CJ182=0,0,IFERROR(INDEX(MAT[Einheit],$CJ182,1),0))</f>
        <v>0</v>
      </c>
      <c r="AT182" s="637" cm="1">
        <f t="array" ref="AT182">IF($CJ182=0,0,IFERROR(INDEX(MAT[Preis],$CJ182,1),0))</f>
        <v>0</v>
      </c>
      <c r="AU182" s="638">
        <f>$AR182*$AT182</f>
        <v>0</v>
      </c>
      <c r="AV182" s="639" cm="1">
        <f t="array" ref="AV182">IF($AU182&lt;=0,0,INDEX(Premises!$A$30:$F$30,1,$CH182)/100)</f>
        <v>0</v>
      </c>
      <c r="AW182" s="409"/>
      <c r="AX182" s="631">
        <f>IF($AV182=0,0,($AU182+$AW182)*$AV182)</f>
        <v>0</v>
      </c>
      <c r="AY182" s="640" cm="1">
        <f t="array" ref="AY182">IF($AT182&lt;=0,0,IFERROR(IF(INDEX(Premises!$A$42:$F$42,1,$CH182)&lt;&gt;0,INDEX(Premises!$A$42:$F$42,1,$CH182)/100,(INDEX(MAT[],$CJ182,MATCH($CA182,MAT!$B$4:$AE$4,0))/($AR182*$CK182*INDEX(Premises!$A$13:$F$13,1,$CH182))+INDEX(MAT[],$CJ182,MATCH($CA182,MAT!$B$4:$AE$4,0)+7))/$AT182),0))</f>
        <v>0</v>
      </c>
      <c r="AZ182" s="631">
        <f>IF($AY182=0,0,($AU182+$AX182)*$AY182)</f>
        <v>0</v>
      </c>
      <c r="BA182" s="635">
        <f>$AU182+$AX182+$AZ182</f>
        <v>0</v>
      </c>
      <c r="BB182" s="635">
        <f>$AP182+$BA182</f>
        <v>0</v>
      </c>
      <c r="BC182" s="639" cm="1">
        <f t="array" ref="BC182">IF($BB182&lt;=0,0,IF(BC$2=-1,0,INDEX(Premises!$A$32:$F$32,1,$CH182)/100))</f>
        <v>0</v>
      </c>
      <c r="BD182" s="631">
        <f>IF($AP182&lt;=0,0,($AP182-$AA182-$AL182)*$BC182)</f>
        <v>0</v>
      </c>
      <c r="BE182" s="639" cm="1">
        <f t="array" ref="BE182">IF($BB182&lt;=0,0,IF(BE$2=-1,0,INDEX(Premises!$A$33:$F$33,1,$CH182)/100))</f>
        <v>0</v>
      </c>
      <c r="BF182" s="631">
        <f>IF($BA182&lt;=0,0,$BA182*$BE182)</f>
        <v>0</v>
      </c>
      <c r="BG182" s="639" cm="1">
        <f t="array" ref="BG182">IF($BB182&lt;=0,0,IF(BG$2=-1,0,INDEX(Premises!$A$31:$F$31,1,$CH182)/100))</f>
        <v>0</v>
      </c>
      <c r="BH182" s="631">
        <f>(($AP182-$AA182-$AL182)+$BA182)*$BG182</f>
        <v>0</v>
      </c>
      <c r="BI182" s="635">
        <f>$BB182+$BD182+$BF182+$BH182</f>
        <v>0</v>
      </c>
      <c r="BJ182" s="639" cm="1">
        <f t="array" ref="BJ182">IF($BB182&lt;=0,0,IF(BJ$2=-1,0,INDEX(Premises!$A$35:$F$35,1,$CH182)/100))</f>
        <v>0</v>
      </c>
      <c r="BK182" s="631">
        <f>IF($AP182&lt;=0,0,($AP182-$AL182-$AA182)*$BJ182)</f>
        <v>0</v>
      </c>
      <c r="BL182" s="639" cm="1">
        <f t="array" ref="BL182">IF($BB182&lt;=0,0,IF(BL$2=-1,0,INDEX(Premises!$A$36:$F$36,1,$CH182)/100))</f>
        <v>0</v>
      </c>
      <c r="BM182" s="631">
        <f>IF($AU182&lt;=0,0,($AR182*$AT182)*$BL182)</f>
        <v>0</v>
      </c>
      <c r="BN182" s="639" cm="1">
        <f t="array" ref="BN182">IF($BB182&lt;=0,0,IF(BN$2=-1,0,INDEX(Premises!$A$34:$F$34,1,$CH182)/100))</f>
        <v>0</v>
      </c>
      <c r="BO182" s="631">
        <f>(($AP182-$AL182-$AA182)+($AR182*$AT182))*$BN182</f>
        <v>0</v>
      </c>
      <c r="BP182" s="639" cm="1">
        <f t="array" ref="BP182">IF($BI182=0,0,INDEX(Premises!$A$37:$F$37,1,$CH182)/100)</f>
        <v>0</v>
      </c>
      <c r="BQ182" s="409"/>
      <c r="BR182" s="631">
        <f>($BI182+$BK182+$BM182+$BO182)*$BP182+$BQ182</f>
        <v>0</v>
      </c>
      <c r="BS182" s="641">
        <f>BI182+BK182+BM182+BO182+BR182</f>
        <v>0</v>
      </c>
      <c r="BT182" s="641">
        <f>IF($BS182=0,0,$CK182*$BS182)</f>
        <v>0</v>
      </c>
      <c r="BU182" s="642">
        <f>IF($BT182=0,0,MAX(1,$EB182/$DP182))</f>
        <v>0</v>
      </c>
      <c r="BV182" s="1147"/>
      <c r="BW182" s="418"/>
      <c r="BX182" s="418"/>
      <c r="BY182" s="419"/>
      <c r="BZ182" s="968"/>
      <c r="CA182" s="280" cm="1">
        <f t="array" ref="CA182">IF($BZ182&gt;0,VALUE(LEFT($BZ182,IF(ISERROR(FIND("-",$BZ182)),LEN($BZ182),FIND("-",$BZ182)-1))),INDEX($CA$1:$CA182,MAX(1,$CD182)))</f>
        <v>1</v>
      </c>
      <c r="CB182" s="280" cm="1">
        <f t="array" ref="CB182">IF($BT182=0,0,IF(LEN($BZ182)-LEN(SUBSTITUTE($BZ182,"-",""))&gt;1,
VALUE(MID($BZ182,FIND("-",$BZ182)+1,FIND("-",$BZ182,FIND("-",$BZ182)+1)-FIND("-",$BZ182)-1)),IF($BZ182&gt;0,0,INDEX($CB$1:$CB182,MAX(1,$CD182)))))</f>
        <v>0</v>
      </c>
      <c r="CC182" s="280" cm="1">
        <f t="array" ref="CC182">IF($BT182=0,0,IF(NOT(ISERROR(FIND("-",BZ182))),
VALUE(RIGHT($BZ182,LEN($BZ182)-IF(LEN($BZ182)-LEN(SUBSTITUTE($BZ182,"-",""))=1,FIND("-",$BZ182),FIND("-",$BZ182,FIND("-",$BZ182)+1)))),
IF($BZ182&gt;0,0,INDEX($CC$1:$CC182,MAX(1,$CD182)))))</f>
        <v>0</v>
      </c>
      <c r="CD182" s="393">
        <f>MATCH(0,$CE$1:$CE182,-1)</f>
        <v>174</v>
      </c>
      <c r="CE182" s="280"/>
      <c r="CF182" s="394"/>
      <c r="CG182" s="393" cm="1">
        <f t="array" ref="CG182">INDEX($CG$1:$CG182,$CD182)</f>
        <v>22</v>
      </c>
      <c r="CH182" s="280">
        <f>MATCH($CA182,Premises!$A$10:$F$10,0)</f>
        <v>4</v>
      </c>
      <c r="CI182" s="280">
        <f>IF(ISBLANK($E182),0,IFERROR(MATCH($E182,MHR[Bezeichnung],0),0))</f>
        <v>0</v>
      </c>
      <c r="CJ182" s="394">
        <f>IF(ISBLANK($AQ182),0,IFERROR(MATCH($AQ182,MAT[Bezeichnung],0),0))</f>
        <v>0</v>
      </c>
      <c r="CK182" s="280" cm="1">
        <f t="array" ref="CK182">INDEX($D$1:$D182,$CD182)</f>
        <v>1</v>
      </c>
      <c r="CL182" s="280"/>
      <c r="CM182" s="395"/>
      <c r="CN182" s="396" cm="1">
        <f t="array" ref="CN182">IF($CB182=0,0,IF($CB182=INDEX($CB$1:$CB182,$CD182),INDEX($CN$1:$CN182,$CD182),$CP182))</f>
        <v>0</v>
      </c>
      <c r="CO182" s="395"/>
      <c r="CP182" s="396" cm="1">
        <f t="array" ref="CP182">IF($CC182=0,0,INDEX($CP$1:$CP182,$CD182))</f>
        <v>0</v>
      </c>
      <c r="CQ182" s="397"/>
      <c r="CR182" s="398"/>
      <c r="CS182" s="398"/>
      <c r="CT182" s="1152"/>
      <c r="CU182" s="1149"/>
      <c r="CV182" s="647">
        <f>$J182*$CK182</f>
        <v>0</v>
      </c>
      <c r="CW182" s="648">
        <f>$R182*$CK182</f>
        <v>0</v>
      </c>
      <c r="CX182" s="648">
        <f>$V182*$CK182</f>
        <v>0</v>
      </c>
      <c r="CY182" s="648">
        <f>$AA182*$CK182</f>
        <v>0</v>
      </c>
      <c r="CZ182" s="648">
        <f>$AF182*$CK182</f>
        <v>0</v>
      </c>
      <c r="DA182" s="648">
        <f>$AL182*$CK182</f>
        <v>0</v>
      </c>
      <c r="DB182" s="648">
        <f>$AO182*$CK182</f>
        <v>0</v>
      </c>
      <c r="DC182" s="649">
        <f>$AP182*$CK182</f>
        <v>0</v>
      </c>
      <c r="DD182" s="648">
        <f>$AU182*$CK182</f>
        <v>0</v>
      </c>
      <c r="DE182" s="648">
        <f>$AX182*$CK182</f>
        <v>0</v>
      </c>
      <c r="DF182" s="648">
        <f>$AZ182*$CK182</f>
        <v>0</v>
      </c>
      <c r="DG182" s="649">
        <f>$BA182*$CK182</f>
        <v>0</v>
      </c>
      <c r="DH182" s="649">
        <f>$BB182*$CK182</f>
        <v>0</v>
      </c>
      <c r="DI182" s="648">
        <f>$BD182*$CK182</f>
        <v>0</v>
      </c>
      <c r="DJ182" s="648">
        <f>$BF182*$CK182</f>
        <v>0</v>
      </c>
      <c r="DK182" s="648">
        <f>$BH182*$CK182</f>
        <v>0</v>
      </c>
      <c r="DL182" s="648">
        <f>$BK182*$CK182</f>
        <v>0</v>
      </c>
      <c r="DM182" s="648">
        <f>$BM182*$CK182</f>
        <v>0</v>
      </c>
      <c r="DN182" s="648">
        <f>$BO182*$CK182</f>
        <v>0</v>
      </c>
      <c r="DO182" s="648">
        <f>$BR182*$CK182</f>
        <v>0</v>
      </c>
      <c r="DP182" s="651">
        <f>$CK182*($BB182+$BD182+$BF182+$BH182+$BK182+$BM182+$BO182+$BR182)</f>
        <v>0</v>
      </c>
      <c r="DQ182" s="951">
        <f>IF($CB182=0,0,$DP182*_xlfn.XLOOKUP($CB182,Premises!$A$10:$F$10,Premises!$A$30:$F$30)/100)</f>
        <v>0</v>
      </c>
      <c r="DR182" s="650">
        <f>IFERROR(SUM($DP182:$DQ182)*IF(INDEX(Premises!$A$42:$F$42,1,MATCH($CB182,Premises!$A$10:$F$10,0))&gt;0,INDEX(Premises!$A$42:$F$42,1,MATCH($CB182,Premises!$A$10:$F$10,0))%,$CN182),0)</f>
        <v>0</v>
      </c>
      <c r="DS182" s="650" cm="1">
        <f t="array" ref="DS182">IF($CB182=0,0,SUM($DP182:$DR182)*_xlfn.XLOOKUP($CB182,Premises!$A$10:$F$10,IF(INDEX(Settings[],MATCH(3001,Settings[ID],0),2)="B",Premises!$A$33:$F$33,Premises!$A$31:$F$31))/100)</f>
        <v>0</v>
      </c>
      <c r="DT182" s="650" cm="1">
        <f t="array" ref="DT182">IF($CB182=0,0,$DP182*_xlfn.XLOOKUP($CB182,Premises!$A$10:$F$10,IF(INDEX(Settings[],MATCH(3002,Settings[ID],0),2)="B",Premises!$A$36:$F$36,Premises!$A$34:$F$34))/100)</f>
        <v>0</v>
      </c>
      <c r="DU182" s="650">
        <f>IF($CB182=0,0,SUM($DP182:$DT182)*_xlfn.XLOOKUP($CB182,Premises!$A$10:$F$10,Premises!$A$37:$F$37)/100)</f>
        <v>0</v>
      </c>
      <c r="DV182" s="954">
        <f>SUM($DP182:$DU182)</f>
        <v>0</v>
      </c>
      <c r="DW182" s="951">
        <f>IF($CC182=0,0,$DV182*_xlfn.XLOOKUP($CC182,Premises!$A$10:$F$10,Premises!$A$30:$F$30)/100)</f>
        <v>0</v>
      </c>
      <c r="DX182" s="650">
        <f>IFERROR(SUM($DV182:$DW182)*IF(INDEX(Premises!$A$42:$F$42,1,MATCH($CC182,Premises!$A$10:$F$10,0))&gt;0,INDEX(Premises!$A$42:$F$42,1,MATCH($CC182,Premises!$A$10:$F$10,0))%,$CP182),0)</f>
        <v>0</v>
      </c>
      <c r="DY182" s="650" cm="1">
        <f t="array" ref="DY182">IF($CC182=0,0,SUM($DV182:$DX182)*_xlfn.XLOOKUP($CC182,Premises!$A$10:$F$10,IF(INDEX(Settings[],MATCH(3001,Settings[ID],0),2)="B",Premises!$A$33:$F$33,Premises!$A$31:$F$31))/100)</f>
        <v>0</v>
      </c>
      <c r="DZ182" s="650" cm="1">
        <f t="array" ref="DZ182">IF($CC182=0,0,$DV182*_xlfn.XLOOKUP($CC182,Premises!$A$10:$F$10,IF(INDEX(Settings[],MATCH(3002,Settings[ID],0),2)="B",Premises!$A$36:$F$36,Premises!$A$34:$F$34))/100)</f>
        <v>0</v>
      </c>
      <c r="EA182" s="650">
        <f>IF($CC182=0,0,SUM($DV182:$DZ182)*_xlfn.XLOOKUP($CC182,Premises!$A$10:$F$10,Premises!$A$37:$F$37)/100)</f>
        <v>0</v>
      </c>
      <c r="EB182" s="651">
        <f>SUM($DV182:$EA182)</f>
        <v>0</v>
      </c>
      <c r="EC182" s="805"/>
      <c r="ED182" s="1104"/>
      <c r="EE182" s="650"/>
      <c r="EF182" s="1110"/>
      <c r="EG182" s="1108"/>
      <c r="EH182" s="1108"/>
      <c r="EI182" s="1108"/>
      <c r="EJ182" s="1108"/>
      <c r="EK182" s="1108"/>
      <c r="EL182" s="1108"/>
      <c r="EM182" s="1110"/>
      <c r="EN182" s="1108"/>
      <c r="EO182" s="1108"/>
      <c r="EP182" s="1108"/>
      <c r="EQ182" s="1108"/>
      <c r="ER182" s="1110"/>
      <c r="ES182" s="1108"/>
      <c r="ET182" s="1108"/>
      <c r="EU182" s="1108"/>
      <c r="EV182" s="1108"/>
      <c r="EW182" s="1108"/>
      <c r="EX182" s="1111"/>
      <c r="EY182" s="2"/>
      <c r="EZ182" s="2"/>
      <c r="FA182" s="2"/>
      <c r="FB182" s="2"/>
      <c r="FC182" s="2"/>
      <c r="FD182" s="2"/>
      <c r="FE182" s="2"/>
      <c r="FF182" s="2"/>
      <c r="FG182" s="2"/>
      <c r="FH182" s="2"/>
      <c r="FI182" s="2"/>
      <c r="FJ182" s="420"/>
      <c r="FK182" s="421"/>
      <c r="FL182" s="422"/>
      <c r="FM182" s="1153"/>
    </row>
    <row r="183" spans="1:169" s="13" customFormat="1" ht="12.75" customHeight="1">
      <c r="A183" s="221"/>
      <c r="B183" s="1329" t="s">
        <v>4341</v>
      </c>
      <c r="C183" s="403" t="s">
        <v>4342</v>
      </c>
      <c r="D183" s="646"/>
      <c r="E183" s="404" t="s">
        <v>4343</v>
      </c>
      <c r="F183" s="405">
        <v>1</v>
      </c>
      <c r="G183" s="405" t="s">
        <v>93</v>
      </c>
      <c r="H183" s="405">
        <v>45</v>
      </c>
      <c r="I183" s="637" cm="1">
        <f t="array" ref="I183">IF($CI183=0,0,IFERROR(INDEX(MHR[],$CI183,MATCH($CA183,MHR!$B$4:$AY$4,0)),0))</f>
        <v>19.916819444444442</v>
      </c>
      <c r="J183" s="634">
        <f t="shared" si="527"/>
        <v>1.2294332990397806E-4</v>
      </c>
      <c r="K183" s="406" t="s">
        <v>49</v>
      </c>
      <c r="L183" s="407">
        <v>30</v>
      </c>
      <c r="M183" s="871">
        <v>2</v>
      </c>
      <c r="N183" s="407"/>
      <c r="O183" s="405"/>
      <c r="P183" s="645" cm="1">
        <f t="array" ref="P183">IF($K183=0,0,IFERROR(ROUNDUP(IF(ISNUMBER($K183),$K183,INDEX($D$1:$D183,$CD183)*INDEX(Premises!$A$13:$F$13,1,$CH183)/IF(OR($K183="T",$K183="D"),250,IF($K183="W",50,IF($K183="M",12,IF(OR($K183="HJ",$K183="HY"),2,IF(OR($K183="J",$K183="Y"),1,0)))))),0),0))</f>
        <v>3334</v>
      </c>
      <c r="Q183" s="637" cm="1">
        <f t="array" ref="Q183">IF($K183=0,0,IFERROR(INDEX(Premises!$A$22:$F$22,1,$CH183)*100/INDEX(Premises!$A$16:$F$16,1,$CH183),0))</f>
        <v>16.925000000000001</v>
      </c>
      <c r="R183" s="634">
        <f t="shared" si="480"/>
        <v>8.0634102346197421E-3</v>
      </c>
      <c r="S183" s="408">
        <v>1</v>
      </c>
      <c r="T183" s="409" t="s">
        <v>275</v>
      </c>
      <c r="U183" s="637" cm="1">
        <f t="array" ref="U183">IF(COUNTBLANK($S183:$T183),0,
IF(AND(INDEX(MHR[Schichtmodell],$CI183)&lt;&gt;0,INDEX(MHR[Schichtmodell],$CI183)&lt;&gt;INDEX(Premises!$A$20:$F$20,1,$CH183)),ExchangeRate*
IF(OR($T183="M",$T183="U"),IF(INDEX(MHR[Schichtmodell],$CI183)=1,INDEX(LOC[M1S],INDEX(Premises!$A$18:$F$18,1,$CH183+1)),IF(INDEX(MHR[Schichtmodell],$CI183)=2,INDEX(LOC[M2S],INDEX(Premises!$A$18:$F$18,1,$CH183+1),IF(INDEX(MHR[Schichtmodell],$CI183)=3,INDEX(LOC[M3S],INDEX(Premises!$A$18:$F$18,1,$CH183+1)),0)))),
IF(INDEX(MHR[Schichtmodell],$CI183)=1,INDEX(LOC[F1S],INDEX(Premises!$A$18:$F$18,1,$CH183+1)),IF(INDEX(MHR[Schichtmodell],$CI183)=2,INDEX(LOC[F2S],INDEX(Premises!$A$18:$F$18,1,$CH183+1)),IF(INDEX(MHR[Schichtmodell],$CI183)=3,INDEX(LOC[F3S],INDEX(Premises!$A$18:$F$18,1,$CH183+1)),0)))),
IF(OR($T183="M",$T183="U"),INDEX(Premises!$A$21:$F$21,1,$CH183),
IF(OR($T183="F",$T183="S"),INDEX(Premises!$A$22:$F$22,1,$CH183),0)))*100/INDEX(Premises!$A$16:$F$16,1,$CH183))</f>
        <v>12.037500000000001</v>
      </c>
      <c r="V183" s="631">
        <f t="shared" si="481"/>
        <v>7.4305555555555567E-5</v>
      </c>
      <c r="W183" s="410"/>
      <c r="X183" s="403"/>
      <c r="Y183" s="411"/>
      <c r="Z183" s="412"/>
      <c r="AA183" s="628">
        <f t="shared" si="482"/>
        <v>0</v>
      </c>
      <c r="AB183" s="410"/>
      <c r="AC183" s="403"/>
      <c r="AD183" s="411"/>
      <c r="AE183" s="413"/>
      <c r="AF183" s="628">
        <f t="shared" si="483"/>
        <v>0</v>
      </c>
      <c r="AG183" s="629" cm="1">
        <f t="array" ref="AG183">IF(($J183+$V183+$AF183)=0,0,INDEX(Premises!$A$30:$F$30,1,$CH183)/100)</f>
        <v>0.01</v>
      </c>
      <c r="AH183" s="414"/>
      <c r="AI183" s="415"/>
      <c r="AJ183" s="416"/>
      <c r="AK183" s="630">
        <f t="shared" si="484"/>
        <v>0</v>
      </c>
      <c r="AL183" s="631">
        <f t="shared" si="485"/>
        <v>1.9724888545953364E-6</v>
      </c>
      <c r="AM183" s="632" cm="1">
        <f t="array" ref="AM183">IF($CI183=0,0,IFERROR(INDEX(MHR[],$CI183,MATCH($CA183,MHR!$B$4:$AY$4,0)+11),0))</f>
        <v>3.7098343488523082</v>
      </c>
      <c r="AN183" s="633" cm="1">
        <f t="array" ref="AN183">IF(($J183+$V183)=0,0,IFERROR(IF(INDEX(Premises!$A$41:$F$41,1,$CH183)&lt;&gt;0,INDEX(Premises!$A$41:$F$41,1,$CH183)/100,(IFERROR(($J183/$I183)*$AM183,0)/($V183+$J183+$R183+$AL183))),0))</f>
        <v>2.7715397604307981E-3</v>
      </c>
      <c r="AO183" s="634">
        <f t="shared" si="486"/>
        <v>2.2900212029952522E-5</v>
      </c>
      <c r="AP183" s="635">
        <f t="shared" si="487"/>
        <v>8.2855318209638235E-3</v>
      </c>
      <c r="AQ183" s="410"/>
      <c r="AR183" s="409"/>
      <c r="AS183" s="636" cm="1">
        <f t="array" ref="AS183">IF($CJ183=0,0,IFERROR(INDEX(MAT[Einheit],$CJ183,1),0))</f>
        <v>0</v>
      </c>
      <c r="AT183" s="637" cm="1">
        <f t="array" ref="AT183">IF($CJ183=0,0,IFERROR(INDEX(MAT[Preis],$CJ183,1),0))</f>
        <v>0</v>
      </c>
      <c r="AU183" s="638">
        <f t="shared" si="488"/>
        <v>0</v>
      </c>
      <c r="AV183" s="639" cm="1">
        <f t="array" ref="AV183">IF($AU183&lt;=0,0,INDEX(Premises!$A$30:$F$30,1,$CH183)/100)</f>
        <v>0</v>
      </c>
      <c r="AW183" s="409"/>
      <c r="AX183" s="631">
        <f t="shared" si="489"/>
        <v>0</v>
      </c>
      <c r="AY183" s="640" cm="1">
        <f t="array" ref="AY183">IF($AT183&lt;=0,0,IFERROR(IF(INDEX(Premises!$A$42:$F$42,1,$CH183)&lt;&gt;0,INDEX(Premises!$A$42:$F$42,1,$CH183)/100,(INDEX(MAT[],$CJ183,MATCH($CA183,MAT!$B$4:$AE$4,0))/($AR183*$CK183*INDEX(Premises!$A$13:$F$13,1,$CH183))+INDEX(MAT[],$CJ183,MATCH($CA183,MAT!$B$4:$AE$4,0)+7))/$AT183),0))</f>
        <v>0</v>
      </c>
      <c r="AZ183" s="631">
        <f t="shared" si="490"/>
        <v>0</v>
      </c>
      <c r="BA183" s="635">
        <f t="shared" si="491"/>
        <v>0</v>
      </c>
      <c r="BB183" s="635">
        <f t="shared" si="492"/>
        <v>8.2855318209638235E-3</v>
      </c>
      <c r="BC183" s="639" cm="1">
        <f t="array" ref="BC183">IF($BB183&lt;=0,0,IF(BC$2=-1,0,INDEX(Premises!$A$32:$F$32,1,$CH183)/100))</f>
        <v>0</v>
      </c>
      <c r="BD183" s="631">
        <f t="shared" si="493"/>
        <v>0</v>
      </c>
      <c r="BE183" s="639" cm="1">
        <f t="array" ref="BE183">IF($BB183&lt;=0,0,IF(BE$2=-1,0,INDEX(Premises!$A$33:$F$33,1,$CH183)/100))</f>
        <v>0</v>
      </c>
      <c r="BF183" s="631">
        <f t="shared" si="494"/>
        <v>0</v>
      </c>
      <c r="BG183" s="639" cm="1">
        <f t="array" ref="BG183">IF($BB183&lt;=0,0,IF(BG$2=-1,0,INDEX(Premises!$A$31:$F$31,1,$CH183)/100))</f>
        <v>0.125</v>
      </c>
      <c r="BH183" s="631">
        <f t="shared" si="495"/>
        <v>1.0354449165136535E-3</v>
      </c>
      <c r="BI183" s="635">
        <f t="shared" si="496"/>
        <v>9.3209767374774766E-3</v>
      </c>
      <c r="BJ183" s="639" cm="1">
        <f t="array" ref="BJ183">IF($BB183&lt;=0,0,IF(BJ$2=-1,0,INDEX(Premises!$A$35:$F$35,1,$CH183)/100))</f>
        <v>0</v>
      </c>
      <c r="BK183" s="631">
        <f t="shared" si="497"/>
        <v>0</v>
      </c>
      <c r="BL183" s="639" cm="1">
        <f t="array" ref="BL183">IF($BB183&lt;=0,0,IF(BL$2=-1,0,INDEX(Premises!$A$36:$F$36,1,$CH183)/100))</f>
        <v>0</v>
      </c>
      <c r="BM183" s="631">
        <f t="shared" si="498"/>
        <v>0</v>
      </c>
      <c r="BN183" s="639" cm="1">
        <f t="array" ref="BN183">IF($BB183&lt;=0,0,IF(BN$2=-1,0,INDEX(Premises!$A$34:$F$34,1,$CH183)/100))</f>
        <v>0.06</v>
      </c>
      <c r="BO183" s="631">
        <f t="shared" si="499"/>
        <v>4.9701355992655372E-4</v>
      </c>
      <c r="BP183" s="639" cm="1">
        <f t="array" ref="BP183">IF($BI183=0,0,INDEX(Premises!$A$37:$F$37,1,$CH183)/100)</f>
        <v>0</v>
      </c>
      <c r="BQ183" s="409"/>
      <c r="BR183" s="631">
        <f t="shared" si="500"/>
        <v>0</v>
      </c>
      <c r="BS183" s="641">
        <f t="shared" si="501"/>
        <v>9.8179902974040306E-3</v>
      </c>
      <c r="BT183" s="641">
        <f t="shared" si="502"/>
        <v>9.8179902974040306E-3</v>
      </c>
      <c r="BU183" s="642">
        <f t="shared" si="503"/>
        <v>1</v>
      </c>
      <c r="BV183" s="1147"/>
      <c r="BW183" s="418"/>
      <c r="BX183" s="418"/>
      <c r="BY183" s="419"/>
      <c r="BZ183" s="968"/>
      <c r="CA183" s="280" cm="1">
        <f t="array" ref="CA183">IF($BZ183&gt;0,VALUE(LEFT($BZ183,IF(ISERROR(FIND("-",$BZ183)),LEN($BZ183),FIND("-",$BZ183)-1))),INDEX($CA$1:$CA183,MAX(1,$CD183)))</f>
        <v>1</v>
      </c>
      <c r="CB183" s="280" cm="1">
        <f t="array" ref="CB183">IF($BT183=0,0,IF(LEN($BZ183)-LEN(SUBSTITUTE($BZ183,"-",""))&gt;1,
VALUE(MID($BZ183,FIND("-",$BZ183)+1,FIND("-",$BZ183,FIND("-",$BZ183)+1)-FIND("-",$BZ183)-1)),IF($BZ183&gt;0,0,INDEX($CB$1:$CB183,MAX(1,$CD183)))))</f>
        <v>0</v>
      </c>
      <c r="CC183" s="280" cm="1">
        <f t="array" ref="CC183">IF($BT183=0,0,IF(NOT(ISERROR(FIND("-",BZ183))),
VALUE(RIGHT($BZ183,LEN($BZ183)-IF(LEN($BZ183)-LEN(SUBSTITUTE($BZ183,"-",""))=1,FIND("-",$BZ183),FIND("-",$BZ183,FIND("-",$BZ183)+1)))),
IF($BZ183&gt;0,0,INDEX($CC$1:$CC183,MAX(1,$CD183)))))</f>
        <v>0</v>
      </c>
      <c r="CD183" s="393">
        <f>MATCH(0,$CE$1:$CE183,-1)</f>
        <v>174</v>
      </c>
      <c r="CE183" s="280"/>
      <c r="CF183" s="394"/>
      <c r="CG183" s="393" cm="1">
        <f t="array" ref="CG183">INDEX($CG$1:$CG183,$CD183)</f>
        <v>22</v>
      </c>
      <c r="CH183" s="280">
        <f>MATCH($CA183,Premises!$A$10:$F$10,0)</f>
        <v>4</v>
      </c>
      <c r="CI183" s="280">
        <f>IF(ISBLANK($E183),0,IFERROR(MATCH($E183,MHR[Bezeichnung],0),0))</f>
        <v>5</v>
      </c>
      <c r="CJ183" s="394">
        <f>IF(ISBLANK($AQ183),0,IFERROR(MATCH($AQ183,MAT[Bezeichnung],0),0))</f>
        <v>0</v>
      </c>
      <c r="CK183" s="280" cm="1">
        <f t="array" ref="CK183">INDEX($D$1:$D183,$CD183)</f>
        <v>1</v>
      </c>
      <c r="CL183" s="280"/>
      <c r="CM183" s="395"/>
      <c r="CN183" s="396" cm="1">
        <f t="array" ref="CN183">IF($CB183=0,0,IF($CB183=INDEX($CB$1:$CB183,$CD183),INDEX($CN$1:$CN183,$CD183),$CP183))</f>
        <v>0</v>
      </c>
      <c r="CO183" s="395"/>
      <c r="CP183" s="396" cm="1">
        <f t="array" ref="CP183">IF($CC183=0,0,INDEX($CP$1:$CP183,$CD183))</f>
        <v>0</v>
      </c>
      <c r="CQ183" s="397"/>
      <c r="CR183" s="398"/>
      <c r="CS183" s="398"/>
      <c r="CT183" s="1152"/>
      <c r="CU183" s="1149"/>
      <c r="CV183" s="647">
        <f t="shared" si="504"/>
        <v>1.2294332990397806E-4</v>
      </c>
      <c r="CW183" s="648">
        <f t="shared" si="505"/>
        <v>8.0634102346197421E-3</v>
      </c>
      <c r="CX183" s="648">
        <f t="shared" si="506"/>
        <v>7.4305555555555567E-5</v>
      </c>
      <c r="CY183" s="648">
        <f t="shared" si="507"/>
        <v>0</v>
      </c>
      <c r="CZ183" s="648">
        <f t="shared" si="508"/>
        <v>0</v>
      </c>
      <c r="DA183" s="648">
        <f t="shared" si="509"/>
        <v>1.9724888545953364E-6</v>
      </c>
      <c r="DB183" s="648">
        <f t="shared" si="510"/>
        <v>2.2900212029952522E-5</v>
      </c>
      <c r="DC183" s="649">
        <f t="shared" si="511"/>
        <v>8.2855318209638235E-3</v>
      </c>
      <c r="DD183" s="648">
        <f t="shared" si="512"/>
        <v>0</v>
      </c>
      <c r="DE183" s="648">
        <f t="shared" si="513"/>
        <v>0</v>
      </c>
      <c r="DF183" s="648">
        <f t="shared" si="514"/>
        <v>0</v>
      </c>
      <c r="DG183" s="649">
        <f t="shared" si="515"/>
        <v>0</v>
      </c>
      <c r="DH183" s="649">
        <f t="shared" si="516"/>
        <v>8.2855318209638235E-3</v>
      </c>
      <c r="DI183" s="648">
        <f t="shared" si="517"/>
        <v>0</v>
      </c>
      <c r="DJ183" s="648">
        <f t="shared" si="518"/>
        <v>0</v>
      </c>
      <c r="DK183" s="648">
        <f t="shared" si="519"/>
        <v>1.0354449165136535E-3</v>
      </c>
      <c r="DL183" s="648">
        <f t="shared" si="520"/>
        <v>0</v>
      </c>
      <c r="DM183" s="648">
        <f t="shared" si="521"/>
        <v>0</v>
      </c>
      <c r="DN183" s="648">
        <f t="shared" si="522"/>
        <v>4.9701355992655372E-4</v>
      </c>
      <c r="DO183" s="648">
        <f t="shared" si="523"/>
        <v>0</v>
      </c>
      <c r="DP183" s="651">
        <f t="shared" si="524"/>
        <v>9.8179902974040306E-3</v>
      </c>
      <c r="DQ183" s="951">
        <f>IF($CB183=0,0,$DP183*_xlfn.XLOOKUP($CB183,Premises!$A$10:$F$10,Premises!$A$30:$F$30)/100)</f>
        <v>0</v>
      </c>
      <c r="DR183" s="650">
        <f>IFERROR(SUM($DP183:$DQ183)*IF(INDEX(Premises!$A$42:$F$42,1,MATCH($CB183,Premises!$A$10:$F$10,0))&gt;0,INDEX(Premises!$A$42:$F$42,1,MATCH($CB183,Premises!$A$10:$F$10,0))%,$CN183),0)</f>
        <v>0</v>
      </c>
      <c r="DS183" s="650" cm="1">
        <f t="array" ref="DS183">IF($CB183=0,0,SUM($DP183:$DR183)*_xlfn.XLOOKUP($CB183,Premises!$A$10:$F$10,IF(INDEX(Settings[],MATCH(3001,Settings[ID],0),2)="B",Premises!$A$33:$F$33,Premises!$A$31:$F$31))/100)</f>
        <v>0</v>
      </c>
      <c r="DT183" s="650" cm="1">
        <f t="array" ref="DT183">IF($CB183=0,0,$DP183*_xlfn.XLOOKUP($CB183,Premises!$A$10:$F$10,IF(INDEX(Settings[],MATCH(3002,Settings[ID],0),2)="B",Premises!$A$36:$F$36,Premises!$A$34:$F$34))/100)</f>
        <v>0</v>
      </c>
      <c r="DU183" s="650">
        <f>IF($CB183=0,0,SUM($DP183:$DT183)*_xlfn.XLOOKUP($CB183,Premises!$A$10:$F$10,Premises!$A$37:$F$37)/100)</f>
        <v>0</v>
      </c>
      <c r="DV183" s="954">
        <f t="shared" si="525"/>
        <v>9.8179902974040306E-3</v>
      </c>
      <c r="DW183" s="951">
        <f>IF($CC183=0,0,$DV183*_xlfn.XLOOKUP($CC183,Premises!$A$10:$F$10,Premises!$A$30:$F$30)/100)</f>
        <v>0</v>
      </c>
      <c r="DX183" s="650">
        <f>IFERROR(SUM($DV183:$DW183)*IF(INDEX(Premises!$A$42:$F$42,1,MATCH($CC183,Premises!$A$10:$F$10,0))&gt;0,INDEX(Premises!$A$42:$F$42,1,MATCH($CC183,Premises!$A$10:$F$10,0))%,$CP183),0)</f>
        <v>0</v>
      </c>
      <c r="DY183" s="650" cm="1">
        <f t="array" ref="DY183">IF($CC183=0,0,SUM($DV183:$DX183)*_xlfn.XLOOKUP($CC183,Premises!$A$10:$F$10,IF(INDEX(Settings[],MATCH(3001,Settings[ID],0),2)="B",Premises!$A$33:$F$33,Premises!$A$31:$F$31))/100)</f>
        <v>0</v>
      </c>
      <c r="DZ183" s="650" cm="1">
        <f t="array" ref="DZ183">IF($CC183=0,0,$DV183*_xlfn.XLOOKUP($CC183,Premises!$A$10:$F$10,IF(INDEX(Settings[],MATCH(3002,Settings[ID],0),2)="B",Premises!$A$36:$F$36,Premises!$A$34:$F$34))/100)</f>
        <v>0</v>
      </c>
      <c r="EA183" s="650">
        <f>IF($CC183=0,0,SUM($DV183:$DZ183)*_xlfn.XLOOKUP($CC183,Premises!$A$10:$F$10,Premises!$A$37:$F$37)/100)</f>
        <v>0</v>
      </c>
      <c r="EB183" s="651">
        <f t="shared" si="526"/>
        <v>9.8179902974040306E-3</v>
      </c>
      <c r="EC183" s="805"/>
      <c r="ED183" s="1104"/>
      <c r="EE183" s="650"/>
      <c r="EF183" s="1110"/>
      <c r="EG183" s="1108"/>
      <c r="EH183" s="1108"/>
      <c r="EI183" s="1108"/>
      <c r="EJ183" s="1108"/>
      <c r="EK183" s="1108"/>
      <c r="EL183" s="1108"/>
      <c r="EM183" s="1110"/>
      <c r="EN183" s="1108"/>
      <c r="EO183" s="1108"/>
      <c r="EP183" s="1108"/>
      <c r="EQ183" s="1108"/>
      <c r="ER183" s="1110"/>
      <c r="ES183" s="1108"/>
      <c r="ET183" s="1108"/>
      <c r="EU183" s="1108"/>
      <c r="EV183" s="1108"/>
      <c r="EW183" s="1108"/>
      <c r="EX183" s="1111"/>
      <c r="EY183" s="2"/>
      <c r="EZ183" s="2"/>
      <c r="FA183" s="2"/>
      <c r="FB183" s="2"/>
      <c r="FC183" s="2"/>
      <c r="FD183" s="2"/>
      <c r="FE183" s="2"/>
      <c r="FF183" s="2"/>
      <c r="FG183" s="2"/>
      <c r="FH183" s="2"/>
      <c r="FI183" s="2"/>
      <c r="FJ183" s="420"/>
      <c r="FK183" s="421"/>
      <c r="FL183" s="422"/>
      <c r="FM183" s="1153"/>
    </row>
    <row r="184" spans="1:169" s="13" customFormat="1" ht="12.75" customHeight="1">
      <c r="A184" s="221"/>
      <c r="B184" s="402"/>
      <c r="C184" s="403"/>
      <c r="D184" s="646"/>
      <c r="E184" s="404"/>
      <c r="F184" s="405"/>
      <c r="G184" s="405"/>
      <c r="H184" s="405"/>
      <c r="I184" s="637" cm="1">
        <f t="array" ref="I184">IF($CI184=0,0,IFERROR(INDEX(MHR[],$CI184,MATCH($CA184,MHR!$B$4:$AY$4,0)),0))</f>
        <v>0</v>
      </c>
      <c r="J184" s="634">
        <f t="shared" si="527"/>
        <v>0</v>
      </c>
      <c r="K184" s="406"/>
      <c r="L184" s="407"/>
      <c r="M184" s="871"/>
      <c r="N184" s="407"/>
      <c r="O184" s="405"/>
      <c r="P184" s="645" cm="1">
        <f t="array" ref="P184">IF($K184=0,0,IFERROR(ROUNDUP(IF(ISNUMBER($K184),$K184,INDEX($D$1:$D184,$CD184)*INDEX(Premises!$A$13:$F$13,1,$CH184)/IF(OR($K184="T",$K184="D"),250,IF($K184="W",50,IF($K184="M",12,IF(OR($K184="HJ",$K184="HY"),2,IF(OR($K184="J",$K184="Y"),1,0)))))),0),0))</f>
        <v>0</v>
      </c>
      <c r="Q184" s="637" cm="1">
        <f t="array" ref="Q184">IF($K184=0,0,IFERROR(INDEX(Premises!$A$22:$F$22,1,$CH184)*100/INDEX(Premises!$A$16:$F$16,1,$CH184),0))</f>
        <v>0</v>
      </c>
      <c r="R184" s="634">
        <f t="shared" si="480"/>
        <v>0</v>
      </c>
      <c r="S184" s="408"/>
      <c r="T184" s="409"/>
      <c r="U184" s="637" cm="1">
        <f t="array" ref="U184">IF(COUNTBLANK($S184:$T184),0,
IF(AND(INDEX(MHR[Schichtmodell],$CI184)&lt;&gt;0,INDEX(MHR[Schichtmodell],$CI184)&lt;&gt;INDEX(Premises!$A$20:$F$20,1,$CH184)),ExchangeRate*
IF(OR($T184="M",$T184="U"),IF(INDEX(MHR[Schichtmodell],$CI184)=1,INDEX(LOC[M1S],INDEX(Premises!$A$18:$F$18,1,$CH184+1)),IF(INDEX(MHR[Schichtmodell],$CI184)=2,INDEX(LOC[M2S],INDEX(Premises!$A$18:$F$18,1,$CH184+1),IF(INDEX(MHR[Schichtmodell],$CI184)=3,INDEX(LOC[M3S],INDEX(Premises!$A$18:$F$18,1,$CH184+1)),0)))),
IF(INDEX(MHR[Schichtmodell],$CI184)=1,INDEX(LOC[F1S],INDEX(Premises!$A$18:$F$18,1,$CH184+1)),IF(INDEX(MHR[Schichtmodell],$CI184)=2,INDEX(LOC[F2S],INDEX(Premises!$A$18:$F$18,1,$CH184+1)),IF(INDEX(MHR[Schichtmodell],$CI184)=3,INDEX(LOC[F3S],INDEX(Premises!$A$18:$F$18,1,$CH184+1)),0)))),
IF(OR($T184="M",$T184="U"),INDEX(Premises!$A$21:$F$21,1,$CH184),
IF(OR($T184="F",$T184="S"),INDEX(Premises!$A$22:$F$22,1,$CH184),0)))*100/INDEX(Premises!$A$16:$F$16,1,$CH184))</f>
        <v>0</v>
      </c>
      <c r="V184" s="631">
        <f t="shared" si="481"/>
        <v>0</v>
      </c>
      <c r="W184" s="410"/>
      <c r="X184" s="403"/>
      <c r="Y184" s="411"/>
      <c r="Z184" s="412"/>
      <c r="AA184" s="628">
        <f t="shared" si="482"/>
        <v>0</v>
      </c>
      <c r="AB184" s="410"/>
      <c r="AC184" s="403"/>
      <c r="AD184" s="411"/>
      <c r="AE184" s="413"/>
      <c r="AF184" s="628">
        <f t="shared" si="483"/>
        <v>0</v>
      </c>
      <c r="AG184" s="629" cm="1">
        <f t="array" ref="AG184">IF(($J184+$V184+$AF184)=0,0,INDEX(Premises!$A$30:$F$30,1,$CH184)/100)</f>
        <v>0</v>
      </c>
      <c r="AH184" s="414"/>
      <c r="AI184" s="415"/>
      <c r="AJ184" s="416"/>
      <c r="AK184" s="630">
        <f t="shared" si="484"/>
        <v>0</v>
      </c>
      <c r="AL184" s="631">
        <f t="shared" si="485"/>
        <v>0</v>
      </c>
      <c r="AM184" s="632" cm="1">
        <f t="array" ref="AM184">IF($CI184=0,0,IFERROR(INDEX(MHR[],$CI184,MATCH($CA184,MHR!$B$4:$AY$4,0)+11),0))</f>
        <v>0</v>
      </c>
      <c r="AN184" s="633" cm="1">
        <f t="array" ref="AN184">IF(($J184+$V184)=0,0,IFERROR(IF(INDEX(Premises!$A$41:$F$41,1,$CH184)&lt;&gt;0,INDEX(Premises!$A$41:$F$41,1,$CH184)/100,(IFERROR(($J184/$I184)*$AM184,0)/($V184+$J184+$R184+$AL184))),0))</f>
        <v>0</v>
      </c>
      <c r="AO184" s="634">
        <f t="shared" si="486"/>
        <v>0</v>
      </c>
      <c r="AP184" s="635">
        <f t="shared" si="487"/>
        <v>0</v>
      </c>
      <c r="AQ184" s="410"/>
      <c r="AR184" s="409"/>
      <c r="AS184" s="636" cm="1">
        <f t="array" ref="AS184">IF($CJ184=0,0,IFERROR(INDEX(MAT[Einheit],$CJ184,1),0))</f>
        <v>0</v>
      </c>
      <c r="AT184" s="637" cm="1">
        <f t="array" ref="AT184">IF($CJ184=0,0,IFERROR(INDEX(MAT[Preis],$CJ184,1),0))</f>
        <v>0</v>
      </c>
      <c r="AU184" s="638">
        <f t="shared" si="488"/>
        <v>0</v>
      </c>
      <c r="AV184" s="639" cm="1">
        <f t="array" ref="AV184">IF($AU184&lt;=0,0,INDEX(Premises!$A$30:$F$30,1,$CH184)/100)</f>
        <v>0</v>
      </c>
      <c r="AW184" s="409"/>
      <c r="AX184" s="631">
        <f t="shared" si="489"/>
        <v>0</v>
      </c>
      <c r="AY184" s="640" cm="1">
        <f t="array" ref="AY184">IF($AT184&lt;=0,0,IFERROR(IF(INDEX(Premises!$A$42:$F$42,1,$CH184)&lt;&gt;0,INDEX(Premises!$A$42:$F$42,1,$CH184)/100,(INDEX(MAT[],$CJ184,MATCH($CA184,MAT!$B$4:$AE$4,0))/($AR184*$CK184*INDEX(Premises!$A$13:$F$13,1,$CH184))+INDEX(MAT[],$CJ184,MATCH($CA184,MAT!$B$4:$AE$4,0)+7))/$AT184),0))</f>
        <v>0</v>
      </c>
      <c r="AZ184" s="631">
        <f t="shared" si="490"/>
        <v>0</v>
      </c>
      <c r="BA184" s="635">
        <f t="shared" si="491"/>
        <v>0</v>
      </c>
      <c r="BB184" s="635">
        <f t="shared" si="492"/>
        <v>0</v>
      </c>
      <c r="BC184" s="639" cm="1">
        <f t="array" ref="BC184">IF($BB184&lt;=0,0,IF(BC$2=-1,0,INDEX(Premises!$A$32:$F$32,1,$CH184)/100))</f>
        <v>0</v>
      </c>
      <c r="BD184" s="631">
        <f t="shared" si="493"/>
        <v>0</v>
      </c>
      <c r="BE184" s="639" cm="1">
        <f t="array" ref="BE184">IF($BB184&lt;=0,0,IF(BE$2=-1,0,INDEX(Premises!$A$33:$F$33,1,$CH184)/100))</f>
        <v>0</v>
      </c>
      <c r="BF184" s="631">
        <f t="shared" si="494"/>
        <v>0</v>
      </c>
      <c r="BG184" s="639" cm="1">
        <f t="array" ref="BG184">IF($BB184&lt;=0,0,IF(BG$2=-1,0,INDEX(Premises!$A$31:$F$31,1,$CH184)/100))</f>
        <v>0</v>
      </c>
      <c r="BH184" s="631">
        <f t="shared" si="495"/>
        <v>0</v>
      </c>
      <c r="BI184" s="635">
        <f t="shared" si="496"/>
        <v>0</v>
      </c>
      <c r="BJ184" s="639" cm="1">
        <f t="array" ref="BJ184">IF($BB184&lt;=0,0,IF(BJ$2=-1,0,INDEX(Premises!$A$35:$F$35,1,$CH184)/100))</f>
        <v>0</v>
      </c>
      <c r="BK184" s="631">
        <f t="shared" si="497"/>
        <v>0</v>
      </c>
      <c r="BL184" s="639" cm="1">
        <f t="array" ref="BL184">IF($BB184&lt;=0,0,IF(BL$2=-1,0,INDEX(Premises!$A$36:$F$36,1,$CH184)/100))</f>
        <v>0</v>
      </c>
      <c r="BM184" s="631">
        <f t="shared" si="498"/>
        <v>0</v>
      </c>
      <c r="BN184" s="639" cm="1">
        <f t="array" ref="BN184">IF($BB184&lt;=0,0,IF(BN$2=-1,0,INDEX(Premises!$A$34:$F$34,1,$CH184)/100))</f>
        <v>0</v>
      </c>
      <c r="BO184" s="631">
        <f t="shared" si="499"/>
        <v>0</v>
      </c>
      <c r="BP184" s="639" cm="1">
        <f t="array" ref="BP184">IF($BI184=0,0,INDEX(Premises!$A$37:$F$37,1,$CH184)/100)</f>
        <v>0</v>
      </c>
      <c r="BQ184" s="409"/>
      <c r="BR184" s="631">
        <f t="shared" si="500"/>
        <v>0</v>
      </c>
      <c r="BS184" s="641">
        <f t="shared" si="501"/>
        <v>0</v>
      </c>
      <c r="BT184" s="641">
        <f t="shared" si="502"/>
        <v>0</v>
      </c>
      <c r="BU184" s="642">
        <f t="shared" si="503"/>
        <v>0</v>
      </c>
      <c r="BV184" s="417"/>
      <c r="BW184" s="418"/>
      <c r="BX184" s="418"/>
      <c r="BY184" s="419"/>
      <c r="BZ184" s="968"/>
      <c r="CA184" s="280" cm="1">
        <f t="array" ref="CA184">IF($BZ184&gt;0,VALUE(LEFT($BZ184,IF(ISERROR(FIND("-",$BZ184)),LEN($BZ184),FIND("-",$BZ184)-1))),INDEX($CA$1:$CA184,MAX(1,$CD184)))</f>
        <v>1</v>
      </c>
      <c r="CB184" s="280" cm="1">
        <f t="array" ref="CB184">IF($BT184=0,0,IF(LEN($BZ184)-LEN(SUBSTITUTE($BZ184,"-",""))&gt;1,
VALUE(MID($BZ184,FIND("-",$BZ184)+1,FIND("-",$BZ184,FIND("-",$BZ184)+1)-FIND("-",$BZ184)-1)),IF($BZ184&gt;0,0,INDEX($CB$1:$CB184,MAX(1,$CD184)))))</f>
        <v>0</v>
      </c>
      <c r="CC184" s="280" cm="1">
        <f t="array" ref="CC184">IF($BT184=0,0,IF(NOT(ISERROR(FIND("-",BZ184))),
VALUE(RIGHT($BZ184,LEN($BZ184)-IF(LEN($BZ184)-LEN(SUBSTITUTE($BZ184,"-",""))=1,FIND("-",$BZ184),FIND("-",$BZ184,FIND("-",$BZ184)+1)))),
IF($BZ184&gt;0,0,INDEX($CC$1:$CC184,MAX(1,$CD184)))))</f>
        <v>0</v>
      </c>
      <c r="CD184" s="393">
        <f>MATCH(0,$CE$1:$CE184,-1)</f>
        <v>174</v>
      </c>
      <c r="CE184" s="280"/>
      <c r="CF184" s="394"/>
      <c r="CG184" s="393" cm="1">
        <f t="array" ref="CG184">INDEX($CG$1:$CG184,$CD184)</f>
        <v>22</v>
      </c>
      <c r="CH184" s="280">
        <f>MATCH($CA184,Premises!$A$10:$F$10,0)</f>
        <v>4</v>
      </c>
      <c r="CI184" s="280">
        <f>IF(ISBLANK($E184),0,IFERROR(MATCH($E184,MHR[Bezeichnung],0),0))</f>
        <v>0</v>
      </c>
      <c r="CJ184" s="394">
        <f>IF(ISBLANK($AQ184),0,IFERROR(MATCH($AQ184,MAT[Bezeichnung],0),0))</f>
        <v>0</v>
      </c>
      <c r="CK184" s="280" cm="1">
        <f t="array" ref="CK184">INDEX($D$1:$D184,$CD184)</f>
        <v>1</v>
      </c>
      <c r="CL184" s="280"/>
      <c r="CM184" s="395"/>
      <c r="CN184" s="396" cm="1">
        <f t="array" ref="CN184">IF($CB184=0,0,IF($CB184=INDEX($CB$1:$CB184,$CD184),INDEX($CN$1:$CN184,$CD184),$CP184))</f>
        <v>0</v>
      </c>
      <c r="CO184" s="395"/>
      <c r="CP184" s="396" cm="1">
        <f t="array" ref="CP184">IF($CC184=0,0,INDEX($CP$1:$CP184,$CD184))</f>
        <v>0</v>
      </c>
      <c r="CQ184" s="397"/>
      <c r="CR184" s="398"/>
      <c r="CS184" s="398"/>
      <c r="CT184" s="970"/>
      <c r="CU184" s="2"/>
      <c r="CV184" s="647">
        <f t="shared" si="504"/>
        <v>0</v>
      </c>
      <c r="CW184" s="648">
        <f t="shared" si="505"/>
        <v>0</v>
      </c>
      <c r="CX184" s="648">
        <f t="shared" si="506"/>
        <v>0</v>
      </c>
      <c r="CY184" s="648">
        <f t="shared" si="507"/>
        <v>0</v>
      </c>
      <c r="CZ184" s="648">
        <f t="shared" si="508"/>
        <v>0</v>
      </c>
      <c r="DA184" s="648">
        <f t="shared" si="509"/>
        <v>0</v>
      </c>
      <c r="DB184" s="648">
        <f t="shared" si="510"/>
        <v>0</v>
      </c>
      <c r="DC184" s="649">
        <f t="shared" si="511"/>
        <v>0</v>
      </c>
      <c r="DD184" s="648">
        <f t="shared" si="512"/>
        <v>0</v>
      </c>
      <c r="DE184" s="648">
        <f t="shared" si="513"/>
        <v>0</v>
      </c>
      <c r="DF184" s="648">
        <f t="shared" si="514"/>
        <v>0</v>
      </c>
      <c r="DG184" s="649">
        <f t="shared" si="515"/>
        <v>0</v>
      </c>
      <c r="DH184" s="649">
        <f t="shared" si="516"/>
        <v>0</v>
      </c>
      <c r="DI184" s="648">
        <f t="shared" si="517"/>
        <v>0</v>
      </c>
      <c r="DJ184" s="648">
        <f t="shared" si="518"/>
        <v>0</v>
      </c>
      <c r="DK184" s="648">
        <f t="shared" si="519"/>
        <v>0</v>
      </c>
      <c r="DL184" s="648">
        <f t="shared" si="520"/>
        <v>0</v>
      </c>
      <c r="DM184" s="648">
        <f t="shared" si="521"/>
        <v>0</v>
      </c>
      <c r="DN184" s="648">
        <f t="shared" si="522"/>
        <v>0</v>
      </c>
      <c r="DO184" s="648">
        <f t="shared" si="523"/>
        <v>0</v>
      </c>
      <c r="DP184" s="651">
        <f t="shared" si="524"/>
        <v>0</v>
      </c>
      <c r="DQ184" s="951">
        <f>IF($CB184=0,0,$DP184*_xlfn.XLOOKUP($CB184,Premises!$A$10:$F$10,Premises!$A$30:$F$30)/100)</f>
        <v>0</v>
      </c>
      <c r="DR184" s="650">
        <f>IFERROR(SUM($DP184:$DQ184)*IF(INDEX(Premises!$A$42:$F$42,1,MATCH($CB184,Premises!$A$10:$F$10,0))&gt;0,INDEX(Premises!$A$42:$F$42,1,MATCH($CB184,Premises!$A$10:$F$10,0))%,$CN184),0)</f>
        <v>0</v>
      </c>
      <c r="DS184" s="650" cm="1">
        <f t="array" ref="DS184">IF($CB184=0,0,SUM($DP184:$DR184)*_xlfn.XLOOKUP($CB184,Premises!$A$10:$F$10,IF(INDEX(Settings[],MATCH(3001,Settings[ID],0),2)="B",Premises!$A$33:$F$33,Premises!$A$31:$F$31))/100)</f>
        <v>0</v>
      </c>
      <c r="DT184" s="650" cm="1">
        <f t="array" ref="DT184">IF($CB184=0,0,$DP184*_xlfn.XLOOKUP($CB184,Premises!$A$10:$F$10,IF(INDEX(Settings[],MATCH(3002,Settings[ID],0),2)="B",Premises!$A$36:$F$36,Premises!$A$34:$F$34))/100)</f>
        <v>0</v>
      </c>
      <c r="DU184" s="650">
        <f>IF($CB184=0,0,SUM($DP184:$DT184)*_xlfn.XLOOKUP($CB184,Premises!$A$10:$F$10,Premises!$A$37:$F$37)/100)</f>
        <v>0</v>
      </c>
      <c r="DV184" s="954">
        <f t="shared" si="525"/>
        <v>0</v>
      </c>
      <c r="DW184" s="951">
        <f>IF($CC184=0,0,$DV184*_xlfn.XLOOKUP($CC184,Premises!$A$10:$F$10,Premises!$A$30:$F$30)/100)</f>
        <v>0</v>
      </c>
      <c r="DX184" s="650">
        <f>IFERROR(SUM($DV184:$DW184)*IF(INDEX(Premises!$A$42:$F$42,1,MATCH($CC184,Premises!$A$10:$F$10,0))&gt;0,INDEX(Premises!$A$42:$F$42,1,MATCH($CC184,Premises!$A$10:$F$10,0))%,$CP184),0)</f>
        <v>0</v>
      </c>
      <c r="DY184" s="650" cm="1">
        <f t="array" ref="DY184">IF($CC184=0,0,SUM($DV184:$DX184)*_xlfn.XLOOKUP($CC184,Premises!$A$10:$F$10,IF(INDEX(Settings[],MATCH(3001,Settings[ID],0),2)="B",Premises!$A$33:$F$33,Premises!$A$31:$F$31))/100)</f>
        <v>0</v>
      </c>
      <c r="DZ184" s="650" cm="1">
        <f t="array" ref="DZ184">IF($CC184=0,0,$DV184*_xlfn.XLOOKUP($CC184,Premises!$A$10:$F$10,IF(INDEX(Settings[],MATCH(3002,Settings[ID],0),2)="B",Premises!$A$36:$F$36,Premises!$A$34:$F$34))/100)</f>
        <v>0</v>
      </c>
      <c r="EA184" s="650">
        <f>IF($CC184=0,0,SUM($DV184:$DZ184)*_xlfn.XLOOKUP($CC184,Premises!$A$10:$F$10,Premises!$A$37:$F$37)/100)</f>
        <v>0</v>
      </c>
      <c r="EB184" s="651">
        <f t="shared" si="526"/>
        <v>0</v>
      </c>
      <c r="EC184" s="805"/>
      <c r="ED184" s="1104"/>
      <c r="EE184" s="650"/>
      <c r="EF184" s="1110"/>
      <c r="EG184" s="1108"/>
      <c r="EH184" s="1108"/>
      <c r="EI184" s="1108"/>
      <c r="EJ184" s="1108"/>
      <c r="EK184" s="1108"/>
      <c r="EL184" s="1108"/>
      <c r="EM184" s="1110"/>
      <c r="EN184" s="1108"/>
      <c r="EO184" s="1108"/>
      <c r="EP184" s="1108"/>
      <c r="EQ184" s="1108"/>
      <c r="ER184" s="1110"/>
      <c r="ES184" s="1108"/>
      <c r="ET184" s="1108"/>
      <c r="EU184" s="1108"/>
      <c r="EV184" s="1108"/>
      <c r="EW184" s="1108"/>
      <c r="EX184" s="1111"/>
      <c r="EY184" s="2"/>
      <c r="EZ184" s="2"/>
      <c r="FA184" s="2"/>
      <c r="FB184" s="2"/>
      <c r="FC184" s="2"/>
      <c r="FD184" s="2"/>
      <c r="FE184" s="2"/>
      <c r="FF184" s="2"/>
      <c r="FG184" s="2"/>
      <c r="FH184" s="2"/>
      <c r="FI184" s="2"/>
      <c r="FJ184" s="420"/>
      <c r="FK184" s="421"/>
      <c r="FL184" s="422"/>
      <c r="FM184" s="970"/>
    </row>
    <row r="185" spans="1:169" s="13" customFormat="1" ht="12.75" customHeight="1">
      <c r="A185" s="221"/>
      <c r="B185" s="387"/>
      <c r="C185" s="388"/>
      <c r="D185" s="389" cm="1">
        <f t="array" ref="D185">IF($CG185=0,0,INDEX(BOM!$N:$N,$CG185))</f>
        <v>0</v>
      </c>
      <c r="E185" s="644" t="s">
        <v>664</v>
      </c>
      <c r="F185" s="644" t="s">
        <v>664</v>
      </c>
      <c r="G185" s="644" t="s">
        <v>664</v>
      </c>
      <c r="H185" s="644" t="s">
        <v>664</v>
      </c>
      <c r="I185" s="644" t="s">
        <v>664</v>
      </c>
      <c r="J185" s="644" t="s">
        <v>664</v>
      </c>
      <c r="K185" s="644" t="s">
        <v>664</v>
      </c>
      <c r="L185" s="644" t="s">
        <v>664</v>
      </c>
      <c r="M185" s="644" t="s">
        <v>664</v>
      </c>
      <c r="N185" s="644" t="s">
        <v>664</v>
      </c>
      <c r="O185" s="644" t="s">
        <v>664</v>
      </c>
      <c r="P185" s="644" t="s">
        <v>664</v>
      </c>
      <c r="Q185" s="644" t="s">
        <v>664</v>
      </c>
      <c r="R185" s="644" t="s">
        <v>664</v>
      </c>
      <c r="S185" s="644" t="s">
        <v>664</v>
      </c>
      <c r="T185" s="644" t="s">
        <v>664</v>
      </c>
      <c r="U185" s="644" t="s">
        <v>664</v>
      </c>
      <c r="V185" s="644" t="s">
        <v>664</v>
      </c>
      <c r="W185" s="644" t="s">
        <v>664</v>
      </c>
      <c r="X185" s="644" t="s">
        <v>664</v>
      </c>
      <c r="Y185" s="644" t="s">
        <v>664</v>
      </c>
      <c r="Z185" s="644" t="s">
        <v>664</v>
      </c>
      <c r="AA185" s="644" t="s">
        <v>664</v>
      </c>
      <c r="AB185" s="644" t="s">
        <v>664</v>
      </c>
      <c r="AC185" s="644" t="s">
        <v>664</v>
      </c>
      <c r="AD185" s="644" t="s">
        <v>664</v>
      </c>
      <c r="AE185" s="644" t="s">
        <v>664</v>
      </c>
      <c r="AF185" s="644" t="s">
        <v>664</v>
      </c>
      <c r="AG185" s="644" t="s">
        <v>664</v>
      </c>
      <c r="AH185" s="644" t="s">
        <v>664</v>
      </c>
      <c r="AI185" s="644" t="s">
        <v>664</v>
      </c>
      <c r="AJ185" s="644" t="s">
        <v>664</v>
      </c>
      <c r="AK185" s="644" t="s">
        <v>664</v>
      </c>
      <c r="AL185" s="644" t="s">
        <v>664</v>
      </c>
      <c r="AM185" s="644" t="s">
        <v>664</v>
      </c>
      <c r="AN185" s="644" t="s">
        <v>664</v>
      </c>
      <c r="AO185" s="644" t="s">
        <v>664</v>
      </c>
      <c r="AP185" s="644" t="s">
        <v>664</v>
      </c>
      <c r="AQ185" s="644" t="s">
        <v>664</v>
      </c>
      <c r="AR185" s="644" t="s">
        <v>664</v>
      </c>
      <c r="AS185" s="644" t="s">
        <v>664</v>
      </c>
      <c r="AT185" s="644" t="s">
        <v>664</v>
      </c>
      <c r="AU185" s="644" t="s">
        <v>664</v>
      </c>
      <c r="AV185" s="644" t="s">
        <v>664</v>
      </c>
      <c r="AW185" s="644" t="s">
        <v>664</v>
      </c>
      <c r="AX185" s="644" t="s">
        <v>664</v>
      </c>
      <c r="AY185" s="644" t="s">
        <v>664</v>
      </c>
      <c r="AZ185" s="644" t="s">
        <v>664</v>
      </c>
      <c r="BA185" s="644" t="s">
        <v>664</v>
      </c>
      <c r="BB185" s="644" t="s">
        <v>664</v>
      </c>
      <c r="BC185" s="644" t="s">
        <v>664</v>
      </c>
      <c r="BD185" s="644" t="s">
        <v>664</v>
      </c>
      <c r="BE185" s="644" t="s">
        <v>664</v>
      </c>
      <c r="BF185" s="644" t="s">
        <v>664</v>
      </c>
      <c r="BG185" s="644" t="s">
        <v>664</v>
      </c>
      <c r="BH185" s="644" t="s">
        <v>664</v>
      </c>
      <c r="BI185" s="644" t="s">
        <v>664</v>
      </c>
      <c r="BJ185" s="644" t="s">
        <v>664</v>
      </c>
      <c r="BK185" s="644" t="s">
        <v>664</v>
      </c>
      <c r="BL185" s="644" t="s">
        <v>664</v>
      </c>
      <c r="BM185" s="644" t="s">
        <v>664</v>
      </c>
      <c r="BN185" s="644" t="s">
        <v>664</v>
      </c>
      <c r="BO185" s="644" t="s">
        <v>664</v>
      </c>
      <c r="BP185" s="644" t="s">
        <v>664</v>
      </c>
      <c r="BQ185" s="644" t="s">
        <v>664</v>
      </c>
      <c r="BR185" s="644" t="s">
        <v>664</v>
      </c>
      <c r="BS185" s="920">
        <f>SUM(INDEX($BS:$BS,ROW()+1):INDEX($BS:$BS,$CE185))</f>
        <v>0</v>
      </c>
      <c r="BT185" s="920">
        <f>SUM(INDEX($BT:$BT,ROW()+1):INDEX($BT:$BT,$CE185))</f>
        <v>0</v>
      </c>
      <c r="BU185" s="644" t="s">
        <v>664</v>
      </c>
      <c r="BV185" s="643">
        <f>SUMPRODUCT($BS185:INDEX($BS:$BS,$CE185),$BU185:INDEX($BU:$BU,$CE185))</f>
        <v>0</v>
      </c>
      <c r="BW185" s="390">
        <f>$D185*$BV185</f>
        <v>0</v>
      </c>
      <c r="BX185" s="816" cm="1">
        <f t="array" ref="BX185">IF($CG185=0,0,IF(INDEX(BOM!$P:$P,$CG185)=0,0,
SUMPRODUCT($BW185:INDEX($BW:$BW,IFERROR(ROW()+MATCH($CL185,INDEX($CL:$CL,ROW()+1):INDEX($CL:$CL,MAX($CE:$CE)),0)-1,MAX($CE:$CE))),
($CL185:INDEX($CL:$CL,IFERROR(ROW()+MATCH($CL185,INDEX($CL:$CL,ROW()+1):INDEX($CL:$CL,MAX($CE:$CE)),0)-1,MAX($CE:$CE)))&gt;=$CL185)*1)
))</f>
        <v>0</v>
      </c>
      <c r="BY185" s="391"/>
      <c r="BZ185" s="392" cm="1">
        <f t="array" ref="BZ185">IF($CG185=0,0,INDEX(BOM!$M:$M,$CG185))</f>
        <v>0</v>
      </c>
      <c r="CA185" s="280">
        <f>IF($BZ185&gt;0,VALUE(LEFT($BZ185,IF(ISERROR(FIND("-",$BZ185)),LEN($BZ185),FIND("-",$BZ185)-1))),INDEX($BZ$1:BZ185,MATCH("",$A$1:A185,-1)))</f>
        <v>1</v>
      </c>
      <c r="CB185" s="280">
        <f>IF(LEN($BZ185)-LEN(SUBSTITUTE($BZ185,"-",))&gt;1,
VALUE(MID($BZ185,FIND("-",$BZ185)+1,FIND("-",$BZ185,FIND("-",$BZ185)+1)-FIND("-",$BZ185)-1)),0)</f>
        <v>0</v>
      </c>
      <c r="CC185" s="280">
        <f>IF(NOT(ISERROR(FIND("-",BZ185))),
VALUE(RIGHT($BZ185,LEN($BZ185)-IF(LEN($BZ185)-LEN(SUBSTITUTE($BZ185,"-",""))=1,FIND("-",$BZ185),FIND("-",$BZ185,FIND("-",$BZ185)+1)))),0)</f>
        <v>0</v>
      </c>
      <c r="CD185" s="393"/>
      <c r="CE185" s="280" cm="1">
        <f t="array" ref="CE185">ROW()+MATCH(TRUE,_xlfn.ISFORMULA(INDEX(BW:BW,ROW()+1):INDEX(BW:BW,ROW()+MaxNumberOfRowsPerBlock)),0)-1</f>
        <v>189</v>
      </c>
      <c r="CF185" s="394" cm="1">
        <f t="array" ref="CF185">IF(CL185=0,-1,IF(CL185=1,7,MAX(IF($CL$1:$CL185=CL185-1,ROW($CL$1:$CL185),0))))</f>
        <v>-1</v>
      </c>
      <c r="CG185" s="393">
        <f>IFERROR(MATCH($B185,BOM!$A:$A,0),0)</f>
        <v>0</v>
      </c>
      <c r="CH185" s="280">
        <f>MATCH($CA185,Premises!$A$10:$F$10,0)</f>
        <v>4</v>
      </c>
      <c r="CI185" s="280"/>
      <c r="CJ185" s="394"/>
      <c r="CK185" s="280"/>
      <c r="CL185" s="280" cm="1">
        <f t="array" ref="CL185">IF($CG185=0,0,INDEX(BOM!$C:$C,$CG185))</f>
        <v>0</v>
      </c>
      <c r="CM185" s="395" cm="1">
        <f t="array" ref="CM185">IF($CG185=0,0,IF(OR($CF185&lt;0,AND(INDEX($CB:$CB,$CF185)=$CB185,INDEX($CC:$CC,$CF185)=$CC185)),0,IF(INDEX(BOM!$P:$P,$CG185)=0,$BT185,(SUMIF($CA185:INDEX($CA:$CA,IFERROR(ROW()+MATCH($CL185,INDEX($CL:$CL,ROW()+1):INDEX($CL:$CL,MAX($CE:$CE)),0)-1,MAX($CE:$CE))),$CA185,$BT185:INDEX($BT:$BT,IFERROR(ROW()+MATCH($CL185,INDEX($CL:$CL,ROW()+1):INDEX($CL:$CL,MAX($CE:$CE)),0)-1,MAX($CE:$CE))))+SUMIF($CB185:INDEX($CB:$CB,IFERROR(ROW()+MATCH($CL185,INDEX($CL:$CL,ROW()+1):INDEX($CL:$CL,MAX($CE:$CE)),0)-1,MAX($CE:$CE))),$CA185,$BT185:INDEX($BT:$BT,IFERROR(ROW()+MATCH($CL185,INDEX($CL:$CL,ROW()+1):INDEX($CL:$CL,MAX($CE:$CE)),0)-1,MAX($CE:$CE)))))/2)))</f>
        <v>0</v>
      </c>
      <c r="CN185" s="396" cm="1">
        <f t="array" ref="CN185">IFERROR(IF($CB185=0,0,IF($CM185=0,INDEX($CN$1:$CN185,$CF185),INDEX(IF($CM185&lt;0.2,Premises!$A$43:$F$43,IF($CM185&lt;5,Premises!$A$46:$F$46,Premises!$A$49:$F$49)),MATCH($CB185,Premises!$A$10:$F$10,0))/($CM185*INDEX(Premises!$A$13:$F$13,MATCH($CB185,Premises!$A$10:$F$10,0)))+INDEX(IF($CM185&lt;0.2,Premises!$A$44:$F$44,IF($CM185&lt;5,Premises!$A$47:$F$47,Premises!$A$50:$F$50)),MATCH($CB185,Premises!$A$10:$F$10,0))+INDEX(IF($CM185&lt;0.2,Premises!$A$45:$F$45,IF($CM185&lt;5,Premises!$A$48:$F$48,Premises!$A$51:$F$51)),MATCH($CB185,Premises!$A$10:$F$10,0))/$CM185)),0.01)</f>
        <v>0</v>
      </c>
      <c r="CO185" s="395" cm="1">
        <f t="array" ref="CO185">IF($CG185=0,0,IF(INDEX($CC:$CC,$CF185)=$CC185,0,$CM185*(1+IFERROR(INDEX(Premises!$A$52:$F$52,1,MATCH($CB185,Premises!$A$10:$F$10,0)),0)+$CN185)))</f>
        <v>0</v>
      </c>
      <c r="CP185" s="396" cm="1">
        <f t="array" ref="CP185">IFERROR(IF($CC185=0,0,IF($CO185=0,INDEX($CP$1:$CP185,$CF185),INDEX(IF($CO185&lt;0.2,Premises!$A$43:$F$43,IF($CO185&lt;5,Premises!$A$46:$F$46,Premises!$A$49:$F$49)),MATCH($CC185,Premises!$A$10:$F$10,0))/($CO185*INDEX(Premises!$A$13:$F$13,MATCH($CC185,Premises!$A$10:$F$10,0)))+INDEX(IF($CO185&lt;0.2,Premises!$A$44:$F$44,IF($CO185&lt;5,Premises!$A$47:$F$47,Premises!$A$50:$F$50)),MATCH($CC185,Premises!$A$10:$F$10,0))+INDEX(IF($CO185&lt;0.2,Premises!$A$45:$F$45,IF($CO185&lt;5,Premises!$A$48:$F$48,Premises!$A$51:$F$51)),MATCH($CC185,Premises!$A$10:$F$10,0))/$CO185)),0.01)</f>
        <v>0</v>
      </c>
      <c r="CQ185" s="397" cm="1">
        <f t="array" ref="CQ185">IF(AND($CM185=0,$CO185=0),0,INDEX(BOM!$O:$O,$CG185))</f>
        <v>0</v>
      </c>
      <c r="CR185" s="398" cm="1">
        <f t="array" ref="CR185">IF(OR($CM185=0,$CN185=0),0,ACOS(COS(RADIANS(90-INDEX(Premises!$A$66:$F$66,1,$CH185)))*COS(RADIANS(90-INDEX(Premises!$A$66:$F$66,1,MATCH($CB185,Premises!$A$10:$F$10,0))))
+SIN(RADIANS(90-INDEX(Premises!$A$66:$F$66,1,$CH185)))*SIN(RADIANS(90-INDEX(Premises!$A$66:$F$66,1,MATCH($CB185,Premises!$A$10:$F$10,0)))) * COS(RADIANS(INDEX(Premises!$A$67:$F$67,1,$CH185)-INDEX(Premises!$A$67:$F$67,1,MATCH($CB185,Premises!$A$10:$F$10,0)))))*6371)</f>
        <v>0</v>
      </c>
      <c r="CS185" s="398" cm="1">
        <f t="array" ref="CS185">IF(OR($CO185=0,$CP185=0),0,
IF($CR185=0,ACOS(COS(RADIANS(90-INDEX(Premises!$A$66:$F$66,1,$CH185)))*COS(RADIANS(90-INDEX(Premises!$A$66:$F$66,1,MATCH($CC185,Premises!$A$10:$F$10,0))))
+SIN(RADIANS(90-INDEX(Premises!$A$66:$F$66,1,$CH185)))*SIN(RADIANS(90-INDEX(Premises!$A$66:$F$66,1,MATCH($CC185,Premises!$A$10:$F$10,0))))*COS(RADIANS(INDEX(Premises!$A$67:$F$67,1,$CH185)-INDEX(Premises!$A$67:$F$67,1,MATCH($CC185,Premises!$A$10:$F$10,0)))))*6371,
ACOS(COS(RADIANS(90-INDEX(Premises!$A$66:$F$66,1,MATCH($CB185,Premises!$A$10:$F$10,0))))*COS(RADIANS(90-INDEX(Premises!$A$66:$F$66,1,MATCH($CC185,Premises!$A$10:$F$10,0))))
+SIN(RADIANS(90-INDEX(Premises!$A$66:$F$66,1,MATCH($CB185,Premises!$A$10:$F$10,0))))*SIN(RADIANS(90-INDEX(Premises!$A$66:$F$66,1,MATCH($CC185,Premises!$A$10:$F$10,0))))*COS(RADIANS(INDEX(Premises!$A$67:$F$67,1,MATCH($CB185,Premises!$A$10:$F$10,0))-INDEX(Premises!$A$67:$F$67,1,MATCH($CC185,Premises!$A$10:$F$10,0)))))*6371))</f>
        <v>0</v>
      </c>
      <c r="CT185" s="969"/>
      <c r="CU185" s="2"/>
      <c r="CV185" s="399">
        <f>SUM(INDEX(CV:CV,ROW()+1):INDEX(CV:CV,$CE185))</f>
        <v>0</v>
      </c>
      <c r="CW185" s="400">
        <f>SUM(INDEX(CW:CW,ROW()+1):INDEX(CW:CW,$CE185))</f>
        <v>0</v>
      </c>
      <c r="CX185" s="400">
        <f>SUM(INDEX(CX:CX,ROW()+1):INDEX(CX:CX,$CE185))</f>
        <v>0</v>
      </c>
      <c r="CY185" s="400">
        <f>SUM(INDEX(CY:CY,ROW()+1):INDEX(CY:CY,$CE185))</f>
        <v>0</v>
      </c>
      <c r="CZ185" s="400">
        <f>SUM(INDEX(CZ:CZ,ROW()+1):INDEX(CZ:CZ,$CE185))</f>
        <v>0</v>
      </c>
      <c r="DA185" s="400">
        <f>SUM(INDEX(DA:DA,ROW()+1):INDEX(DA:DA,$CE185))</f>
        <v>0</v>
      </c>
      <c r="DB185" s="400">
        <f>SUM(INDEX(DB:DB,ROW()+1):INDEX(DB:DB,$CE185))</f>
        <v>0</v>
      </c>
      <c r="DC185" s="400">
        <f>SUM(INDEX(DC:DC,ROW()+1):INDEX(DC:DC,$CE185))</f>
        <v>0</v>
      </c>
      <c r="DD185" s="400">
        <f>SUM(INDEX(DD:DD,ROW()+1):INDEX(DD:DD,$CE185))</f>
        <v>0</v>
      </c>
      <c r="DE185" s="400">
        <f>SUM(INDEX(DE:DE,ROW()+1):INDEX(DE:DE,$CE185))</f>
        <v>0</v>
      </c>
      <c r="DF185" s="400">
        <f>SUM(INDEX(DF:DF,ROW()+1):INDEX(DF:DF,$CE185))</f>
        <v>0</v>
      </c>
      <c r="DG185" s="400">
        <f>SUM(INDEX(DG:DG,ROW()+1):INDEX(DG:DG,$CE185))</f>
        <v>0</v>
      </c>
      <c r="DH185" s="400">
        <f>SUM(INDEX(DH:DH,ROW()+1):INDEX(DH:DH,$CE185))</f>
        <v>0</v>
      </c>
      <c r="DI185" s="400">
        <f>SUM(INDEX(DI:DI,ROW()+1):INDEX(DI:DI,$CE185))</f>
        <v>0</v>
      </c>
      <c r="DJ185" s="400">
        <f>SUM(INDEX(DJ:DJ,ROW()+1):INDEX(DJ:DJ,$CE185))</f>
        <v>0</v>
      </c>
      <c r="DK185" s="400">
        <f>SUM(INDEX(DK:DK,ROW()+1):INDEX(DK:DK,$CE185))</f>
        <v>0</v>
      </c>
      <c r="DL185" s="400">
        <f>SUM(INDEX(DL:DL,ROW()+1):INDEX(DL:DL,$CE185))</f>
        <v>0</v>
      </c>
      <c r="DM185" s="400">
        <f>SUM(INDEX(DM:DM,ROW()+1):INDEX(DM:DM,$CE185))</f>
        <v>0</v>
      </c>
      <c r="DN185" s="400">
        <f>SUM(INDEX(DN:DN,ROW()+1):INDEX(DN:DN,$CE185))</f>
        <v>0</v>
      </c>
      <c r="DO185" s="400">
        <f>SUM(INDEX(DO:DO,ROW()+1):INDEX(DO:DO,$CE185))</f>
        <v>0</v>
      </c>
      <c r="DP185" s="400">
        <f>SUM(INDEX(DP:DP,ROW()+1):INDEX(DP:DP,$CE185))</f>
        <v>0</v>
      </c>
      <c r="DQ185" s="400">
        <f>SUM(INDEX(DQ:DQ,ROW()+1):INDEX(DQ:DQ,$CE185))</f>
        <v>0</v>
      </c>
      <c r="DR185" s="400">
        <f>SUM(INDEX(DR:DR,ROW()+1):INDEX(DR:DR,$CE185))</f>
        <v>0</v>
      </c>
      <c r="DS185" s="400">
        <f>SUM(INDEX(DS:DS,ROW()+1):INDEX(DS:DS,$CE185))</f>
        <v>0</v>
      </c>
      <c r="DT185" s="400">
        <f>SUM(INDEX(DT:DT,ROW()+1):INDEX(DT:DT,$CE185))</f>
        <v>0</v>
      </c>
      <c r="DU185" s="400">
        <f>SUM(INDEX(DU:DU,ROW()+1):INDEX(DU:DU,$CE185))</f>
        <v>0</v>
      </c>
      <c r="DV185" s="400">
        <f>SUM(INDEX(DV:DV,ROW()+1):INDEX(DV:DV,$CE185))</f>
        <v>0</v>
      </c>
      <c r="DW185" s="400">
        <f>SUM(INDEX(DW:DW,ROW()+1):INDEX(DW:DW,$CE185))</f>
        <v>0</v>
      </c>
      <c r="DX185" s="400">
        <f>SUM(INDEX(DX:DX,ROW()+1):INDEX(DX:DX,$CE185))</f>
        <v>0</v>
      </c>
      <c r="DY185" s="400">
        <f>SUM(INDEX(DY:DY,ROW()+1):INDEX(DY:DY,$CE185))</f>
        <v>0</v>
      </c>
      <c r="DZ185" s="400">
        <f>SUM(INDEX(DZ:DZ,ROW()+1):INDEX(DZ:DZ,$CE185))</f>
        <v>0</v>
      </c>
      <c r="EA185" s="400">
        <f>SUM(INDEX(EA:EA,ROW()+1):INDEX(EA:EA,$CE185))</f>
        <v>0</v>
      </c>
      <c r="EB185" s="401">
        <f>SUM(INDEX(EB:EB,ROW()+1):INDEX(EB:EB,$CE185))</f>
        <v>0</v>
      </c>
      <c r="EC185" s="2"/>
      <c r="ED185" s="400"/>
      <c r="EE185" s="400"/>
      <c r="EF185" s="1112"/>
      <c r="EG185" s="1112"/>
      <c r="EH185" s="1112"/>
      <c r="EI185" s="1112"/>
      <c r="EJ185" s="1112"/>
      <c r="EK185" s="1112"/>
      <c r="EL185" s="1112"/>
      <c r="EM185" s="1112"/>
      <c r="EN185" s="1112"/>
      <c r="EO185" s="1112"/>
      <c r="EP185" s="1112"/>
      <c r="EQ185" s="1112"/>
      <c r="ER185" s="1112"/>
      <c r="ES185" s="1112"/>
      <c r="ET185" s="1112"/>
      <c r="EU185" s="1112"/>
      <c r="EV185" s="1112"/>
      <c r="EW185" s="1112"/>
      <c r="EX185" s="1113"/>
      <c r="EY185" s="2"/>
      <c r="EZ185" s="2"/>
      <c r="FA185" s="2"/>
      <c r="FB185" s="2"/>
      <c r="FC185" s="2"/>
      <c r="FD185" s="2"/>
      <c r="FE185" s="2"/>
      <c r="FF185" s="2"/>
      <c r="FG185" s="2"/>
      <c r="FH185" s="2"/>
      <c r="FI185" s="2"/>
      <c r="FJ185" s="399"/>
      <c r="FK185" s="400"/>
      <c r="FL185" s="401"/>
      <c r="FM185" s="970"/>
    </row>
    <row r="186" spans="1:169" s="13" customFormat="1" ht="12.75" customHeight="1">
      <c r="A186" s="221"/>
      <c r="B186" s="402"/>
      <c r="C186" s="403"/>
      <c r="D186" s="646"/>
      <c r="E186" s="404"/>
      <c r="F186" s="405"/>
      <c r="G186" s="405"/>
      <c r="H186" s="405"/>
      <c r="I186" s="637" cm="1">
        <f t="array" ref="I186">IF($CI186=0,0,IFERROR(INDEX(MHR[],$CI186,MATCH($CA186,MHR!$B$4:$AY$4,0)),0))</f>
        <v>0</v>
      </c>
      <c r="J186" s="634">
        <f>IF(COUNTBLANK($E186:$H186),0,IFERROR($F186/$H186/IF($G186="s",3600,IF($G186="min",60,IF($G186="h",1,0)))*I186,0))</f>
        <v>0</v>
      </c>
      <c r="K186" s="406"/>
      <c r="L186" s="407"/>
      <c r="M186" s="871"/>
      <c r="N186" s="407"/>
      <c r="O186" s="405"/>
      <c r="P186" s="645" cm="1">
        <f t="array" ref="P186">IF($K186=0,0,IFERROR(ROUNDUP(IF(ISNUMBER($K186),$K186,INDEX($D$1:$D186,$CD186)*INDEX(Premises!$A$13:$F$13,1,$CH186)/IF(OR($K186="T",$K186="D"),250,IF($K186="W",50,IF($K186="M",12,IF(OR($K186="HJ",$K186="HY"),2,IF(OR($K186="J",$K186="Y"),1,0)))))),0),0))</f>
        <v>0</v>
      </c>
      <c r="Q186" s="637" cm="1">
        <f t="array" ref="Q186">IF($K186=0,0,IFERROR(INDEX(Premises!$A$22:$F$22,1,$CH186)*100/INDEX(Premises!$A$16:$F$16,1,$CH186),0))</f>
        <v>0</v>
      </c>
      <c r="R186" s="634">
        <f>IF($P186=0,0,IFERROR(($L186/60*($I186+$Q186*$M186)+($N186/60*($Q186*$O186)))/$P186,0))</f>
        <v>0</v>
      </c>
      <c r="S186" s="408"/>
      <c r="T186" s="409"/>
      <c r="U186" s="637" cm="1">
        <f t="array" ref="U186">IF(COUNTBLANK($S186:$T186),0,
IF(AND(INDEX(MHR[Schichtmodell],$CI186)&lt;&gt;0,INDEX(MHR[Schichtmodell],$CI186)&lt;&gt;INDEX(Premises!$A$20:$F$20,1,$CH186)),ExchangeRate*
IF(OR($T186="M",$T186="U"),IF(INDEX(MHR[Schichtmodell],$CI186)=1,INDEX(LOC[M1S],INDEX(Premises!$A$18:$F$18,1,$CH186+1)),IF(INDEX(MHR[Schichtmodell],$CI186)=2,INDEX(LOC[M2S],INDEX(Premises!$A$18:$F$18,1,$CH186+1),IF(INDEX(MHR[Schichtmodell],$CI186)=3,INDEX(LOC[M3S],INDEX(Premises!$A$18:$F$18,1,$CH186+1)),0)))),
IF(INDEX(MHR[Schichtmodell],$CI186)=1,INDEX(LOC[F1S],INDEX(Premises!$A$18:$F$18,1,$CH186+1)),IF(INDEX(MHR[Schichtmodell],$CI186)=2,INDEX(LOC[F2S],INDEX(Premises!$A$18:$F$18,1,$CH186+1)),IF(INDEX(MHR[Schichtmodell],$CI186)=3,INDEX(LOC[F3S],INDEX(Premises!$A$18:$F$18,1,$CH186+1)),0)))),
IF(OR($T186="M",$T186="U"),INDEX(Premises!$A$21:$F$21,1,$CH186),
IF(OR($T186="F",$T186="S"),INDEX(Premises!$A$22:$F$22,1,$CH186),0)))*100/INDEX(Premises!$A$16:$F$16,1,$CH186))</f>
        <v>0</v>
      </c>
      <c r="V186" s="631">
        <f>IF($U186=0,0,IFERROR($F186/$H186/IF($G186="s",3600,IF($G186="min",60,IF($G186="h",1,0)))*$S186*$U186,0))</f>
        <v>0</v>
      </c>
      <c r="W186" s="410"/>
      <c r="X186" s="403"/>
      <c r="Y186" s="411"/>
      <c r="Z186" s="412"/>
      <c r="AA186" s="628">
        <f>IFERROR($X186*$Z186/$Y186/MAX(1,$H186),0)</f>
        <v>0</v>
      </c>
      <c r="AB186" s="410"/>
      <c r="AC186" s="403"/>
      <c r="AD186" s="411"/>
      <c r="AE186" s="413"/>
      <c r="AF186" s="628">
        <f>IFERROR($AC186*$AE186/$AD186,0)</f>
        <v>0</v>
      </c>
      <c r="AG186" s="629" cm="1">
        <f t="array" ref="AG186">IF(($J186+$V186+$AF186)=0,0,INDEX(Premises!$A$30:$F$30,1,$CH186)/100)</f>
        <v>0</v>
      </c>
      <c r="AH186" s="414"/>
      <c r="AI186" s="415"/>
      <c r="AJ186" s="416"/>
      <c r="AK186" s="630">
        <f>IF(COUNTBLANK($AH186:$AI186),0,$AH186*$AI186*$AG186)</f>
        <v>0</v>
      </c>
      <c r="AL186" s="631">
        <f>($AK186+$AJ186*$AG186*(1-$AH186)+($J186+$V186+$AF186)*$AG186*(1-$AH186))</f>
        <v>0</v>
      </c>
      <c r="AM186" s="632" cm="1">
        <f t="array" ref="AM186">IF($CI186=0,0,IFERROR(INDEX(MHR[],$CI186,MATCH($CA186,MHR!$B$4:$AY$4,0)+11),0))</f>
        <v>0</v>
      </c>
      <c r="AN186" s="633" cm="1">
        <f t="array" ref="AN186">IF(($J186+$V186)=0,0,IFERROR(IF(INDEX(Premises!$A$41:$F$41,1,$CH186)&lt;&gt;0,INDEX(Premises!$A$41:$F$41,1,$CH186)/100,(IFERROR(($J186/$I186)*$AM186,0)/($V186+$J186+$R186+$AL186))),0))</f>
        <v>0</v>
      </c>
      <c r="AO186" s="634">
        <f>IF(($J186+$V186)=0,0,IF(IFERROR(($J186+$R186+$V186+$AL186)*$AN186,0)&lt;&gt;IFERROR(($J186/$I186)*$AM186,0),($J186+$R186+$V186+$AL186)*$AN186,IFERROR(($J186/$I186)*$AM186,0)))</f>
        <v>0</v>
      </c>
      <c r="AP186" s="635">
        <f>$V186+$J186+$R186+$AA186+$AF186+$AL186+$AO186</f>
        <v>0</v>
      </c>
      <c r="AQ186" s="410"/>
      <c r="AR186" s="409"/>
      <c r="AS186" s="636" cm="1">
        <f t="array" ref="AS186">IF($CJ186=0,0,IFERROR(INDEX(MAT[Einheit],$CJ186,1),0))</f>
        <v>0</v>
      </c>
      <c r="AT186" s="637" cm="1">
        <f t="array" ref="AT186">IF($CJ186=0,0,IFERROR(INDEX(MAT[Preis],$CJ186,1),0))</f>
        <v>0</v>
      </c>
      <c r="AU186" s="638">
        <f>$AR186*$AT186</f>
        <v>0</v>
      </c>
      <c r="AV186" s="639" cm="1">
        <f t="array" ref="AV186">IF($AU186&lt;=0,0,INDEX(Premises!$A$30:$F$30,1,$CH186)/100)</f>
        <v>0</v>
      </c>
      <c r="AW186" s="409"/>
      <c r="AX186" s="631">
        <f>IF($AV186=0,0,($AU186+$AW186)*$AV186)</f>
        <v>0</v>
      </c>
      <c r="AY186" s="640" cm="1">
        <f t="array" ref="AY186">IF($AT186&lt;=0,0,IFERROR(IF(INDEX(Premises!$A$42:$F$42,1,$CH186)&lt;&gt;0,INDEX(Premises!$A$42:$F$42,1,$CH186)/100,(INDEX(MAT[],$CJ186,MATCH($CA186,MAT!$B$4:$AE$4,0))/($AR186*$CK186*INDEX(Premises!$A$13:$F$13,1,$CH186))+INDEX(MAT[],$CJ186,MATCH($CA186,MAT!$B$4:$AE$4,0)+7))/$AT186),0))</f>
        <v>0</v>
      </c>
      <c r="AZ186" s="631">
        <f>IF($AY186=0,0,($AU186+$AX186)*$AY186)</f>
        <v>0</v>
      </c>
      <c r="BA186" s="635">
        <f>$AU186+$AX186+$AZ186</f>
        <v>0</v>
      </c>
      <c r="BB186" s="635">
        <f>$AP186+$BA186</f>
        <v>0</v>
      </c>
      <c r="BC186" s="639" cm="1">
        <f t="array" ref="BC186">IF($BB186&lt;=0,0,IF(BC$2=-1,0,INDEX(Premises!$A$32:$F$32,1,$CH186)/100))</f>
        <v>0</v>
      </c>
      <c r="BD186" s="631">
        <f>IF($AP186&lt;=0,0,($AP186-$AA186-$AL186)*$BC186)</f>
        <v>0</v>
      </c>
      <c r="BE186" s="639" cm="1">
        <f t="array" ref="BE186">IF($BB186&lt;=0,0,IF(BE$2=-1,0,INDEX(Premises!$A$33:$F$33,1,$CH186)/100))</f>
        <v>0</v>
      </c>
      <c r="BF186" s="631">
        <f>IF($BA186&lt;=0,0,$BA186*$BE186)</f>
        <v>0</v>
      </c>
      <c r="BG186" s="639" cm="1">
        <f t="array" ref="BG186">IF($BB186&lt;=0,0,IF(BG$2=-1,0,INDEX(Premises!$A$31:$F$31,1,$CH186)/100))</f>
        <v>0</v>
      </c>
      <c r="BH186" s="631">
        <f>(($AP186-$AA186-$AL186)+$BA186)*$BG186</f>
        <v>0</v>
      </c>
      <c r="BI186" s="635">
        <f>$BB186+$BD186+$BF186+$BH186</f>
        <v>0</v>
      </c>
      <c r="BJ186" s="639" cm="1">
        <f t="array" ref="BJ186">IF($BB186&lt;=0,0,IF(BJ$2=-1,0,INDEX(Premises!$A$35:$F$35,1,$CH186)/100))</f>
        <v>0</v>
      </c>
      <c r="BK186" s="631">
        <f>IF($AP186&lt;=0,0,($AP186-$AL186-$AA186)*$BJ186)</f>
        <v>0</v>
      </c>
      <c r="BL186" s="639" cm="1">
        <f t="array" ref="BL186">IF($BB186&lt;=0,0,IF(BL$2=-1,0,INDEX(Premises!$A$36:$F$36,1,$CH186)/100))</f>
        <v>0</v>
      </c>
      <c r="BM186" s="631">
        <f>IF($AU186&lt;=0,0,($AR186*$AT186)*$BL186)</f>
        <v>0</v>
      </c>
      <c r="BN186" s="639" cm="1">
        <f t="array" ref="BN186">IF($BB186&lt;=0,0,IF(BN$2=-1,0,INDEX(Premises!$A$34:$F$34,1,$CH186)/100))</f>
        <v>0</v>
      </c>
      <c r="BO186" s="631">
        <f>(($AP186-$AL186-$AA186)+($AR186*$AT186))*$BN186</f>
        <v>0</v>
      </c>
      <c r="BP186" s="639" cm="1">
        <f t="array" ref="BP186">IF($BI186=0,0,INDEX(Premises!$A$37:$F$37,1,$CH186)/100)</f>
        <v>0</v>
      </c>
      <c r="BQ186" s="409"/>
      <c r="BR186" s="631">
        <f>($BI186+$BK186+$BM186+$BO186)*$BP186+$BQ186</f>
        <v>0</v>
      </c>
      <c r="BS186" s="641">
        <f>BI186+BK186+BM186+BO186+BR186</f>
        <v>0</v>
      </c>
      <c r="BT186" s="641">
        <f>IF($BS186=0,0,$CK186*$BS186)</f>
        <v>0</v>
      </c>
      <c r="BU186" s="642">
        <f>IF($BT186=0,0,MAX(1,$EB186/$DP186))</f>
        <v>0</v>
      </c>
      <c r="BV186" s="1147"/>
      <c r="BW186" s="418"/>
      <c r="BX186" s="418"/>
      <c r="BY186" s="419"/>
      <c r="BZ186" s="968"/>
      <c r="CA186" s="280" cm="1">
        <f t="array" ref="CA186">IF($BZ186&gt;0,VALUE(LEFT($BZ186,IF(ISERROR(FIND("-",$BZ186)),LEN($BZ186),FIND("-",$BZ186)-1))),INDEX($CA$1:$CA186,MAX(1,$CD186)))</f>
        <v>1</v>
      </c>
      <c r="CB186" s="280" cm="1">
        <f t="array" ref="CB186">IF($BT186=0,0,IF(LEN($BZ186)-LEN(SUBSTITUTE($BZ186,"-",""))&gt;1,
VALUE(MID($BZ186,FIND("-",$BZ186)+1,FIND("-",$BZ186,FIND("-",$BZ186)+1)-FIND("-",$BZ186)-1)),IF($BZ186&gt;0,0,INDEX($CB$1:$CB186,MAX(1,$CD186)))))</f>
        <v>0</v>
      </c>
      <c r="CC186" s="280" cm="1">
        <f t="array" ref="CC186">IF($BT186=0,0,IF(NOT(ISERROR(FIND("-",BZ186))),
VALUE(RIGHT($BZ186,LEN($BZ186)-IF(LEN($BZ186)-LEN(SUBSTITUTE($BZ186,"-",""))=1,FIND("-",$BZ186),FIND("-",$BZ186,FIND("-",$BZ186)+1)))),
IF($BZ186&gt;0,0,INDEX($CC$1:$CC186,MAX(1,$CD186)))))</f>
        <v>0</v>
      </c>
      <c r="CD186" s="393">
        <f>MATCH(0,$CE$1:$CE186,-1)</f>
        <v>185</v>
      </c>
      <c r="CE186" s="280"/>
      <c r="CF186" s="394"/>
      <c r="CG186" s="393" cm="1">
        <f t="array" ref="CG186">INDEX($CG$1:$CG186,$CD186)</f>
        <v>0</v>
      </c>
      <c r="CH186" s="280">
        <f>MATCH($CA186,Premises!$A$10:$F$10,0)</f>
        <v>4</v>
      </c>
      <c r="CI186" s="280">
        <f>IF(ISBLANK($E186),0,IFERROR(MATCH($E186,MHR[Bezeichnung],0),0))</f>
        <v>0</v>
      </c>
      <c r="CJ186" s="394">
        <f>IF(ISBLANK($AQ186),0,IFERROR(MATCH($AQ186,MAT[Bezeichnung],0),0))</f>
        <v>0</v>
      </c>
      <c r="CK186" s="280" cm="1">
        <f t="array" ref="CK186">INDEX($D$1:$D186,$CD186)</f>
        <v>0</v>
      </c>
      <c r="CL186" s="280"/>
      <c r="CM186" s="395"/>
      <c r="CN186" s="396" cm="1">
        <f t="array" ref="CN186">IF($CB186=0,0,IF($CB186=INDEX($CB$1:$CB186,$CD186),INDEX($CN$1:$CN186,$CD186),$CP186))</f>
        <v>0</v>
      </c>
      <c r="CO186" s="395"/>
      <c r="CP186" s="396" cm="1">
        <f t="array" ref="CP186">IF($CC186=0,0,INDEX($CP$1:$CP186,$CD186))</f>
        <v>0</v>
      </c>
      <c r="CQ186" s="397"/>
      <c r="CR186" s="398"/>
      <c r="CS186" s="398"/>
      <c r="CT186" s="970"/>
      <c r="CU186" s="2"/>
      <c r="CV186" s="647">
        <f>$J186*$CK186</f>
        <v>0</v>
      </c>
      <c r="CW186" s="648">
        <f>$R186*$CK186</f>
        <v>0</v>
      </c>
      <c r="CX186" s="648">
        <f>$V186*$CK186</f>
        <v>0</v>
      </c>
      <c r="CY186" s="648">
        <f>$AA186*$CK186</f>
        <v>0</v>
      </c>
      <c r="CZ186" s="648">
        <f>$AF186*$CK186</f>
        <v>0</v>
      </c>
      <c r="DA186" s="648">
        <f>$AL186*$CK186</f>
        <v>0</v>
      </c>
      <c r="DB186" s="648">
        <f>$AO186*$CK186</f>
        <v>0</v>
      </c>
      <c r="DC186" s="649">
        <f>$AP186*$CK186</f>
        <v>0</v>
      </c>
      <c r="DD186" s="648">
        <f>$AU186*$CK186</f>
        <v>0</v>
      </c>
      <c r="DE186" s="648">
        <f>$AX186*$CK186</f>
        <v>0</v>
      </c>
      <c r="DF186" s="648">
        <f>$AZ186*$CK186</f>
        <v>0</v>
      </c>
      <c r="DG186" s="649">
        <f>$BA186*$CK186</f>
        <v>0</v>
      </c>
      <c r="DH186" s="649">
        <f>$BB186*$CK186</f>
        <v>0</v>
      </c>
      <c r="DI186" s="648">
        <f>$BD186*$CK186</f>
        <v>0</v>
      </c>
      <c r="DJ186" s="648">
        <f>$BF186*$CK186</f>
        <v>0</v>
      </c>
      <c r="DK186" s="648">
        <f>$BH186*$CK186</f>
        <v>0</v>
      </c>
      <c r="DL186" s="648">
        <f>$BK186*$CK186</f>
        <v>0</v>
      </c>
      <c r="DM186" s="648">
        <f>$BM186*$CK186</f>
        <v>0</v>
      </c>
      <c r="DN186" s="648">
        <f>$BO186*$CK186</f>
        <v>0</v>
      </c>
      <c r="DO186" s="648">
        <f>$BR186*$CK186</f>
        <v>0</v>
      </c>
      <c r="DP186" s="651">
        <f>$CK186*($BB186+$BD186+$BF186+$BH186+$BK186+$BM186+$BO186+$BR186)</f>
        <v>0</v>
      </c>
      <c r="DQ186" s="951">
        <f>IF($CB186=0,0,$DP186*_xlfn.XLOOKUP($CB186,Premises!$A$10:$F$10,Premises!$A$30:$F$30)/100)</f>
        <v>0</v>
      </c>
      <c r="DR186" s="650">
        <f>IFERROR(SUM($DP186:$DQ186)*IF(INDEX(Premises!$A$42:$F$42,1,MATCH($CB186,Premises!$A$10:$F$10,0))&gt;0,INDEX(Premises!$A$42:$F$42,1,MATCH($CB186,Premises!$A$10:$F$10,0))%,$CN186),0)</f>
        <v>0</v>
      </c>
      <c r="DS186" s="650" cm="1">
        <f t="array" ref="DS186">IF($CB186=0,0,SUM($DP186:$DR186)*_xlfn.XLOOKUP($CB186,Premises!$A$10:$F$10,IF(INDEX(Settings[],MATCH(3001,Settings[ID],0),2)="B",Premises!$A$33:$F$33,Premises!$A$31:$F$31))/100)</f>
        <v>0</v>
      </c>
      <c r="DT186" s="650" cm="1">
        <f t="array" ref="DT186">IF($CB186=0,0,$DP186*_xlfn.XLOOKUP($CB186,Premises!$A$10:$F$10,IF(INDEX(Settings[],MATCH(3002,Settings[ID],0),2)="B",Premises!$A$36:$F$36,Premises!$A$34:$F$34))/100)</f>
        <v>0</v>
      </c>
      <c r="DU186" s="650">
        <f>IF($CB186=0,0,SUM($DP186:$DT186)*_xlfn.XLOOKUP($CB186,Premises!$A$10:$F$10,Premises!$A$37:$F$37)/100)</f>
        <v>0</v>
      </c>
      <c r="DV186" s="954">
        <f>SUM($DP186:$DU186)</f>
        <v>0</v>
      </c>
      <c r="DW186" s="951">
        <f>IF($CC186=0,0,$DV186*_xlfn.XLOOKUP($CC186,Premises!$A$10:$F$10,Premises!$A$30:$F$30)/100)</f>
        <v>0</v>
      </c>
      <c r="DX186" s="650">
        <f>IFERROR(SUM($DV186:$DW186)*IF(INDEX(Premises!$A$42:$F$42,1,MATCH($CC186,Premises!$A$10:$F$10,0))&gt;0,INDEX(Premises!$A$42:$F$42,1,MATCH($CC186,Premises!$A$10:$F$10,0))%,$CP186),0)</f>
        <v>0</v>
      </c>
      <c r="DY186" s="650" cm="1">
        <f t="array" ref="DY186">IF($CC186=0,0,SUM($DV186:$DX186)*_xlfn.XLOOKUP($CC186,Premises!$A$10:$F$10,IF(INDEX(Settings[],MATCH(3001,Settings[ID],0),2)="B",Premises!$A$33:$F$33,Premises!$A$31:$F$31))/100)</f>
        <v>0</v>
      </c>
      <c r="DZ186" s="650" cm="1">
        <f t="array" ref="DZ186">IF($CC186=0,0,$DV186*_xlfn.XLOOKUP($CC186,Premises!$A$10:$F$10,IF(INDEX(Settings[],MATCH(3002,Settings[ID],0),2)="B",Premises!$A$36:$F$36,Premises!$A$34:$F$34))/100)</f>
        <v>0</v>
      </c>
      <c r="EA186" s="650">
        <f>IF($CC186=0,0,SUM($DV186:$DZ186)*_xlfn.XLOOKUP($CC186,Premises!$A$10:$F$10,Premises!$A$37:$F$37)/100)</f>
        <v>0</v>
      </c>
      <c r="EB186" s="651">
        <f>SUM($DV186:$EA186)</f>
        <v>0</v>
      </c>
      <c r="EC186" s="2"/>
      <c r="ED186" s="1104"/>
      <c r="EE186" s="650"/>
      <c r="EF186" s="1107"/>
      <c r="EG186" s="1108"/>
      <c r="EH186" s="1108"/>
      <c r="EI186" s="1108"/>
      <c r="EJ186" s="1108"/>
      <c r="EK186" s="1108"/>
      <c r="EL186" s="1108"/>
      <c r="EM186" s="1107"/>
      <c r="EN186" s="1108"/>
      <c r="EO186" s="1108"/>
      <c r="EP186" s="1108"/>
      <c r="EQ186" s="1108"/>
      <c r="ER186" s="1107"/>
      <c r="ES186" s="1108"/>
      <c r="ET186" s="1108"/>
      <c r="EU186" s="1108"/>
      <c r="EV186" s="1108"/>
      <c r="EW186" s="1108"/>
      <c r="EX186" s="1109"/>
      <c r="EY186" s="2"/>
      <c r="EZ186" s="2"/>
      <c r="FA186" s="2"/>
      <c r="FB186" s="2"/>
      <c r="FC186" s="2"/>
      <c r="FD186" s="2"/>
      <c r="FE186" s="2"/>
      <c r="FF186" s="2"/>
      <c r="FG186" s="2"/>
      <c r="FH186" s="2"/>
      <c r="FI186" s="2"/>
      <c r="FJ186" s="420"/>
      <c r="FK186" s="421"/>
      <c r="FL186" s="422"/>
      <c r="FM186" s="970"/>
    </row>
    <row r="187" spans="1:169" s="13" customFormat="1" ht="12.75" customHeight="1">
      <c r="A187" s="221"/>
      <c r="B187" s="402"/>
      <c r="C187" s="403"/>
      <c r="D187" s="646"/>
      <c r="E187" s="404"/>
      <c r="F187" s="405"/>
      <c r="G187" s="405"/>
      <c r="H187" s="405"/>
      <c r="I187" s="637" cm="1">
        <f t="array" ref="I187">IF($CI187=0,0,IFERROR(INDEX(MHR[],$CI187,MATCH($CA187,MHR!$B$4:$AY$4,0)),0))</f>
        <v>0</v>
      </c>
      <c r="J187" s="634">
        <f>IF(COUNTBLANK($E187:$H187),0,IFERROR($F187/$H187/IF($G187="s",3600,IF($G187="min",60,IF($G187="h",1,0)))*I187,0))</f>
        <v>0</v>
      </c>
      <c r="K187" s="406"/>
      <c r="L187" s="407"/>
      <c r="M187" s="871"/>
      <c r="N187" s="407"/>
      <c r="O187" s="405"/>
      <c r="P187" s="645" cm="1">
        <f t="array" ref="P187">IF($K187=0,0,IFERROR(ROUNDUP(IF(ISNUMBER($K187),$K187,INDEX($D$1:$D187,$CD187)*INDEX(Premises!$A$13:$F$13,1,$CH187)/IF(OR($K187="T",$K187="D"),250,IF($K187="W",50,IF($K187="M",12,IF(OR($K187="HJ",$K187="HY"),2,IF(OR($K187="J",$K187="Y"),1,0)))))),0),0))</f>
        <v>0</v>
      </c>
      <c r="Q187" s="637" cm="1">
        <f t="array" ref="Q187">IF($K187=0,0,IFERROR(INDEX(Premises!$A$22:$F$22,1,$CH187)*100/INDEX(Premises!$A$16:$F$16,1,$CH187),0))</f>
        <v>0</v>
      </c>
      <c r="R187" s="634">
        <f>IF($P187=0,0,IFERROR(($L187/60*($I187+$Q187*$M187)+($N187/60*($Q187*$O187)))/$P187,0))</f>
        <v>0</v>
      </c>
      <c r="S187" s="408"/>
      <c r="T187" s="409"/>
      <c r="U187" s="637" cm="1">
        <f t="array" ref="U187">IF(COUNTBLANK($S187:$T187),0,
IF(AND(INDEX(MHR[Schichtmodell],$CI187)&lt;&gt;0,INDEX(MHR[Schichtmodell],$CI187)&lt;&gt;INDEX(Premises!$A$20:$F$20,1,$CH187)),ExchangeRate*
IF(OR($T187="M",$T187="U"),IF(INDEX(MHR[Schichtmodell],$CI187)=1,INDEX(LOC[M1S],INDEX(Premises!$A$18:$F$18,1,$CH187+1)),IF(INDEX(MHR[Schichtmodell],$CI187)=2,INDEX(LOC[M2S],INDEX(Premises!$A$18:$F$18,1,$CH187+1),IF(INDEX(MHR[Schichtmodell],$CI187)=3,INDEX(LOC[M3S],INDEX(Premises!$A$18:$F$18,1,$CH187+1)),0)))),
IF(INDEX(MHR[Schichtmodell],$CI187)=1,INDEX(LOC[F1S],INDEX(Premises!$A$18:$F$18,1,$CH187+1)),IF(INDEX(MHR[Schichtmodell],$CI187)=2,INDEX(LOC[F2S],INDEX(Premises!$A$18:$F$18,1,$CH187+1)),IF(INDEX(MHR[Schichtmodell],$CI187)=3,INDEX(LOC[F3S],INDEX(Premises!$A$18:$F$18,1,$CH187+1)),0)))),
IF(OR($T187="M",$T187="U"),INDEX(Premises!$A$21:$F$21,1,$CH187),
IF(OR($T187="F",$T187="S"),INDEX(Premises!$A$22:$F$22,1,$CH187),0)))*100/INDEX(Premises!$A$16:$F$16,1,$CH187))</f>
        <v>0</v>
      </c>
      <c r="V187" s="631">
        <f>IF($U187=0,0,IFERROR($F187/$H187/IF($G187="s",3600,IF($G187="min",60,IF($G187="h",1,0)))*$S187*$U187,0))</f>
        <v>0</v>
      </c>
      <c r="W187" s="410"/>
      <c r="X187" s="403"/>
      <c r="Y187" s="411"/>
      <c r="Z187" s="412"/>
      <c r="AA187" s="628">
        <f>IFERROR($X187*$Z187/$Y187/MAX(1,$H187),0)</f>
        <v>0</v>
      </c>
      <c r="AB187" s="410"/>
      <c r="AC187" s="403"/>
      <c r="AD187" s="411"/>
      <c r="AE187" s="413"/>
      <c r="AF187" s="628">
        <f>IFERROR($AC187*$AE187/$AD187,0)</f>
        <v>0</v>
      </c>
      <c r="AG187" s="629" cm="1">
        <f t="array" ref="AG187">IF(($J187+$V187+$AF187)=0,0,INDEX(Premises!$A$30:$F$30,1,$CH187)/100)</f>
        <v>0</v>
      </c>
      <c r="AH187" s="414"/>
      <c r="AI187" s="415"/>
      <c r="AJ187" s="416"/>
      <c r="AK187" s="630">
        <f>IF(COUNTBLANK($AH187:$AI187),0,$AH187*$AI187*$AG187)</f>
        <v>0</v>
      </c>
      <c r="AL187" s="631">
        <f>($AK187+$AJ187*$AG187*(1-$AH187)+($J187+$V187+$AF187)*$AG187*(1-$AH187))</f>
        <v>0</v>
      </c>
      <c r="AM187" s="632" cm="1">
        <f t="array" ref="AM187">IF($CI187=0,0,IFERROR(INDEX(MHR[],$CI187,MATCH($CA187,MHR!$B$4:$AY$4,0)+11),0))</f>
        <v>0</v>
      </c>
      <c r="AN187" s="633" cm="1">
        <f t="array" ref="AN187">IF(($J187+$V187)=0,0,IFERROR(IF(INDEX(Premises!$A$41:$F$41,1,$CH187)&lt;&gt;0,INDEX(Premises!$A$41:$F$41,1,$CH187)/100,(IFERROR(($J187/$I187)*$AM187,0)/($V187+$J187+$R187+$AL187))),0))</f>
        <v>0</v>
      </c>
      <c r="AO187" s="634">
        <f>IF(($J187+$V187)=0,0,IF(IFERROR(($J187+$R187+$V187+$AL187)*$AN187,0)&lt;&gt;IFERROR(($J187/$I187)*$AM187,0),($J187+$R187+$V187+$AL187)*$AN187,IFERROR(($J187/$I187)*$AM187,0)))</f>
        <v>0</v>
      </c>
      <c r="AP187" s="635">
        <f>$V187+$J187+$R187+$AA187+$AF187+$AL187+$AO187</f>
        <v>0</v>
      </c>
      <c r="AQ187" s="410"/>
      <c r="AR187" s="409"/>
      <c r="AS187" s="636" cm="1">
        <f t="array" ref="AS187">IF($CJ187=0,0,IFERROR(INDEX(MAT[Einheit],$CJ187,1),0))</f>
        <v>0</v>
      </c>
      <c r="AT187" s="637" cm="1">
        <f t="array" ref="AT187">IF($CJ187=0,0,IFERROR(INDEX(MAT[Preis],$CJ187,1),0))</f>
        <v>0</v>
      </c>
      <c r="AU187" s="638">
        <f>$AR187*$AT187</f>
        <v>0</v>
      </c>
      <c r="AV187" s="639" cm="1">
        <f t="array" ref="AV187">IF($AU187&lt;=0,0,INDEX(Premises!$A$30:$F$30,1,$CH187)/100)</f>
        <v>0</v>
      </c>
      <c r="AW187" s="409"/>
      <c r="AX187" s="631">
        <f>IF($AV187=0,0,($AU187+$AW187)*$AV187)</f>
        <v>0</v>
      </c>
      <c r="AY187" s="640" cm="1">
        <f t="array" ref="AY187">IF($AT187&lt;=0,0,IFERROR(IF(INDEX(Premises!$A$42:$F$42,1,$CH187)&lt;&gt;0,INDEX(Premises!$A$42:$F$42,1,$CH187)/100,(INDEX(MAT[],$CJ187,MATCH($CA187,MAT!$B$4:$AE$4,0))/($AR187*$CK187*INDEX(Premises!$A$13:$F$13,1,$CH187))+INDEX(MAT[],$CJ187,MATCH($CA187,MAT!$B$4:$AE$4,0)+7))/$AT187),0))</f>
        <v>0</v>
      </c>
      <c r="AZ187" s="631">
        <f>IF($AY187=0,0,($AU187+$AX187)*$AY187)</f>
        <v>0</v>
      </c>
      <c r="BA187" s="635">
        <f>$AU187+$AX187+$AZ187</f>
        <v>0</v>
      </c>
      <c r="BB187" s="635">
        <f>$AP187+$BA187</f>
        <v>0</v>
      </c>
      <c r="BC187" s="639" cm="1">
        <f t="array" ref="BC187">IF($BB187&lt;=0,0,IF(BC$2=-1,0,INDEX(Premises!$A$32:$F$32,1,$CH187)/100))</f>
        <v>0</v>
      </c>
      <c r="BD187" s="631">
        <f>IF($AP187&lt;=0,0,($AP187-$AA187-$AL187)*$BC187)</f>
        <v>0</v>
      </c>
      <c r="BE187" s="639" cm="1">
        <f t="array" ref="BE187">IF($BB187&lt;=0,0,IF(BE$2=-1,0,INDEX(Premises!$A$33:$F$33,1,$CH187)/100))</f>
        <v>0</v>
      </c>
      <c r="BF187" s="631">
        <f>IF($BA187&lt;=0,0,$BA187*$BE187)</f>
        <v>0</v>
      </c>
      <c r="BG187" s="639" cm="1">
        <f t="array" ref="BG187">IF($BB187&lt;=0,0,IF(BG$2=-1,0,INDEX(Premises!$A$31:$F$31,1,$CH187)/100))</f>
        <v>0</v>
      </c>
      <c r="BH187" s="631">
        <f>(($AP187-$AA187-$AL187)+$BA187)*$BG187</f>
        <v>0</v>
      </c>
      <c r="BI187" s="635">
        <f>$BB187+$BD187+$BF187+$BH187</f>
        <v>0</v>
      </c>
      <c r="BJ187" s="639" cm="1">
        <f t="array" ref="BJ187">IF($BB187&lt;=0,0,IF(BJ$2=-1,0,INDEX(Premises!$A$35:$F$35,1,$CH187)/100))</f>
        <v>0</v>
      </c>
      <c r="BK187" s="631">
        <f>IF($AP187&lt;=0,0,($AP187-$AL187-$AA187)*$BJ187)</f>
        <v>0</v>
      </c>
      <c r="BL187" s="639" cm="1">
        <f t="array" ref="BL187">IF($BB187&lt;=0,0,IF(BL$2=-1,0,INDEX(Premises!$A$36:$F$36,1,$CH187)/100))</f>
        <v>0</v>
      </c>
      <c r="BM187" s="631">
        <f>IF($AU187&lt;=0,0,($AR187*$AT187)*$BL187)</f>
        <v>0</v>
      </c>
      <c r="BN187" s="639" cm="1">
        <f t="array" ref="BN187">IF($BB187&lt;=0,0,IF(BN$2=-1,0,INDEX(Premises!$A$34:$F$34,1,$CH187)/100))</f>
        <v>0</v>
      </c>
      <c r="BO187" s="631">
        <f>(($AP187-$AL187-$AA187)+($AR187*$AT187))*$BN187</f>
        <v>0</v>
      </c>
      <c r="BP187" s="639" cm="1">
        <f t="array" ref="BP187">IF($BI187=0,0,INDEX(Premises!$A$37:$F$37,1,$CH187)/100)</f>
        <v>0</v>
      </c>
      <c r="BQ187" s="409"/>
      <c r="BR187" s="631">
        <f>($BI187+$BK187+$BM187+$BO187)*$BP187+$BQ187</f>
        <v>0</v>
      </c>
      <c r="BS187" s="641">
        <f>BI187+BK187+BM187+BO187+BR187</f>
        <v>0</v>
      </c>
      <c r="BT187" s="641">
        <f>IF($BS187=0,0,$CK187*$BS187)</f>
        <v>0</v>
      </c>
      <c r="BU187" s="642">
        <f>IF($BT187=0,0,MAX(1,$EB187/$DP187))</f>
        <v>0</v>
      </c>
      <c r="BV187" s="1147"/>
      <c r="BW187" s="418"/>
      <c r="BX187" s="418"/>
      <c r="BY187" s="419"/>
      <c r="BZ187" s="968"/>
      <c r="CA187" s="280" cm="1">
        <f t="array" ref="CA187">IF($BZ187&gt;0,VALUE(LEFT($BZ187,IF(ISERROR(FIND("-",$BZ187)),LEN($BZ187),FIND("-",$BZ187)-1))),INDEX($CA$1:$CA187,MAX(1,$CD187)))</f>
        <v>1</v>
      </c>
      <c r="CB187" s="280" cm="1">
        <f t="array" ref="CB187">IF($BT187=0,0,IF(LEN($BZ187)-LEN(SUBSTITUTE($BZ187,"-",""))&gt;1,
VALUE(MID($BZ187,FIND("-",$BZ187)+1,FIND("-",$BZ187,FIND("-",$BZ187)+1)-FIND("-",$BZ187)-1)),IF($BZ187&gt;0,0,INDEX($CB$1:$CB187,MAX(1,$CD187)))))</f>
        <v>0</v>
      </c>
      <c r="CC187" s="280" cm="1">
        <f t="array" ref="CC187">IF($BT187=0,0,IF(NOT(ISERROR(FIND("-",BZ187))),
VALUE(RIGHT($BZ187,LEN($BZ187)-IF(LEN($BZ187)-LEN(SUBSTITUTE($BZ187,"-",""))=1,FIND("-",$BZ187),FIND("-",$BZ187,FIND("-",$BZ187)+1)))),
IF($BZ187&gt;0,0,INDEX($CC$1:$CC187,MAX(1,$CD187)))))</f>
        <v>0</v>
      </c>
      <c r="CD187" s="393">
        <f>MATCH(0,$CE$1:$CE187,-1)</f>
        <v>185</v>
      </c>
      <c r="CE187" s="280"/>
      <c r="CF187" s="394"/>
      <c r="CG187" s="393" cm="1">
        <f t="array" ref="CG187">INDEX($CG$1:$CG187,$CD187)</f>
        <v>0</v>
      </c>
      <c r="CH187" s="280">
        <f>MATCH($CA187,Premises!$A$10:$F$10,0)</f>
        <v>4</v>
      </c>
      <c r="CI187" s="280">
        <f>IF(ISBLANK($E187),0,IFERROR(MATCH($E187,MHR[Bezeichnung],0),0))</f>
        <v>0</v>
      </c>
      <c r="CJ187" s="394">
        <f>IF(ISBLANK($AQ187),0,IFERROR(MATCH($AQ187,MAT[Bezeichnung],0),0))</f>
        <v>0</v>
      </c>
      <c r="CK187" s="280" cm="1">
        <f t="array" ref="CK187">INDEX($D$1:$D187,$CD187)</f>
        <v>0</v>
      </c>
      <c r="CL187" s="280"/>
      <c r="CM187" s="395"/>
      <c r="CN187" s="396" cm="1">
        <f t="array" ref="CN187">IF($CB187=0,0,IF($CB187=INDEX($CB$1:$CB187,$CD187),INDEX($CN$1:$CN187,$CD187),$CP187))</f>
        <v>0</v>
      </c>
      <c r="CO187" s="395"/>
      <c r="CP187" s="396" cm="1">
        <f t="array" ref="CP187">IF($CC187=0,0,INDEX($CP$1:$CP187,$CD187))</f>
        <v>0</v>
      </c>
      <c r="CQ187" s="397"/>
      <c r="CR187" s="398"/>
      <c r="CS187" s="398"/>
      <c r="CT187" s="970"/>
      <c r="CU187" s="2"/>
      <c r="CV187" s="647">
        <f>$J187*$CK187</f>
        <v>0</v>
      </c>
      <c r="CW187" s="648">
        <f>$R187*$CK187</f>
        <v>0</v>
      </c>
      <c r="CX187" s="648">
        <f>$V187*$CK187</f>
        <v>0</v>
      </c>
      <c r="CY187" s="648">
        <f>$AA187*$CK187</f>
        <v>0</v>
      </c>
      <c r="CZ187" s="648">
        <f>$AF187*$CK187</f>
        <v>0</v>
      </c>
      <c r="DA187" s="648">
        <f>$AL187*$CK187</f>
        <v>0</v>
      </c>
      <c r="DB187" s="648">
        <f>$AO187*$CK187</f>
        <v>0</v>
      </c>
      <c r="DC187" s="649">
        <f>$AP187*$CK187</f>
        <v>0</v>
      </c>
      <c r="DD187" s="648">
        <f>$AU187*$CK187</f>
        <v>0</v>
      </c>
      <c r="DE187" s="648">
        <f>$AX187*$CK187</f>
        <v>0</v>
      </c>
      <c r="DF187" s="648">
        <f>$AZ187*$CK187</f>
        <v>0</v>
      </c>
      <c r="DG187" s="649">
        <f>$BA187*$CK187</f>
        <v>0</v>
      </c>
      <c r="DH187" s="649">
        <f>$BB187*$CK187</f>
        <v>0</v>
      </c>
      <c r="DI187" s="648">
        <f>$BD187*$CK187</f>
        <v>0</v>
      </c>
      <c r="DJ187" s="648">
        <f>$BF187*$CK187</f>
        <v>0</v>
      </c>
      <c r="DK187" s="648">
        <f>$BH187*$CK187</f>
        <v>0</v>
      </c>
      <c r="DL187" s="648">
        <f>$BK187*$CK187</f>
        <v>0</v>
      </c>
      <c r="DM187" s="648">
        <f>$BM187*$CK187</f>
        <v>0</v>
      </c>
      <c r="DN187" s="648">
        <f>$BO187*$CK187</f>
        <v>0</v>
      </c>
      <c r="DO187" s="648">
        <f>$BR187*$CK187</f>
        <v>0</v>
      </c>
      <c r="DP187" s="651">
        <f>$CK187*($BB187+$BD187+$BF187+$BH187+$BK187+$BM187+$BO187+$BR187)</f>
        <v>0</v>
      </c>
      <c r="DQ187" s="951">
        <f>IF($CB187=0,0,$DP187*_xlfn.XLOOKUP($CB187,Premises!$A$10:$F$10,Premises!$A$30:$F$30)/100)</f>
        <v>0</v>
      </c>
      <c r="DR187" s="650">
        <f>IFERROR(SUM($DP187:$DQ187)*IF(INDEX(Premises!$A$42:$F$42,1,MATCH($CB187,Premises!$A$10:$F$10,0))&gt;0,INDEX(Premises!$A$42:$F$42,1,MATCH($CB187,Premises!$A$10:$F$10,0))%,$CN187),0)</f>
        <v>0</v>
      </c>
      <c r="DS187" s="650" cm="1">
        <f t="array" ref="DS187">IF($CB187=0,0,SUM($DP187:$DR187)*_xlfn.XLOOKUP($CB187,Premises!$A$10:$F$10,IF(INDEX(Settings[],MATCH(3001,Settings[ID],0),2)="B",Premises!$A$33:$F$33,Premises!$A$31:$F$31))/100)</f>
        <v>0</v>
      </c>
      <c r="DT187" s="650" cm="1">
        <f t="array" ref="DT187">IF($CB187=0,0,$DP187*_xlfn.XLOOKUP($CB187,Premises!$A$10:$F$10,IF(INDEX(Settings[],MATCH(3002,Settings[ID],0),2)="B",Premises!$A$36:$F$36,Premises!$A$34:$F$34))/100)</f>
        <v>0</v>
      </c>
      <c r="DU187" s="650">
        <f>IF($CB187=0,0,SUM($DP187:$DT187)*_xlfn.XLOOKUP($CB187,Premises!$A$10:$F$10,Premises!$A$37:$F$37)/100)</f>
        <v>0</v>
      </c>
      <c r="DV187" s="954">
        <f>SUM($DP187:$DU187)</f>
        <v>0</v>
      </c>
      <c r="DW187" s="951">
        <f>IF($CC187=0,0,$DV187*_xlfn.XLOOKUP($CC187,Premises!$A$10:$F$10,Premises!$A$30:$F$30)/100)</f>
        <v>0</v>
      </c>
      <c r="DX187" s="650">
        <f>IFERROR(SUM($DV187:$DW187)*IF(INDEX(Premises!$A$42:$F$42,1,MATCH($CC187,Premises!$A$10:$F$10,0))&gt;0,INDEX(Premises!$A$42:$F$42,1,MATCH($CC187,Premises!$A$10:$F$10,0))%,$CP187),0)</f>
        <v>0</v>
      </c>
      <c r="DY187" s="650" cm="1">
        <f t="array" ref="DY187">IF($CC187=0,0,SUM($DV187:$DX187)*_xlfn.XLOOKUP($CC187,Premises!$A$10:$F$10,IF(INDEX(Settings[],MATCH(3001,Settings[ID],0),2)="B",Premises!$A$33:$F$33,Premises!$A$31:$F$31))/100)</f>
        <v>0</v>
      </c>
      <c r="DZ187" s="650" cm="1">
        <f t="array" ref="DZ187">IF($CC187=0,0,$DV187*_xlfn.XLOOKUP($CC187,Premises!$A$10:$F$10,IF(INDEX(Settings[],MATCH(3002,Settings[ID],0),2)="B",Premises!$A$36:$F$36,Premises!$A$34:$F$34))/100)</f>
        <v>0</v>
      </c>
      <c r="EA187" s="650">
        <f>IF($CC187=0,0,SUM($DV187:$DZ187)*_xlfn.XLOOKUP($CC187,Premises!$A$10:$F$10,Premises!$A$37:$F$37)/100)</f>
        <v>0</v>
      </c>
      <c r="EB187" s="651">
        <f>SUM($DV187:$EA187)</f>
        <v>0</v>
      </c>
      <c r="EC187" s="2"/>
      <c r="ED187" s="1104"/>
      <c r="EE187" s="650"/>
      <c r="EF187" s="1110"/>
      <c r="EG187" s="1108"/>
      <c r="EH187" s="1108"/>
      <c r="EI187" s="1108"/>
      <c r="EJ187" s="1108"/>
      <c r="EK187" s="1108"/>
      <c r="EL187" s="1108"/>
      <c r="EM187" s="1110"/>
      <c r="EN187" s="1108"/>
      <c r="EO187" s="1108"/>
      <c r="EP187" s="1108"/>
      <c r="EQ187" s="1108"/>
      <c r="ER187" s="1110"/>
      <c r="ES187" s="1108"/>
      <c r="ET187" s="1108"/>
      <c r="EU187" s="1108"/>
      <c r="EV187" s="1108"/>
      <c r="EW187" s="1108"/>
      <c r="EX187" s="1111"/>
      <c r="EY187" s="2"/>
      <c r="EZ187" s="2"/>
      <c r="FA187" s="2"/>
      <c r="FB187" s="2"/>
      <c r="FC187" s="2"/>
      <c r="FD187" s="2"/>
      <c r="FE187" s="2"/>
      <c r="FF187" s="2"/>
      <c r="FG187" s="2"/>
      <c r="FH187" s="2"/>
      <c r="FI187" s="2"/>
      <c r="FJ187" s="420"/>
      <c r="FK187" s="421"/>
      <c r="FL187" s="422"/>
      <c r="FM187" s="970"/>
    </row>
    <row r="188" spans="1:169" s="13" customFormat="1" ht="12.75" customHeight="1">
      <c r="A188" s="221"/>
      <c r="B188" s="402"/>
      <c r="C188" s="403"/>
      <c r="D188" s="646"/>
      <c r="E188" s="404"/>
      <c r="F188" s="405"/>
      <c r="G188" s="405"/>
      <c r="H188" s="405"/>
      <c r="I188" s="637" cm="1">
        <f t="array" ref="I188">IF($CI188=0,0,IFERROR(INDEX(MHR[],$CI188,MATCH($CA188,MHR!$B$4:$AY$4,0)),0))</f>
        <v>0</v>
      </c>
      <c r="J188" s="634">
        <f>IF(COUNTBLANK($E188:$H188),0,IFERROR($F188/$H188/IF($G188="s",3600,IF($G188="min",60,IF($G188="h",1,0)))*I188,0))</f>
        <v>0</v>
      </c>
      <c r="K188" s="406"/>
      <c r="L188" s="407"/>
      <c r="M188" s="871"/>
      <c r="N188" s="407"/>
      <c r="O188" s="405"/>
      <c r="P188" s="645" cm="1">
        <f t="array" ref="P188">IF($K188=0,0,IFERROR(ROUNDUP(IF(ISNUMBER($K188),$K188,INDEX($D$1:$D188,$CD188)*INDEX(Premises!$A$13:$F$13,1,$CH188)/IF(OR($K188="T",$K188="D"),250,IF($K188="W",50,IF($K188="M",12,IF(OR($K188="HJ",$K188="HY"),2,IF(OR($K188="J",$K188="Y"),1,0)))))),0),0))</f>
        <v>0</v>
      </c>
      <c r="Q188" s="637" cm="1">
        <f t="array" ref="Q188">IF($K188=0,0,IFERROR(INDEX(Premises!$A$22:$F$22,1,$CH188)*100/INDEX(Premises!$A$16:$F$16,1,$CH188),0))</f>
        <v>0</v>
      </c>
      <c r="R188" s="634">
        <f>IF($P188=0,0,IFERROR(($L188/60*($I188+$Q188*$M188)+($N188/60*($Q188*$O188)))/$P188,0))</f>
        <v>0</v>
      </c>
      <c r="S188" s="408"/>
      <c r="T188" s="409"/>
      <c r="U188" s="637" cm="1">
        <f t="array" ref="U188">IF(COUNTBLANK($S188:$T188),0,
IF(AND(INDEX(MHR[Schichtmodell],$CI188)&lt;&gt;0,INDEX(MHR[Schichtmodell],$CI188)&lt;&gt;INDEX(Premises!$A$20:$F$20,1,$CH188)),ExchangeRate*
IF(OR($T188="M",$T188="U"),IF(INDEX(MHR[Schichtmodell],$CI188)=1,INDEX(LOC[M1S],INDEX(Premises!$A$18:$F$18,1,$CH188+1)),IF(INDEX(MHR[Schichtmodell],$CI188)=2,INDEX(LOC[M2S],INDEX(Premises!$A$18:$F$18,1,$CH188+1),IF(INDEX(MHR[Schichtmodell],$CI188)=3,INDEX(LOC[M3S],INDEX(Premises!$A$18:$F$18,1,$CH188+1)),0)))),
IF(INDEX(MHR[Schichtmodell],$CI188)=1,INDEX(LOC[F1S],INDEX(Premises!$A$18:$F$18,1,$CH188+1)),IF(INDEX(MHR[Schichtmodell],$CI188)=2,INDEX(LOC[F2S],INDEX(Premises!$A$18:$F$18,1,$CH188+1)),IF(INDEX(MHR[Schichtmodell],$CI188)=3,INDEX(LOC[F3S],INDEX(Premises!$A$18:$F$18,1,$CH188+1)),0)))),
IF(OR($T188="M",$T188="U"),INDEX(Premises!$A$21:$F$21,1,$CH188),
IF(OR($T188="F",$T188="S"),INDEX(Premises!$A$22:$F$22,1,$CH188),0)))*100/INDEX(Premises!$A$16:$F$16,1,$CH188))</f>
        <v>0</v>
      </c>
      <c r="V188" s="631">
        <f>IF($U188=0,0,IFERROR($F188/$H188/IF($G188="s",3600,IF($G188="min",60,IF($G188="h",1,0)))*$S188*$U188,0))</f>
        <v>0</v>
      </c>
      <c r="W188" s="410"/>
      <c r="X188" s="403"/>
      <c r="Y188" s="411"/>
      <c r="Z188" s="412"/>
      <c r="AA188" s="628">
        <f>IFERROR($X188*$Z188/$Y188/MAX(1,$H188),0)</f>
        <v>0</v>
      </c>
      <c r="AB188" s="410"/>
      <c r="AC188" s="403"/>
      <c r="AD188" s="411"/>
      <c r="AE188" s="413"/>
      <c r="AF188" s="628">
        <f>IFERROR($AC188*$AE188/$AD188,0)</f>
        <v>0</v>
      </c>
      <c r="AG188" s="629" cm="1">
        <f t="array" ref="AG188">IF(($J188+$V188+$AF188)=0,0,INDEX(Premises!$A$30:$F$30,1,$CH188)/100)</f>
        <v>0</v>
      </c>
      <c r="AH188" s="414"/>
      <c r="AI188" s="415"/>
      <c r="AJ188" s="416"/>
      <c r="AK188" s="630">
        <f>IF(COUNTBLANK($AH188:$AI188),0,$AH188*$AI188*$AG188)</f>
        <v>0</v>
      </c>
      <c r="AL188" s="631">
        <f>($AK188+$AJ188*$AG188*(1-$AH188)+($J188+$V188+$AF188)*$AG188*(1-$AH188))</f>
        <v>0</v>
      </c>
      <c r="AM188" s="632" cm="1">
        <f t="array" ref="AM188">IF($CI188=0,0,IFERROR(INDEX(MHR[],$CI188,MATCH($CA188,MHR!$B$4:$AY$4,0)+11),0))</f>
        <v>0</v>
      </c>
      <c r="AN188" s="633" cm="1">
        <f t="array" ref="AN188">IF(($J188+$V188)=0,0,IFERROR(IF(INDEX(Premises!$A$41:$F$41,1,$CH188)&lt;&gt;0,INDEX(Premises!$A$41:$F$41,1,$CH188)/100,(IFERROR(($J188/$I188)*$AM188,0)/($V188+$J188+$R188+$AL188))),0))</f>
        <v>0</v>
      </c>
      <c r="AO188" s="634">
        <f>IF(($J188+$V188)=0,0,IF(IFERROR(($J188+$R188+$V188+$AL188)*$AN188,0)&lt;&gt;IFERROR(($J188/$I188)*$AM188,0),($J188+$R188+$V188+$AL188)*$AN188,IFERROR(($J188/$I188)*$AM188,0)))</f>
        <v>0</v>
      </c>
      <c r="AP188" s="635">
        <f>$V188+$J188+$R188+$AA188+$AF188+$AL188+$AO188</f>
        <v>0</v>
      </c>
      <c r="AQ188" s="410"/>
      <c r="AR188" s="409"/>
      <c r="AS188" s="636" cm="1">
        <f t="array" ref="AS188">IF($CJ188=0,0,IFERROR(INDEX(MAT[Einheit],$CJ188,1),0))</f>
        <v>0</v>
      </c>
      <c r="AT188" s="637" cm="1">
        <f t="array" ref="AT188">IF($CJ188=0,0,IFERROR(INDEX(MAT[Preis],$CJ188,1),0))</f>
        <v>0</v>
      </c>
      <c r="AU188" s="638">
        <f>$AR188*$AT188</f>
        <v>0</v>
      </c>
      <c r="AV188" s="639" cm="1">
        <f t="array" ref="AV188">IF($AU188&lt;=0,0,INDEX(Premises!$A$30:$F$30,1,$CH188)/100)</f>
        <v>0</v>
      </c>
      <c r="AW188" s="409"/>
      <c r="AX188" s="631">
        <f>IF($AV188=0,0,($AU188+$AW188)*$AV188)</f>
        <v>0</v>
      </c>
      <c r="AY188" s="640" cm="1">
        <f t="array" ref="AY188">IF($AT188&lt;=0,0,IFERROR(IF(INDEX(Premises!$A$42:$F$42,1,$CH188)&lt;&gt;0,INDEX(Premises!$A$42:$F$42,1,$CH188)/100,(INDEX(MAT[],$CJ188,MATCH($CA188,MAT!$B$4:$AE$4,0))/($AR188*$CK188*INDEX(Premises!$A$13:$F$13,1,$CH188))+INDEX(MAT[],$CJ188,MATCH($CA188,MAT!$B$4:$AE$4,0)+7))/$AT188),0))</f>
        <v>0</v>
      </c>
      <c r="AZ188" s="631">
        <f>IF($AY188=0,0,($AU188+$AX188)*$AY188)</f>
        <v>0</v>
      </c>
      <c r="BA188" s="635">
        <f>$AU188+$AX188+$AZ188</f>
        <v>0</v>
      </c>
      <c r="BB188" s="635">
        <f>$AP188+$BA188</f>
        <v>0</v>
      </c>
      <c r="BC188" s="639" cm="1">
        <f t="array" ref="BC188">IF($BB188&lt;=0,0,IF(BC$2=-1,0,INDEX(Premises!$A$32:$F$32,1,$CH188)/100))</f>
        <v>0</v>
      </c>
      <c r="BD188" s="631">
        <f>IF($AP188&lt;=0,0,($AP188-$AA188-$AL188)*$BC188)</f>
        <v>0</v>
      </c>
      <c r="BE188" s="639" cm="1">
        <f t="array" ref="BE188">IF($BB188&lt;=0,0,IF(BE$2=-1,0,INDEX(Premises!$A$33:$F$33,1,$CH188)/100))</f>
        <v>0</v>
      </c>
      <c r="BF188" s="631">
        <f>IF($BA188&lt;=0,0,$BA188*$BE188)</f>
        <v>0</v>
      </c>
      <c r="BG188" s="639" cm="1">
        <f t="array" ref="BG188">IF($BB188&lt;=0,0,IF(BG$2=-1,0,INDEX(Premises!$A$31:$F$31,1,$CH188)/100))</f>
        <v>0</v>
      </c>
      <c r="BH188" s="631">
        <f>(($AP188-$AA188-$AL188)+$BA188)*$BG188</f>
        <v>0</v>
      </c>
      <c r="BI188" s="635">
        <f>$BB188+$BD188+$BF188+$BH188</f>
        <v>0</v>
      </c>
      <c r="BJ188" s="639" cm="1">
        <f t="array" ref="BJ188">IF($BB188&lt;=0,0,IF(BJ$2=-1,0,INDEX(Premises!$A$35:$F$35,1,$CH188)/100))</f>
        <v>0</v>
      </c>
      <c r="BK188" s="631">
        <f>IF($AP188&lt;=0,0,($AP188-$AL188-$AA188)*$BJ188)</f>
        <v>0</v>
      </c>
      <c r="BL188" s="639" cm="1">
        <f t="array" ref="BL188">IF($BB188&lt;=0,0,IF(BL$2=-1,0,INDEX(Premises!$A$36:$F$36,1,$CH188)/100))</f>
        <v>0</v>
      </c>
      <c r="BM188" s="631">
        <f>IF($AU188&lt;=0,0,($AR188*$AT188)*$BL188)</f>
        <v>0</v>
      </c>
      <c r="BN188" s="639" cm="1">
        <f t="array" ref="BN188">IF($BB188&lt;=0,0,IF(BN$2=-1,0,INDEX(Premises!$A$34:$F$34,1,$CH188)/100))</f>
        <v>0</v>
      </c>
      <c r="BO188" s="631">
        <f>(($AP188-$AL188-$AA188)+($AR188*$AT188))*$BN188</f>
        <v>0</v>
      </c>
      <c r="BP188" s="639" cm="1">
        <f t="array" ref="BP188">IF($BI188=0,0,INDEX(Premises!$A$37:$F$37,1,$CH188)/100)</f>
        <v>0</v>
      </c>
      <c r="BQ188" s="409"/>
      <c r="BR188" s="631">
        <f>($BI188+$BK188+$BM188+$BO188)*$BP188+$BQ188</f>
        <v>0</v>
      </c>
      <c r="BS188" s="641">
        <f>BI188+BK188+BM188+BO188+BR188</f>
        <v>0</v>
      </c>
      <c r="BT188" s="641">
        <f>IF($BS188=0,0,$CK188*$BS188)</f>
        <v>0</v>
      </c>
      <c r="BU188" s="642">
        <f>IF($BT188=0,0,MAX(1,$EB188/$DP188))</f>
        <v>0</v>
      </c>
      <c r="BV188" s="1147"/>
      <c r="BW188" s="418"/>
      <c r="BX188" s="418"/>
      <c r="BY188" s="419"/>
      <c r="BZ188" s="968"/>
      <c r="CA188" s="280" cm="1">
        <f t="array" ref="CA188">IF($BZ188&gt;0,VALUE(LEFT($BZ188,IF(ISERROR(FIND("-",$BZ188)),LEN($BZ188),FIND("-",$BZ188)-1))),INDEX($CA$1:$CA188,MAX(1,$CD188)))</f>
        <v>1</v>
      </c>
      <c r="CB188" s="280" cm="1">
        <f t="array" ref="CB188">IF($BT188=0,0,IF(LEN($BZ188)-LEN(SUBSTITUTE($BZ188,"-",""))&gt;1,
VALUE(MID($BZ188,FIND("-",$BZ188)+1,FIND("-",$BZ188,FIND("-",$BZ188)+1)-FIND("-",$BZ188)-1)),IF($BZ188&gt;0,0,INDEX($CB$1:$CB188,MAX(1,$CD188)))))</f>
        <v>0</v>
      </c>
      <c r="CC188" s="280" cm="1">
        <f t="array" ref="CC188">IF($BT188=0,0,IF(NOT(ISERROR(FIND("-",BZ188))),
VALUE(RIGHT($BZ188,LEN($BZ188)-IF(LEN($BZ188)-LEN(SUBSTITUTE($BZ188,"-",""))=1,FIND("-",$BZ188),FIND("-",$BZ188,FIND("-",$BZ188)+1)))),
IF($BZ188&gt;0,0,INDEX($CC$1:$CC188,MAX(1,$CD188)))))</f>
        <v>0</v>
      </c>
      <c r="CD188" s="393">
        <f>MATCH(0,$CE$1:$CE188,-1)</f>
        <v>185</v>
      </c>
      <c r="CE188" s="280"/>
      <c r="CF188" s="394"/>
      <c r="CG188" s="393" cm="1">
        <f t="array" ref="CG188">INDEX($CG$1:$CG188,$CD188)</f>
        <v>0</v>
      </c>
      <c r="CH188" s="280">
        <f>MATCH($CA188,Premises!$A$10:$F$10,0)</f>
        <v>4</v>
      </c>
      <c r="CI188" s="280">
        <f>IF(ISBLANK($E188),0,IFERROR(MATCH($E188,MHR[Bezeichnung],0),0))</f>
        <v>0</v>
      </c>
      <c r="CJ188" s="394">
        <f>IF(ISBLANK($AQ188),0,IFERROR(MATCH($AQ188,MAT[Bezeichnung],0),0))</f>
        <v>0</v>
      </c>
      <c r="CK188" s="280" cm="1">
        <f t="array" ref="CK188">INDEX($D$1:$D188,$CD188)</f>
        <v>0</v>
      </c>
      <c r="CL188" s="280"/>
      <c r="CM188" s="395"/>
      <c r="CN188" s="396" cm="1">
        <f t="array" ref="CN188">IF($CB188=0,0,IF($CB188=INDEX($CB$1:$CB188,$CD188),INDEX($CN$1:$CN188,$CD188),$CP188))</f>
        <v>0</v>
      </c>
      <c r="CO188" s="395"/>
      <c r="CP188" s="396" cm="1">
        <f t="array" ref="CP188">IF($CC188=0,0,INDEX($CP$1:$CP188,$CD188))</f>
        <v>0</v>
      </c>
      <c r="CQ188" s="397"/>
      <c r="CR188" s="398"/>
      <c r="CS188" s="398"/>
      <c r="CT188" s="970"/>
      <c r="CU188" s="2"/>
      <c r="CV188" s="647">
        <f>$J188*$CK188</f>
        <v>0</v>
      </c>
      <c r="CW188" s="648">
        <f>$R188*$CK188</f>
        <v>0</v>
      </c>
      <c r="CX188" s="648">
        <f>$V188*$CK188</f>
        <v>0</v>
      </c>
      <c r="CY188" s="648">
        <f>$AA188*$CK188</f>
        <v>0</v>
      </c>
      <c r="CZ188" s="648">
        <f>$AF188*$CK188</f>
        <v>0</v>
      </c>
      <c r="DA188" s="648">
        <f>$AL188*$CK188</f>
        <v>0</v>
      </c>
      <c r="DB188" s="648">
        <f>$AO188*$CK188</f>
        <v>0</v>
      </c>
      <c r="DC188" s="649">
        <f>$AP188*$CK188</f>
        <v>0</v>
      </c>
      <c r="DD188" s="648">
        <f>$AU188*$CK188</f>
        <v>0</v>
      </c>
      <c r="DE188" s="648">
        <f>$AX188*$CK188</f>
        <v>0</v>
      </c>
      <c r="DF188" s="648">
        <f>$AZ188*$CK188</f>
        <v>0</v>
      </c>
      <c r="DG188" s="649">
        <f>$BA188*$CK188</f>
        <v>0</v>
      </c>
      <c r="DH188" s="649">
        <f>$BB188*$CK188</f>
        <v>0</v>
      </c>
      <c r="DI188" s="648">
        <f>$BD188*$CK188</f>
        <v>0</v>
      </c>
      <c r="DJ188" s="648">
        <f>$BF188*$CK188</f>
        <v>0</v>
      </c>
      <c r="DK188" s="648">
        <f>$BH188*$CK188</f>
        <v>0</v>
      </c>
      <c r="DL188" s="648">
        <f>$BK188*$CK188</f>
        <v>0</v>
      </c>
      <c r="DM188" s="648">
        <f>$BM188*$CK188</f>
        <v>0</v>
      </c>
      <c r="DN188" s="648">
        <f>$BO188*$CK188</f>
        <v>0</v>
      </c>
      <c r="DO188" s="648">
        <f>$BR188*$CK188</f>
        <v>0</v>
      </c>
      <c r="DP188" s="651">
        <f>$CK188*($BB188+$BD188+$BF188+$BH188+$BK188+$BM188+$BO188+$BR188)</f>
        <v>0</v>
      </c>
      <c r="DQ188" s="951">
        <f>IF($CB188=0,0,$DP188*_xlfn.XLOOKUP($CB188,Premises!$A$10:$F$10,Premises!$A$30:$F$30)/100)</f>
        <v>0</v>
      </c>
      <c r="DR188" s="650">
        <f>IFERROR(SUM($DP188:$DQ188)*IF(INDEX(Premises!$A$42:$F$42,1,MATCH($CB188,Premises!$A$10:$F$10,0))&gt;0,INDEX(Premises!$A$42:$F$42,1,MATCH($CB188,Premises!$A$10:$F$10,0))%,$CN188),0)</f>
        <v>0</v>
      </c>
      <c r="DS188" s="650" cm="1">
        <f t="array" ref="DS188">IF($CB188=0,0,SUM($DP188:$DR188)*_xlfn.XLOOKUP($CB188,Premises!$A$10:$F$10,IF(INDEX(Settings[],MATCH(3001,Settings[ID],0),2)="B",Premises!$A$33:$F$33,Premises!$A$31:$F$31))/100)</f>
        <v>0</v>
      </c>
      <c r="DT188" s="650" cm="1">
        <f t="array" ref="DT188">IF($CB188=0,0,$DP188*_xlfn.XLOOKUP($CB188,Premises!$A$10:$F$10,IF(INDEX(Settings[],MATCH(3002,Settings[ID],0),2)="B",Premises!$A$36:$F$36,Premises!$A$34:$F$34))/100)</f>
        <v>0</v>
      </c>
      <c r="DU188" s="650">
        <f>IF($CB188=0,0,SUM($DP188:$DT188)*_xlfn.XLOOKUP($CB188,Premises!$A$10:$F$10,Premises!$A$37:$F$37)/100)</f>
        <v>0</v>
      </c>
      <c r="DV188" s="954">
        <f>SUM($DP188:$DU188)</f>
        <v>0</v>
      </c>
      <c r="DW188" s="951">
        <f>IF($CC188=0,0,$DV188*_xlfn.XLOOKUP($CC188,Premises!$A$10:$F$10,Premises!$A$30:$F$30)/100)</f>
        <v>0</v>
      </c>
      <c r="DX188" s="650">
        <f>IFERROR(SUM($DV188:$DW188)*IF(INDEX(Premises!$A$42:$F$42,1,MATCH($CC188,Premises!$A$10:$F$10,0))&gt;0,INDEX(Premises!$A$42:$F$42,1,MATCH($CC188,Premises!$A$10:$F$10,0))%,$CP188),0)</f>
        <v>0</v>
      </c>
      <c r="DY188" s="650" cm="1">
        <f t="array" ref="DY188">IF($CC188=0,0,SUM($DV188:$DX188)*_xlfn.XLOOKUP($CC188,Premises!$A$10:$F$10,IF(INDEX(Settings[],MATCH(3001,Settings[ID],0),2)="B",Premises!$A$33:$F$33,Premises!$A$31:$F$31))/100)</f>
        <v>0</v>
      </c>
      <c r="DZ188" s="650" cm="1">
        <f t="array" ref="DZ188">IF($CC188=0,0,$DV188*_xlfn.XLOOKUP($CC188,Premises!$A$10:$F$10,IF(INDEX(Settings[],MATCH(3002,Settings[ID],0),2)="B",Premises!$A$36:$F$36,Premises!$A$34:$F$34))/100)</f>
        <v>0</v>
      </c>
      <c r="EA188" s="650">
        <f>IF($CC188=0,0,SUM($DV188:$DZ188)*_xlfn.XLOOKUP($CC188,Premises!$A$10:$F$10,Premises!$A$37:$F$37)/100)</f>
        <v>0</v>
      </c>
      <c r="EB188" s="651">
        <f>SUM($DV188:$EA188)</f>
        <v>0</v>
      </c>
      <c r="EC188" s="1099"/>
      <c r="ED188" s="951"/>
      <c r="EE188" s="634"/>
      <c r="EF188" s="1114"/>
      <c r="EG188" s="1108"/>
      <c r="EH188" s="1108"/>
      <c r="EI188" s="1108"/>
      <c r="EJ188" s="1108"/>
      <c r="EK188" s="1108"/>
      <c r="EL188" s="1108"/>
      <c r="EM188" s="1110"/>
      <c r="EN188" s="1108"/>
      <c r="EO188" s="1108"/>
      <c r="EP188" s="1108"/>
      <c r="EQ188" s="1108"/>
      <c r="ER188" s="1110"/>
      <c r="ES188" s="1108"/>
      <c r="ET188" s="1108"/>
      <c r="EU188" s="1108"/>
      <c r="EV188" s="1108"/>
      <c r="EW188" s="1108"/>
      <c r="EX188" s="1111"/>
      <c r="EY188" s="2"/>
      <c r="EZ188" s="2"/>
      <c r="FA188" s="2"/>
      <c r="FB188" s="2"/>
      <c r="FC188" s="2"/>
      <c r="FD188" s="2"/>
      <c r="FE188" s="2"/>
      <c r="FF188" s="2"/>
      <c r="FG188" s="2"/>
      <c r="FH188" s="2"/>
      <c r="FI188" s="2"/>
      <c r="FJ188" s="420"/>
      <c r="FK188" s="421"/>
      <c r="FL188" s="422"/>
      <c r="FM188" s="970"/>
    </row>
    <row r="189" spans="1:169" s="119" customFormat="1" ht="4.5" customHeight="1">
      <c r="A189" s="44"/>
      <c r="D189" s="120"/>
      <c r="F189" s="71"/>
      <c r="G189" s="71"/>
      <c r="H189" s="71"/>
      <c r="I189" s="71"/>
      <c r="J189" s="71"/>
      <c r="K189" s="71"/>
      <c r="L189" s="71"/>
      <c r="M189" s="71"/>
      <c r="N189" s="71"/>
      <c r="O189" s="71"/>
      <c r="P189" s="71"/>
      <c r="Q189" s="71"/>
      <c r="R189" s="71"/>
      <c r="S189" s="71"/>
      <c r="T189" s="71"/>
      <c r="U189" s="71"/>
      <c r="AN189" s="71"/>
      <c r="AY189" s="71"/>
      <c r="BP189" s="121"/>
      <c r="BQ189" s="121"/>
      <c r="BR189" s="121"/>
      <c r="BS189" s="97"/>
      <c r="BT189" s="121"/>
      <c r="BU189" s="122"/>
      <c r="BV189" s="100"/>
      <c r="BW189" s="100"/>
      <c r="BX189" s="100"/>
      <c r="BY189" s="121"/>
      <c r="BZ189" s="121"/>
      <c r="CA189" s="70"/>
      <c r="CB189" s="70"/>
      <c r="CC189" s="70"/>
      <c r="CD189" s="70"/>
      <c r="CE189" s="70"/>
      <c r="CF189" s="70"/>
      <c r="CG189" s="70"/>
      <c r="CH189" s="70"/>
      <c r="CI189" s="70"/>
      <c r="CJ189" s="70"/>
      <c r="CK189" s="70"/>
      <c r="CL189" s="70"/>
      <c r="CM189" s="70"/>
      <c r="CN189" s="125"/>
      <c r="CO189" s="126"/>
      <c r="CP189" s="125"/>
      <c r="CQ189" s="127"/>
      <c r="CR189" s="127"/>
      <c r="CS189" s="128"/>
      <c r="CT189" s="945"/>
      <c r="CU189" s="121"/>
      <c r="CV189" s="97"/>
      <c r="CW189" s="97"/>
      <c r="CX189" s="97"/>
      <c r="CY189" s="97"/>
      <c r="CZ189" s="97"/>
      <c r="DA189" s="97"/>
      <c r="DB189" s="97"/>
      <c r="DC189" s="99"/>
      <c r="DD189" s="97"/>
      <c r="DE189" s="97"/>
      <c r="DF189" s="97"/>
      <c r="DG189" s="99"/>
      <c r="DH189" s="99"/>
      <c r="DI189" s="99"/>
      <c r="DJ189" s="99"/>
      <c r="DK189" s="97"/>
      <c r="DL189" s="97"/>
      <c r="DM189" s="97"/>
      <c r="DN189" s="97"/>
      <c r="DO189" s="97"/>
      <c r="DP189" s="97"/>
      <c r="DQ189" s="97"/>
      <c r="DR189" s="97"/>
      <c r="DS189" s="97"/>
      <c r="DT189" s="97"/>
      <c r="DU189" s="97"/>
      <c r="DV189" s="97"/>
      <c r="DW189" s="97"/>
      <c r="DX189" s="97"/>
      <c r="DY189" s="97"/>
      <c r="DZ189" s="97"/>
      <c r="EA189" s="97"/>
      <c r="EB189" s="97"/>
      <c r="EC189" s="121"/>
      <c r="ED189" s="129"/>
      <c r="EE189" s="129"/>
      <c r="EF189" s="129"/>
      <c r="EG189" s="129"/>
      <c r="EH189" s="129"/>
      <c r="EI189" s="129"/>
      <c r="EJ189" s="129"/>
      <c r="EK189" s="129"/>
      <c r="EL189" s="129"/>
      <c r="EM189" s="129"/>
      <c r="EN189" s="129"/>
      <c r="EO189" s="129"/>
      <c r="EP189" s="129"/>
      <c r="EQ189" s="129"/>
      <c r="ER189" s="129"/>
      <c r="ES189" s="129"/>
      <c r="ET189" s="129"/>
      <c r="EU189" s="129"/>
      <c r="EV189" s="129"/>
      <c r="EW189" s="129"/>
      <c r="EX189" s="130"/>
      <c r="EY189" s="121"/>
      <c r="EZ189" s="121"/>
      <c r="FA189" s="121"/>
      <c r="FB189" s="121"/>
      <c r="FC189" s="121"/>
      <c r="FD189" s="121"/>
      <c r="FE189" s="121"/>
      <c r="FF189" s="121"/>
      <c r="FG189" s="121"/>
      <c r="FH189" s="121"/>
      <c r="FI189" s="121"/>
      <c r="FJ189" s="124"/>
      <c r="FK189" s="124"/>
      <c r="FL189" s="124"/>
      <c r="FM189" s="945"/>
    </row>
    <row r="190" spans="1:169" s="121" customFormat="1">
      <c r="A190" s="131"/>
      <c r="B190" s="132"/>
      <c r="C190" s="751"/>
      <c r="D190" s="731">
        <f>COUNT($D$11:$D$189)</f>
        <v>21</v>
      </c>
      <c r="E190" s="732"/>
      <c r="F190" s="732"/>
      <c r="G190" s="732"/>
      <c r="H190" s="732"/>
      <c r="I190" s="732"/>
      <c r="J190" s="733">
        <f>SUMPRODUCT(J$11:J$189,$CK$11:$CK$189)</f>
        <v>0.67595454884142847</v>
      </c>
      <c r="K190" s="732"/>
      <c r="L190" s="732"/>
      <c r="M190" s="732"/>
      <c r="N190" s="732"/>
      <c r="O190" s="732"/>
      <c r="P190" s="734"/>
      <c r="Q190" s="732"/>
      <c r="R190" s="733">
        <f>SUMPRODUCT(R$11:R$189,$CK$11:$CK$189)</f>
        <v>0.29143641791383668</v>
      </c>
      <c r="S190" s="732"/>
      <c r="T190" s="732"/>
      <c r="U190" s="732"/>
      <c r="V190" s="733">
        <f>SUMPRODUCT(V$11:V$189,$CK$11:$CK$189)</f>
        <v>0.36198279732140659</v>
      </c>
      <c r="W190" s="732"/>
      <c r="X190" s="732"/>
      <c r="Y190" s="732"/>
      <c r="Z190" s="732"/>
      <c r="AA190" s="733">
        <f>SUMPRODUCT(AA$11:AA$189,$CK$11:$CK$189)</f>
        <v>0</v>
      </c>
      <c r="AB190" s="732"/>
      <c r="AC190" s="732"/>
      <c r="AD190" s="732"/>
      <c r="AE190" s="732"/>
      <c r="AF190" s="733">
        <f>SUMPRODUCT(AF$11:AF$189,$CK$11:$CK$189)</f>
        <v>0</v>
      </c>
      <c r="AG190" s="732"/>
      <c r="AH190" s="732"/>
      <c r="AI190" s="732"/>
      <c r="AJ190" s="732"/>
      <c r="AK190" s="732"/>
      <c r="AL190" s="733">
        <f>SUMPRODUCT(AL$11:AL$189,$CK$11:$CK$189)</f>
        <v>1.0379373461628363E-2</v>
      </c>
      <c r="AM190" s="732"/>
      <c r="AN190" s="735">
        <f>IFERROR((AO190/((J190+R190+V190+AL190))),0)</f>
        <v>0.11914027463663726</v>
      </c>
      <c r="AO190" s="733">
        <f>SUMPRODUCT(AO$11:AO$189,$CK$11:$CK$189)</f>
        <v>0.15961855675160952</v>
      </c>
      <c r="AP190" s="733">
        <f>SUMPRODUCT(AP$11:AP$189,$CK$11:$CK$189)</f>
        <v>1.4993716942899109</v>
      </c>
      <c r="AQ190" s="732"/>
      <c r="AR190" s="736"/>
      <c r="AS190" s="737"/>
      <c r="AT190" s="738"/>
      <c r="AU190" s="733">
        <f>SUMPRODUCT(AU$11:AU$189,$CK$11:$CK$189)</f>
        <v>20.461024413130588</v>
      </c>
      <c r="AV190" s="737"/>
      <c r="AW190" s="737"/>
      <c r="AX190" s="733">
        <f>SUMPRODUCT(AX$11:AX$189,$CK$11:$CK$189)</f>
        <v>0.20462557278730586</v>
      </c>
      <c r="AY190" s="735">
        <f>IFERROR($AZ$190/($AU190+$AX190),0)</f>
        <v>9.8819113361473497E-3</v>
      </c>
      <c r="AZ190" s="733">
        <f>SUMPRODUCT(AZ$11:AZ$189,$CK$11:$CK$189)</f>
        <v>0.20421612086469537</v>
      </c>
      <c r="BA190" s="733">
        <f>SUMPRODUCT(BA$11:BA$189,$CK$11:$CK$189)</f>
        <v>20.869866106782588</v>
      </c>
      <c r="BB190" s="733">
        <f>SUMPRODUCT(BB$11:BB$189,$CK$11:$CK$189)</f>
        <v>22.369237801072519</v>
      </c>
      <c r="BC190" s="732"/>
      <c r="BD190" s="733">
        <f>SUMPRODUCT(BD$11:BD$189,$CK$11:$CK$189)</f>
        <v>0</v>
      </c>
      <c r="BE190" s="732"/>
      <c r="BF190" s="733">
        <f>SUMPRODUCT(BF$11:BF$189,$CK$11:$CK$189)</f>
        <v>0</v>
      </c>
      <c r="BG190" s="732"/>
      <c r="BH190" s="733">
        <f>SUMPRODUCT(BH$11:BH$189,$CK$11:$CK$189)</f>
        <v>2.7950489116513579</v>
      </c>
      <c r="BI190" s="732"/>
      <c r="BJ190" s="732"/>
      <c r="BK190" s="733">
        <f>SUMPRODUCT(BK$11:BK$189,$CK$11:$CK$189)</f>
        <v>0</v>
      </c>
      <c r="BL190" s="732"/>
      <c r="BM190" s="733">
        <f>SUMPRODUCT(BM$11:BM$189,$CK$11:$CK$189)</f>
        <v>0</v>
      </c>
      <c r="BN190" s="732"/>
      <c r="BO190" s="733">
        <f>SUMPRODUCT(BO$11:BO$189,$CK$11:$CK$189)</f>
        <v>1.3170929759735319</v>
      </c>
      <c r="BP190" s="739"/>
      <c r="BQ190" s="739"/>
      <c r="BR190" s="733">
        <f>SUM(BR$11:BR$189)</f>
        <v>0</v>
      </c>
      <c r="BS190" s="739"/>
      <c r="BT190" s="733"/>
      <c r="BU190" s="740"/>
      <c r="BV190" s="741"/>
      <c r="BW190" s="742">
        <f>SUM(BW$11:BW$189)</f>
        <v>26.481379688697388</v>
      </c>
      <c r="BX190" s="742"/>
      <c r="BY190" s="743"/>
      <c r="BZ190" s="743"/>
      <c r="CA190" s="744"/>
      <c r="CB190" s="744"/>
      <c r="CC190" s="744"/>
      <c r="CD190" s="744"/>
      <c r="CE190" s="744"/>
      <c r="CF190" s="744"/>
      <c r="CG190" s="744"/>
      <c r="CH190" s="744"/>
      <c r="CI190" s="744"/>
      <c r="CJ190" s="744"/>
      <c r="CK190" s="744"/>
      <c r="CL190" s="744"/>
      <c r="CM190" s="744"/>
      <c r="CN190" s="745"/>
      <c r="CO190" s="746"/>
      <c r="CP190" s="745"/>
      <c r="CQ190" s="747"/>
      <c r="CR190" s="747"/>
      <c r="CS190" s="748"/>
      <c r="CT190" s="946"/>
      <c r="CU190" s="743"/>
      <c r="CV190" s="733" cm="1">
        <f t="array" ref="CV190">SUMPRODUCT((($CE$11:$CE$189)&gt;0)*CV$11:CV$189)</f>
        <v>0.67595454884142869</v>
      </c>
      <c r="CW190" s="733" cm="1">
        <f t="array" ref="CW190">SUMPRODUCT((($CE$11:$CE$189)&gt;0)*CW$11:CW$189)</f>
        <v>0.29143641791383673</v>
      </c>
      <c r="CX190" s="733" cm="1">
        <f t="array" ref="CX190">SUMPRODUCT((($CE$11:$CE$189)&gt;0)*CX$11:CX$189)</f>
        <v>0.36198279732140676</v>
      </c>
      <c r="CY190" s="733" cm="1">
        <f t="array" ref="CY190">SUMPRODUCT((($CE$11:$CE$189)&gt;0)*CY$11:CY$189)</f>
        <v>0</v>
      </c>
      <c r="CZ190" s="733" cm="1">
        <f t="array" ref="CZ190">SUMPRODUCT((($CE$11:$CE$189)&gt;0)*CZ$11:CZ$189)</f>
        <v>0</v>
      </c>
      <c r="DA190" s="733" cm="1">
        <f t="array" ref="DA190">SUMPRODUCT((($CE$11:$CE$189)&gt;0)*DA$11:DA$189)</f>
        <v>1.037937346162836E-2</v>
      </c>
      <c r="DB190" s="733" cm="1">
        <f t="array" ref="DB190">SUMPRODUCT((($CE$11:$CE$189)&gt;0)*DB$11:DB$189)</f>
        <v>0.15961855675160963</v>
      </c>
      <c r="DC190" s="749" cm="1">
        <f t="array" ref="DC190">SUMPRODUCT((($CE$11:$CE$189)&gt;0)*DC$11:DC$189)</f>
        <v>1.49937169428991</v>
      </c>
      <c r="DD190" s="733" cm="1">
        <f t="array" ref="DD190">SUMPRODUCT((($CE$11:$CE$189)&gt;0)*DD$11:DD$189)</f>
        <v>20.461024413130588</v>
      </c>
      <c r="DE190" s="733" cm="1">
        <f t="array" ref="DE190">SUMPRODUCT((($CE$11:$CE$189)&gt;0)*DE$11:DE$189)</f>
        <v>0.20462557278730586</v>
      </c>
      <c r="DF190" s="733" cm="1">
        <f t="array" ref="DF190">SUMPRODUCT((($CE$11:$CE$189)&gt;0)*DF$11:DF$189)</f>
        <v>0.20421612086469537</v>
      </c>
      <c r="DG190" s="749" cm="1">
        <f t="array" ref="DG190">SUMPRODUCT((($CE$11:$CE$189)&gt;0)*DG$11:DG$189)</f>
        <v>20.869866106782592</v>
      </c>
      <c r="DH190" s="749" cm="1">
        <f t="array" ref="DH190">SUMPRODUCT((($CE$11:$CE$189)&gt;0)*DH$11:DH$189)</f>
        <v>22.369237801072494</v>
      </c>
      <c r="DI190" s="733" cm="1">
        <f t="array" ref="DI190">SUMPRODUCT((($CE$11:$CE$189)&gt;0)*DI$11:DI$189)</f>
        <v>0</v>
      </c>
      <c r="DJ190" s="733" cm="1">
        <f t="array" ref="DJ190">SUMPRODUCT((($CE$11:$CE$189)&gt;0)*DJ$11:DJ$189)</f>
        <v>0</v>
      </c>
      <c r="DK190" s="733" cm="1">
        <f t="array" ref="DK190">SUMPRODUCT((($CE$11:$CE$189)&gt;0)*DK$11:DK$189)</f>
        <v>2.7950489116513588</v>
      </c>
      <c r="DL190" s="733" cm="1">
        <f t="array" ref="DL190">SUMPRODUCT((($CE$11:$CE$189)&gt;0)*DL$11:DL$189)</f>
        <v>0</v>
      </c>
      <c r="DM190" s="733" cm="1">
        <f t="array" ref="DM190">SUMPRODUCT((($CE$11:$CE$189)&gt;0)*DM$11:DM$189)</f>
        <v>0</v>
      </c>
      <c r="DN190" s="733" cm="1">
        <f t="array" ref="DN190">SUMPRODUCT((($CE$11:$CE$189)&gt;0)*DN$11:DN$189)</f>
        <v>1.3170929759735319</v>
      </c>
      <c r="DO190" s="733" cm="1">
        <f t="array" ref="DO190">SUMPRODUCT((($CE$11:$CE$189)&gt;0)*DO$11:DO$189)</f>
        <v>0</v>
      </c>
      <c r="DP190" s="749" cm="1">
        <f t="array" ref="DP190">SUMPRODUCT((($CE$11:$CE$189)&gt;0)*DP$11:DP$189)</f>
        <v>26.481379688697388</v>
      </c>
      <c r="DQ190" s="733" cm="1">
        <f t="array" ref="DQ190">SUMPRODUCT((($CE$11:$CE$189)&gt;0)*DQ$11:DQ$189)</f>
        <v>0</v>
      </c>
      <c r="DR190" s="733" cm="1">
        <f t="array" ref="DR190">SUMPRODUCT((($CE$11:$CE$189)&gt;0)*DR$11:DR$189)</f>
        <v>0</v>
      </c>
      <c r="DS190" s="733" cm="1">
        <f t="array" ref="DS190">SUMPRODUCT((($CE$11:$CE$189)&gt;0)*DS$11:DS$189)</f>
        <v>0</v>
      </c>
      <c r="DT190" s="733" cm="1">
        <f t="array" ref="DT190">SUMPRODUCT((($CE$11:$CE$189)&gt;0)*DT$11:DT$189)</f>
        <v>0</v>
      </c>
      <c r="DU190" s="733" cm="1">
        <f t="array" ref="DU190">SUMPRODUCT((($CE$11:$CE$189)&gt;0)*DU$11:DU$189)</f>
        <v>0</v>
      </c>
      <c r="DV190" s="749">
        <f>IF(SUM($DQ$190:$DU$190)=0,0,SUM($DP$190:$DU$190))</f>
        <v>0</v>
      </c>
      <c r="DW190" s="733" cm="1">
        <f t="array" ref="DW190">SUMPRODUCT((($CE$11:$CE$189)&gt;0)*DW$11:DW$189)</f>
        <v>0</v>
      </c>
      <c r="DX190" s="733" cm="1">
        <f t="array" ref="DX190">SUMPRODUCT((($CE$11:$CE$189)&gt;0)*DX$11:DX$189)</f>
        <v>0</v>
      </c>
      <c r="DY190" s="733" cm="1">
        <f t="array" ref="DY190">SUMPRODUCT((($CE$11:$CE$189)&gt;0)*DY$11:DY$189)</f>
        <v>0</v>
      </c>
      <c r="DZ190" s="733" cm="1">
        <f t="array" ref="DZ190">SUMPRODUCT((($CE$11:$CE$189)&gt;0)*DZ$11:DZ$189)</f>
        <v>0</v>
      </c>
      <c r="EA190" s="733" cm="1">
        <f t="array" ref="EA190">SUMPRODUCT((($CE$11:$CE$189)&gt;0)*EA$11:EA$189)</f>
        <v>0</v>
      </c>
      <c r="EB190" s="749">
        <f>SUM($DP$190:$DU$190,$DW$190:$EA$190)</f>
        <v>26.481379688697388</v>
      </c>
      <c r="EC190" s="743"/>
      <c r="ED190" s="739" cm="1">
        <f t="array" ref="ED190">SUMPRODUCT((($CE$11:$CE$189)&gt;0)*ED$11:ED$189)</f>
        <v>0</v>
      </c>
      <c r="EE190" s="739" cm="1">
        <f t="array" ref="EE190">SUMPRODUCT((($CE$11:$CE$189)&gt;0)*EE$11:EE$189)</f>
        <v>0</v>
      </c>
      <c r="EF190" s="739" cm="1">
        <f t="array" ref="EF190">SUMPRODUCT((($CE$11:$CE$189)&gt;0)*EF$11:EF$189)</f>
        <v>0</v>
      </c>
      <c r="EG190" s="739" cm="1">
        <f t="array" ref="EG190">SUMPRODUCT((($CE$11:$CE$189)&gt;0)*EG$11:EG$189)</f>
        <v>0</v>
      </c>
      <c r="EH190" s="739" cm="1">
        <f t="array" ref="EH190">SUMPRODUCT((($CE$11:$CE$189)&gt;0)*EH$11:EH$189)</f>
        <v>0</v>
      </c>
      <c r="EI190" s="739" cm="1">
        <f t="array" ref="EI190">SUMPRODUCT((($CE$11:$CE$189)&gt;0)*EI$11:EI$189)</f>
        <v>0</v>
      </c>
      <c r="EJ190" s="739" cm="1">
        <f t="array" ref="EJ190">SUMPRODUCT((($CE$11:$CE$189)&gt;0)*EJ$11:EJ$189)</f>
        <v>0</v>
      </c>
      <c r="EK190" s="739" cm="1">
        <f t="array" ref="EK190">SUMPRODUCT((($CE$11:$CE$189)&gt;0)*EK$11:EK$189)</f>
        <v>0</v>
      </c>
      <c r="EL190" s="739" cm="1">
        <f t="array" ref="EL190">SUMPRODUCT((($CE$11:$CE$189)&gt;0)*EL$11:EL$189)</f>
        <v>0</v>
      </c>
      <c r="EM190" s="739"/>
      <c r="EN190" s="739" cm="1">
        <f t="array" ref="EN190">SUMPRODUCT((($CE$11:$CE$189)&gt;0)*EN$11:EN$189)</f>
        <v>0</v>
      </c>
      <c r="EO190" s="739" cm="1">
        <f t="array" ref="EO190">SUMPRODUCT((($CE$11:$CE$189)&gt;0)*EO$11:EO$189)</f>
        <v>0</v>
      </c>
      <c r="EP190" s="739" cm="1">
        <f t="array" ref="EP190">SUMPRODUCT((($CE$11:$CE$189)&gt;0)*EP$11:EP$189)</f>
        <v>0</v>
      </c>
      <c r="EQ190" s="739" cm="1">
        <f t="array" ref="EQ190">SUMPRODUCT((($CE$11:$CE$189)&gt;0)*EQ$11:EQ$189)</f>
        <v>0</v>
      </c>
      <c r="ER190" s="739"/>
      <c r="ES190" s="739" cm="1">
        <f t="array" ref="ES190">SUMPRODUCT((($CE$11:$CE$189)&gt;0)*ES$11:ES$189)</f>
        <v>0</v>
      </c>
      <c r="ET190" s="739" cm="1">
        <f t="array" ref="ET190">SUMPRODUCT((($CE$11:$CE$189)&gt;0)*ET$11:ET$189)</f>
        <v>0</v>
      </c>
      <c r="EU190" s="739" cm="1">
        <f t="array" ref="EU190">SUMPRODUCT((($CE$11:$CE$189)&gt;0)*EU$11:EU$189)</f>
        <v>0</v>
      </c>
      <c r="EV190" s="739" cm="1">
        <f t="array" ref="EV190">SUMPRODUCT((($CE$11:$CE$189)&gt;0)*EV$11:EV$189)</f>
        <v>0</v>
      </c>
      <c r="EW190" s="739" cm="1">
        <f t="array" ref="EW190">SUMPRODUCT((($CE$11:$CE$189)&gt;0)*EW$11:EW$189)</f>
        <v>0</v>
      </c>
      <c r="EX190" s="750" cm="1">
        <f t="array" ref="EX190">SUMPRODUCT((($CE$11:$CE$189)&gt;0)*EX$11:EX$189)</f>
        <v>0</v>
      </c>
      <c r="EY190" s="109"/>
      <c r="EZ190" s="109"/>
      <c r="FA190" s="109"/>
      <c r="FB190" s="109"/>
      <c r="FC190" s="109"/>
      <c r="FD190" s="109"/>
      <c r="FE190" s="109"/>
      <c r="FF190" s="109"/>
      <c r="FG190" s="109"/>
      <c r="FH190" s="109"/>
      <c r="FI190" s="109"/>
      <c r="FJ190" s="743"/>
      <c r="FK190" s="743"/>
      <c r="FL190" s="743"/>
      <c r="FM190" s="945"/>
    </row>
    <row r="191" spans="1:169" s="119" customFormat="1" ht="5.0999999999999996" customHeight="1">
      <c r="A191" s="44"/>
      <c r="D191" s="120"/>
      <c r="F191" s="71"/>
      <c r="G191" s="71"/>
      <c r="H191" s="71"/>
      <c r="I191" s="71"/>
      <c r="J191" s="71"/>
      <c r="K191" s="71"/>
      <c r="L191" s="71"/>
      <c r="M191" s="71"/>
      <c r="N191" s="71"/>
      <c r="O191" s="71"/>
      <c r="P191" s="71"/>
      <c r="Q191" s="71"/>
      <c r="R191" s="71"/>
      <c r="S191" s="71"/>
      <c r="T191" s="71"/>
      <c r="U191" s="71"/>
      <c r="V191" s="133"/>
      <c r="AA191" s="133"/>
      <c r="AF191" s="133"/>
      <c r="AL191" s="133"/>
      <c r="AM191" s="133"/>
      <c r="AN191" s="71"/>
      <c r="AO191" s="133"/>
      <c r="AP191" s="134"/>
      <c r="AY191" s="71"/>
      <c r="BP191" s="121"/>
      <c r="BQ191" s="121"/>
      <c r="BR191" s="121"/>
      <c r="BS191" s="97"/>
      <c r="BT191" s="121"/>
      <c r="BU191" s="122"/>
      <c r="BV191" s="100"/>
      <c r="BW191" s="100"/>
      <c r="BX191" s="100"/>
      <c r="BY191" s="123"/>
      <c r="BZ191" s="123"/>
      <c r="CA191" s="70"/>
      <c r="CB191" s="70"/>
      <c r="CC191" s="70"/>
      <c r="CD191" s="70"/>
      <c r="CE191" s="70"/>
      <c r="CF191" s="70"/>
      <c r="CG191" s="70"/>
      <c r="CH191" s="70"/>
      <c r="CI191" s="70"/>
      <c r="CJ191" s="70"/>
      <c r="CK191" s="70"/>
      <c r="CL191" s="70"/>
      <c r="CM191" s="70"/>
      <c r="CN191" s="125"/>
      <c r="CO191" s="126"/>
      <c r="CP191" s="125"/>
      <c r="CQ191" s="127"/>
      <c r="CR191" s="127"/>
      <c r="CS191" s="128"/>
      <c r="CT191" s="945"/>
      <c r="CU191" s="123"/>
      <c r="CV191" s="70"/>
      <c r="CW191" s="70"/>
      <c r="CX191" s="70"/>
      <c r="CY191" s="70"/>
      <c r="CZ191" s="70"/>
      <c r="DA191" s="70"/>
      <c r="DB191" s="70"/>
      <c r="DC191" s="135"/>
      <c r="DD191" s="70"/>
      <c r="DE191" s="70"/>
      <c r="DF191" s="70"/>
      <c r="DG191" s="135"/>
      <c r="DH191" s="135"/>
      <c r="DI191" s="135"/>
      <c r="DJ191" s="135"/>
      <c r="DK191" s="70"/>
      <c r="DL191" s="70"/>
      <c r="DM191" s="70"/>
      <c r="DN191" s="70"/>
      <c r="DO191" s="70"/>
      <c r="DP191" s="70"/>
      <c r="DQ191" s="70"/>
      <c r="DR191" s="70"/>
      <c r="DS191" s="70"/>
      <c r="DT191" s="70"/>
      <c r="DU191" s="70"/>
      <c r="DV191" s="70"/>
      <c r="DW191" s="70"/>
      <c r="DX191" s="70"/>
      <c r="DY191" s="70"/>
      <c r="DZ191" s="70"/>
      <c r="EA191" s="70"/>
      <c r="EB191" s="70"/>
      <c r="EC191" s="123"/>
      <c r="ED191" s="136"/>
      <c r="EE191" s="136"/>
      <c r="EF191" s="136"/>
      <c r="EG191" s="136"/>
      <c r="EH191" s="136"/>
      <c r="EI191" s="136"/>
      <c r="EJ191" s="136"/>
      <c r="EK191" s="136"/>
      <c r="EL191" s="136"/>
      <c r="EM191" s="136"/>
      <c r="EN191" s="136"/>
      <c r="EO191" s="136"/>
      <c r="EP191" s="136"/>
      <c r="EQ191" s="136"/>
      <c r="ER191" s="136"/>
      <c r="ES191" s="136"/>
      <c r="ET191" s="136"/>
      <c r="EU191" s="136"/>
      <c r="EV191" s="136"/>
      <c r="EW191" s="136"/>
      <c r="EX191" s="137"/>
      <c r="EY191" s="123"/>
      <c r="EZ191" s="123"/>
      <c r="FA191" s="123"/>
      <c r="FB191" s="123"/>
      <c r="FC191" s="123"/>
      <c r="FD191" s="123"/>
      <c r="FE191" s="123"/>
      <c r="FF191" s="123"/>
      <c r="FG191" s="123"/>
      <c r="FH191" s="123"/>
      <c r="FI191" s="123"/>
      <c r="FJ191" s="124"/>
      <c r="FK191" s="124"/>
      <c r="FL191" s="124"/>
      <c r="FM191" s="945"/>
    </row>
    <row r="192" spans="1:169">
      <c r="FM192" s="945"/>
    </row>
  </sheetData>
  <sheetProtection formatCells="0" formatColumns="0" formatRows="0" insertColumns="0" insertRows="0" insertHyperlinks="0" deleteColumns="0" deleteRows="0" sort="0" autoFilter="0" pivotTables="0"/>
  <autoFilter ref="B11:FL189" xr:uid="{01251E28-CDAA-41E7-B04F-E8F3AD182EFC}"/>
  <dataConsolidate/>
  <mergeCells count="53">
    <mergeCell ref="ED3:EE3"/>
    <mergeCell ref="DQ7:DU7"/>
    <mergeCell ref="DW7:EA7"/>
    <mergeCell ref="DQ4:DV4"/>
    <mergeCell ref="DW4:EB4"/>
    <mergeCell ref="ED7:EW7"/>
    <mergeCell ref="EF3:EL3"/>
    <mergeCell ref="EM3:EQ3"/>
    <mergeCell ref="ER3:EW3"/>
    <mergeCell ref="ER4:ER5"/>
    <mergeCell ref="CG4:CJ4"/>
    <mergeCell ref="CV4:DP4"/>
    <mergeCell ref="CV7:DC7"/>
    <mergeCell ref="DD7:DG7"/>
    <mergeCell ref="CM4:CP4"/>
    <mergeCell ref="CQ4:CS4"/>
    <mergeCell ref="DH7:DO7"/>
    <mergeCell ref="FJ3:FL3"/>
    <mergeCell ref="AV3:AX3"/>
    <mergeCell ref="BV3:BX3"/>
    <mergeCell ref="BE4:BF4"/>
    <mergeCell ref="BJ4:BK4"/>
    <mergeCell ref="BL4:BM4"/>
    <mergeCell ref="BS3:BT3"/>
    <mergeCell ref="BG4:BH4"/>
    <mergeCell ref="BN4:BO4"/>
    <mergeCell ref="BJ3:BO3"/>
    <mergeCell ref="BP3:BR3"/>
    <mergeCell ref="BC4:BD4"/>
    <mergeCell ref="CV3:EB3"/>
    <mergeCell ref="CA4:CC4"/>
    <mergeCell ref="CK4:CL4"/>
    <mergeCell ref="CD4:CF4"/>
    <mergeCell ref="E3:J3"/>
    <mergeCell ref="S3:V3"/>
    <mergeCell ref="AD4:AD5"/>
    <mergeCell ref="K3:R3"/>
    <mergeCell ref="W4:W5"/>
    <mergeCell ref="AB4:AB5"/>
    <mergeCell ref="X4:X5"/>
    <mergeCell ref="AC4:AC5"/>
    <mergeCell ref="G4:G5"/>
    <mergeCell ref="H4:H5"/>
    <mergeCell ref="F4:F5"/>
    <mergeCell ref="AB3:AF3"/>
    <mergeCell ref="W3:AA3"/>
    <mergeCell ref="Y4:Y5"/>
    <mergeCell ref="AG3:AL3"/>
    <mergeCell ref="AH4:AI4"/>
    <mergeCell ref="AM3:AO3"/>
    <mergeCell ref="BC3:BH3"/>
    <mergeCell ref="AY3:AZ3"/>
    <mergeCell ref="AQ3:AU3"/>
  </mergeCells>
  <conditionalFormatting sqref="BX185">
    <cfRule type="cellIs" dxfId="1349" priority="7504" operator="equal">
      <formula>0</formula>
    </cfRule>
  </conditionalFormatting>
  <conditionalFormatting sqref="BX12">
    <cfRule type="cellIs" dxfId="1348" priority="20" operator="equal">
      <formula>0</formula>
    </cfRule>
  </conditionalFormatting>
  <conditionalFormatting sqref="BX15">
    <cfRule type="cellIs" dxfId="1347" priority="19" operator="equal">
      <formula>0</formula>
    </cfRule>
  </conditionalFormatting>
  <conditionalFormatting sqref="BX25">
    <cfRule type="cellIs" dxfId="1346" priority="18" operator="equal">
      <formula>0</formula>
    </cfRule>
  </conditionalFormatting>
  <conditionalFormatting sqref="BX37">
    <cfRule type="cellIs" dxfId="1345" priority="17" operator="equal">
      <formula>0</formula>
    </cfRule>
  </conditionalFormatting>
  <conditionalFormatting sqref="BX49">
    <cfRule type="cellIs" dxfId="1344" priority="16" operator="equal">
      <formula>0</formula>
    </cfRule>
  </conditionalFormatting>
  <conditionalFormatting sqref="BX80">
    <cfRule type="cellIs" dxfId="1343" priority="15" operator="equal">
      <formula>0</formula>
    </cfRule>
  </conditionalFormatting>
  <conditionalFormatting sqref="BX87">
    <cfRule type="cellIs" dxfId="1342" priority="14" operator="equal">
      <formula>0</formula>
    </cfRule>
  </conditionalFormatting>
  <conditionalFormatting sqref="BX92">
    <cfRule type="cellIs" dxfId="1341" priority="13" operator="equal">
      <formula>0</formula>
    </cfRule>
  </conditionalFormatting>
  <conditionalFormatting sqref="BX98">
    <cfRule type="cellIs" dxfId="1340" priority="12" operator="equal">
      <formula>0</formula>
    </cfRule>
  </conditionalFormatting>
  <conditionalFormatting sqref="BX112">
    <cfRule type="cellIs" dxfId="1339" priority="11" operator="equal">
      <formula>0</formula>
    </cfRule>
  </conditionalFormatting>
  <conditionalFormatting sqref="BX118">
    <cfRule type="cellIs" dxfId="1338" priority="10" operator="equal">
      <formula>0</formula>
    </cfRule>
  </conditionalFormatting>
  <conditionalFormatting sqref="BX121">
    <cfRule type="cellIs" dxfId="1337" priority="9" operator="equal">
      <formula>0</formula>
    </cfRule>
  </conditionalFormatting>
  <conditionalFormatting sqref="BX127">
    <cfRule type="cellIs" dxfId="1336" priority="8" operator="equal">
      <formula>0</formula>
    </cfRule>
  </conditionalFormatting>
  <conditionalFormatting sqref="BX130">
    <cfRule type="cellIs" dxfId="1335" priority="7" operator="equal">
      <formula>0</formula>
    </cfRule>
  </conditionalFormatting>
  <conditionalFormatting sqref="BX133">
    <cfRule type="cellIs" dxfId="1334" priority="6" operator="equal">
      <formula>0</formula>
    </cfRule>
  </conditionalFormatting>
  <conditionalFormatting sqref="BX136">
    <cfRule type="cellIs" dxfId="1333" priority="5" operator="equal">
      <formula>0</formula>
    </cfRule>
  </conditionalFormatting>
  <conditionalFormatting sqref="BX147">
    <cfRule type="cellIs" dxfId="1332" priority="4" operator="equal">
      <formula>0</formula>
    </cfRule>
  </conditionalFormatting>
  <conditionalFormatting sqref="BX158">
    <cfRule type="cellIs" dxfId="1331" priority="3" operator="equal">
      <formula>0</formula>
    </cfRule>
  </conditionalFormatting>
  <conditionalFormatting sqref="BX163">
    <cfRule type="cellIs" dxfId="1330" priority="2" operator="equal">
      <formula>0</formula>
    </cfRule>
  </conditionalFormatting>
  <conditionalFormatting sqref="BX174">
    <cfRule type="cellIs" dxfId="1329" priority="1" operator="equal">
      <formula>0</formula>
    </cfRule>
  </conditionalFormatting>
  <dataValidations count="13">
    <dataValidation type="whole" operator="greaterThanOrEqual" allowBlank="1" showInputMessage="1" showErrorMessage="1" sqref="BZ7:BZ9" xr:uid="{1E2A60A8-6B7E-40DB-AB17-6167D419FF60}">
      <formula1>1</formula1>
    </dataValidation>
    <dataValidation type="whole" operator="greaterThanOrEqual" allowBlank="1" showInputMessage="1" sqref="BZ11" xr:uid="{D8DB1389-3806-4BCC-B327-35112DBB8D15}">
      <formula1>1</formula1>
    </dataValidation>
    <dataValidation type="list" allowBlank="1" showInputMessage="1" showErrorMessage="1" sqref="G184:G186 G26:G36 G157:G160 G135:G155 G86:G89 G109:G115 G117:G118 G120:G124 G126:G127 G129:G130 G132:G133 G162:G169 G91:G95 G171:G182 G97:G107 G38:G66 G16:G24 G13:G14 G68:G84" xr:uid="{D1656A0B-D3D2-406C-90D2-2C87E7DFF24B}">
      <formula1>"s,min,h"</formula1>
    </dataValidation>
    <dataValidation type="list" allowBlank="1" showInputMessage="1" sqref="AQ184:AQ186 AQ26:AQ36 AQ157:AQ160 AQ135:AQ155 AQ86:AQ89 AQ109:AQ115 AQ117:AQ118 AQ120:AQ124 AQ126:AQ127 AQ129:AQ130 AQ132:AQ133 AQ162:AQ169 AQ91:AQ95 AQ171:AQ182 AQ97:AQ107 AQ38:AQ66 AQ16:AQ24 AQ13:AQ14 AQ68:AQ84" xr:uid="{32A84ECD-4483-4EB0-90C0-CCEA83A92EB6}">
      <formula1>MAT_Dropdown</formula1>
    </dataValidation>
    <dataValidation type="list" allowBlank="1" showInputMessage="1" showErrorMessage="1" sqref="E184:E186 E26:E36 E157:E160 E135:E155 E86:E89 E109:E115 E117:E118 E120:E124 E126:E127 E129:E130 E132:E133 E162:E169 E91:E95 E171:E182 E97:E107 E38:E66 E16:E24 E13:E14 E68:E84" xr:uid="{71AA496E-EE35-447B-A5B6-9A3ED8ABBF98}">
      <formula1>MHR_Dropdown</formula1>
    </dataValidation>
    <dataValidation type="custom" allowBlank="1" showDropDown="1" showInputMessage="1" showErrorMessage="1" sqref="D184:D186 D26:D36 D157:D160 D135:D155 D86:D89 D109:D115 D117:D118 D120:D124 D126:D127 D129:D130 D132:D133 D162:D169 D91:D95 D171:D182 D97:D107 D38:D66 D16:D24 D13:D14 D68:D84" xr:uid="{4689430E-3F2C-4099-BE75-E95BC2BAB0E2}">
      <formula1>"&gt;1000000"</formula1>
    </dataValidation>
    <dataValidation type="list" allowBlank="1" showInputMessage="1" sqref="FJ99:FJ107 FJ28:FJ36 FJ39:FJ48 FJ158 FJ177:FJ186 FJ164:FJ165 FJ171:FJ172 FJ167:FJ168 FJ149:FJ154 FJ138:FJ143 FJ109:FJ110 FJ123:FJ124 FJ114:FJ115 FJ82:FJ83 FJ145 FJ94 FJ68:FJ78 FJ21:FJ23" xr:uid="{18F9CC97-5F52-4894-A4C3-1DC3B81479A4}">
      <formula1>Cluster1_Dropdown</formula1>
    </dataValidation>
    <dataValidation type="list" allowBlank="1" showInputMessage="1" sqref="FK99:FK107 FK28:FK36 FK39:FK48 FK158 FK177:FK186 FK164:FK165 FK171:FK172 FK167:FK168 FK149:FK154 FK138:FK143 FK109:FK110 FK123:FK124 FK114:FK115 FK82:FK83 FK145 FK94 FK68:FK78 FK21:FK23" xr:uid="{7EA54C18-2C53-40F0-AF1E-A34570362ED9}">
      <formula1>Cluster2_Dropdown</formula1>
    </dataValidation>
    <dataValidation type="list" allowBlank="1" showInputMessage="1" sqref="FL99:FL107 FL28:FL36 FL39:FL48 FL158 FL177:FL186 FL164:FL165 FL171:FL172 FL167:FL168 FL149:FL154 FL138:FL143 FL109:FL110 FL123:FL124 FL114:FL115 FL82:FL83 FL145 FL94 FL68:FL78 FL21:FL23" xr:uid="{2F946E78-82D4-4722-9EE9-45743381433E}">
      <formula1>Cluster3_Dropdown</formula1>
    </dataValidation>
    <dataValidation type="list" allowBlank="1" showInputMessage="1" showErrorMessage="1" sqref="FJ37:FJ38 FJ166 FJ67 FJ159:FJ163 FJ173:FJ176 FJ169:FJ170 FJ144 FJ155:FJ157 FJ146:FJ148 FJ108 FJ95:FJ98 FJ125:FJ137 FJ111:FJ113 FJ116:FJ122 FJ84:FJ93 FJ79:FJ81 FJ49:FJ66 FJ24:FJ27 FJ12:FJ20" xr:uid="{DB65B048-449B-490A-BF5D-8DE501A198EB}">
      <formula1>Cluster1_Dropdown</formula1>
    </dataValidation>
    <dataValidation type="list" allowBlank="1" showInputMessage="1" showErrorMessage="1" sqref="FK37:FK38 FK166 FK67 FK159:FK163 FK173:FK176 FK169:FK170 FK144 FK155:FK157 FK146:FK148 FK108 FK95:FK98 FK125:FK137 FK111:FK113 FK116:FK122 FK84:FK93 FK79:FK81 FK49:FK66 FK24:FK27 FK12:FK20" xr:uid="{159B720E-E3FC-4086-9550-20DF24AEEFED}">
      <formula1>Cluster2_Dropdown</formula1>
    </dataValidation>
    <dataValidation type="list" allowBlank="1" showInputMessage="1" showErrorMessage="1" sqref="FL37:FL38 FL166 FL67 FL159:FL163 FL173:FL176 FL169:FL170 FL144 FL155:FL157 FL146:FL148 FL108 FL95:FL98 FL125:FL137 FL111:FL113 FL116:FL122 FL84:FL93 FL79:FL81 FL49:FL66 FL24:FL27 FL12:FL20" xr:uid="{C79FA982-776A-480E-8040-226B9937794A}">
      <formula1>Cluster3_Dropdown</formula1>
    </dataValidation>
    <dataValidation type="list" allowBlank="1" showInputMessage="1" sqref="ER12:ER186" xr:uid="{B66DD1A8-2D7E-4822-963C-620EE8C65D01}">
      <formula1>CO2Transportarten</formula1>
    </dataValidation>
  </dataValidations>
  <pageMargins left="0.7" right="0.7" top="0.75" bottom="0.75" header="0.3" footer="0.3"/>
  <pageSetup paperSize="9" scale="34" fitToHeight="0" orientation="landscape" r:id="rId1"/>
  <headerFooter alignWithMargins="0">
    <oddHeader>&amp;C&amp;"Arial,Fett" Vertraulich</oddHeader>
    <oddFooter>&amp;L&amp;D&amp;CAWS Systemtechnik GmbH&amp;RSeite &amp;P von &amp;N</oddFooter>
  </headerFooter>
  <ignoredErrors>
    <ignoredError sqref="C3:C5 BV191:BW191 L190:Q190 AM190 W190:Z190 BS191:BT191 AQ190 U190 AV191:BF191 BC190 BI191:BM191 AB190:AE190 AG190:AK190 AV190:AW190 BE190 BI190:BJ190 BL190 AS190 U191:AQ191 AR191:AT191 I190" unlockedFormula="1"/>
    <ignoredError sqref="AY190" formula="1"/>
  </ignoredErrors>
  <drawing r:id="rId2"/>
  <legacyDrawing r:id="rId3"/>
  <extLst>
    <ext xmlns:x14="http://schemas.microsoft.com/office/spreadsheetml/2009/9/main" uri="{CCE6A557-97BC-4b89-ADB6-D9C93CAAB3DF}">
      <x14:dataValidations xmlns:xm="http://schemas.microsoft.com/office/excel/2006/main" count="3">
        <x14:dataValidation type="list" allowBlank="1" showInputMessage="1" xr:uid="{01EA10C2-499A-425C-AC64-0723272380AB}">
          <x14:formula1>
            <xm:f>Translation!$E$3:$E$7</xm:f>
          </x14:formula1>
          <xm:sqref>K184:K186 K26:K36 K157:K160 K135:K155 K86:K89 K109:K115 K117:K118 K120:K124 K126:K127 K129:K130 K132:K133 K162:K169 K91:K95 K171:K182 K97:K107 K38:K66 K16:K24 K13:K14 K68:K84</xm:sqref>
        </x14:dataValidation>
        <x14:dataValidation type="list" allowBlank="1" showInputMessage="1" showErrorMessage="1" xr:uid="{2F4ECA0F-31C4-43EC-A02D-48C97B705B84}">
          <x14:formula1>
            <xm:f>Translation!$E$8:$E$9</xm:f>
          </x14:formula1>
          <xm:sqref>T184:T186 T26:T36 T157:T160 T135:T155 T86:T89 T109:T115 T117:T118 T120:T124 T126:T127 T129:T130 T132:T133 T162:T169 T91:T95 T171:T182 T97:T107 T38:T66 T16:T24 T13:T14 T68:T84</xm:sqref>
        </x14:dataValidation>
        <x14:dataValidation type="whole" allowBlank="1" showInputMessage="1" xr:uid="{8048416E-0C10-47E6-8BA3-54833E5344FD}">
          <x14:formula1>
            <xm:f>1</xm:f>
          </x14:formula1>
          <x14:formula2>
            <xm:f>COUNT(Premises!$10:$10)</xm:f>
          </x14:formula2>
          <xm:sqref>CB2:CC3 CL5:CL11 CT183:EQ186 CE5:CF11 CH2:CL3 CE2:CF3 CN2:CS2 CA2:CA11 CD2:CD11 CN5:CT11 CG2:CG11 CM2:CM11 FM2:FM3 CT2:CT3 CB5:CC11 CH5:CJ11 CK2:CK11 CA12:CM186 ED12:EQ182 CO12:CO186 ES12:FI186 FM5:FM186 CT12:EB182</xm:sqref>
        </x14:dataValidation>
      </x14:dataValidations>
    </ext>
    <ext xmlns:x14="http://schemas.microsoft.com/office/spreadsheetml/2009/9/main" uri="{05C60535-1F16-4fd2-B633-F4F36F0B64E0}">
      <x14:sparklineGroups xmlns:xm="http://schemas.microsoft.com/office/excel/2006/main">
        <x14:sparklineGroup manualMax="0" manualMin="0" type="column" displayEmptyCellsAs="gap" high="1" minAxisType="group" maxAxisType="group" xr2:uid="{DE5F7B73-CBEB-4B21-A6AF-80C755FEB427}">
          <x14:colorSeries rgb="FF0070C0"/>
          <x14:colorNegative rgb="FF000000"/>
          <x14:colorAxis rgb="FF000000"/>
          <x14:colorMarkers rgb="FF000000"/>
          <x14:colorFirst rgb="FF000000"/>
          <x14:colorLast rgb="FF000000"/>
          <x14:colorHigh rgb="FF000000"/>
          <x14:colorLow rgb="FF000000"/>
          <x14:sparklines>
            <x14:sparkline>
              <xm:f>Calculation!DH190:DO190</xm:f>
              <xm:sqref>DH7</xm:sqref>
            </x14:sparkline>
            <x14:sparkline>
              <xm:f>Calculation!CV190:DC190</xm:f>
              <xm:sqref>CV7</xm:sqref>
            </x14:sparkline>
            <x14:sparkline>
              <xm:f>Calculation!DD190:DG190</xm:f>
              <xm:sqref>DD7</xm:sqref>
            </x14:sparkline>
          </x14:sparklines>
        </x14:sparklineGroup>
        <x14:sparklineGroup manualMax="0" manualMin="0" type="column" displayEmptyCellsAs="gap" maxAxisType="group" xr2:uid="{22A983DB-B366-46FE-A98B-856F60D175F5}">
          <x14:colorSeries rgb="FF0070C0"/>
          <x14:colorNegative rgb="FF000000"/>
          <x14:colorAxis rgb="FF000000"/>
          <x14:colorMarkers rgb="FF000000"/>
          <x14:colorFirst rgb="FF000000"/>
          <x14:colorLast rgb="FF000000"/>
          <x14:colorHigh rgb="FF000000"/>
          <x14:colorLow rgb="FF000000"/>
          <x14:sparklines>
            <x14:sparkline>
              <xm:f>Calculation!DW190:EA190</xm:f>
              <xm:sqref>DW7</xm:sqref>
            </x14:sparkline>
          </x14:sparklines>
        </x14:sparklineGroup>
        <x14:sparklineGroup manualMax="0" manualMin="0" type="column" displayEmptyCellsAs="gap" maxAxisType="group" xr2:uid="{1E36B6BF-6764-48A0-AA60-91A0B01FADE4}">
          <x14:colorSeries rgb="FF0070C0"/>
          <x14:colorNegative rgb="FF000000"/>
          <x14:colorAxis rgb="FF000000"/>
          <x14:colorMarkers rgb="FF000000"/>
          <x14:colorFirst rgb="FF000000"/>
          <x14:colorLast rgb="FF000000"/>
          <x14:colorHigh rgb="FF000000"/>
          <x14:colorLow rgb="FF000000"/>
          <x14:sparklines>
            <x14:sparkline>
              <xm:f>Calculation!DQ190:DU190</xm:f>
              <xm:sqref>DQ7</xm:sqref>
            </x14:sparkline>
          </x14:sparklines>
        </x14:sparklineGroup>
        <x14:sparklineGroup manualMax="0" manualMin="0" type="column" displayEmptyCellsAs="gap" maxAxisType="group" xr2:uid="{0E55F853-9034-475E-B350-EBAEC69101FF}">
          <x14:colorSeries theme="8" tint="0.249977111117893"/>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Calculation!ED190:EW190</xm:f>
              <xm:sqref>ED7</xm:sqref>
            </x14:sparkline>
            <x14:sparkline>
              <xm:f>Calculation!EE190:EX190</xm:f>
              <xm:sqref>EE7</xm:sqref>
            </x14:sparkline>
            <x14:sparkline>
              <xm:f>Calculation!EF190:EX190</xm:f>
              <xm:sqref>EF7</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3006F-C3BA-4550-B1A5-40544D1E4249}">
  <sheetPr codeName="TabInfo"/>
  <dimension ref="B1:X29"/>
  <sheetViews>
    <sheetView showGridLines="0" showZeros="0" zoomScaleNormal="100" workbookViewId="0">
      <pane ySplit="4" topLeftCell="A6" activePane="bottomLeft" state="frozen"/>
      <selection activeCell="B2" sqref="B2:AX2"/>
      <selection pane="bottomLeft" activeCell="A10" sqref="A10"/>
    </sheetView>
  </sheetViews>
  <sheetFormatPr baseColWidth="10" defaultColWidth="11.42578125" defaultRowHeight="12.75"/>
  <cols>
    <col min="1" max="1" width="2.7109375" style="13" customWidth="1"/>
    <col min="2" max="2" width="40.7109375" style="5" customWidth="1"/>
    <col min="3" max="3" width="6.7109375" style="2" customWidth="1"/>
    <col min="4" max="4" width="24.140625" style="2" bestFit="1" customWidth="1"/>
    <col min="5" max="5" width="12.7109375" style="2" customWidth="1"/>
    <col min="6" max="8" width="6.7109375" style="2" customWidth="1"/>
    <col min="9" max="9" width="5.7109375" style="145" bestFit="1" customWidth="1"/>
    <col min="10" max="10" width="6.7109375" style="2" customWidth="1"/>
    <col min="11" max="11" width="10" style="2" customWidth="1"/>
    <col min="12" max="18" width="12.7109375" style="2" customWidth="1"/>
    <col min="19" max="19" width="2.7109375" style="13" customWidth="1"/>
    <col min="20" max="24" width="11.42578125" style="2"/>
    <col min="25" max="25" width="2.7109375" style="13" customWidth="1"/>
    <col min="26" max="16384" width="11.42578125" style="13"/>
  </cols>
  <sheetData>
    <row r="1" spans="2:24" s="263" customFormat="1">
      <c r="B1" s="909">
        <f>COLUMN()-1</f>
        <v>1</v>
      </c>
      <c r="C1" s="909">
        <f t="shared" ref="C1:R1" si="0">COLUMN()-1</f>
        <v>2</v>
      </c>
      <c r="D1" s="909">
        <f t="shared" si="0"/>
        <v>3</v>
      </c>
      <c r="E1" s="909">
        <f t="shared" si="0"/>
        <v>4</v>
      </c>
      <c r="F1" s="909">
        <f t="shared" si="0"/>
        <v>5</v>
      </c>
      <c r="G1" s="909">
        <f t="shared" si="0"/>
        <v>6</v>
      </c>
      <c r="H1" s="909">
        <f t="shared" si="0"/>
        <v>7</v>
      </c>
      <c r="I1" s="1345">
        <f t="shared" si="0"/>
        <v>8</v>
      </c>
      <c r="J1" s="909">
        <f t="shared" si="0"/>
        <v>9</v>
      </c>
      <c r="K1" s="909">
        <f t="shared" si="0"/>
        <v>10</v>
      </c>
      <c r="L1" s="909">
        <f t="shared" si="0"/>
        <v>11</v>
      </c>
      <c r="M1" s="909">
        <f t="shared" si="0"/>
        <v>12</v>
      </c>
      <c r="N1" s="909">
        <f t="shared" si="0"/>
        <v>13</v>
      </c>
      <c r="O1" s="909">
        <f t="shared" si="0"/>
        <v>14</v>
      </c>
      <c r="P1" s="909">
        <f t="shared" si="0"/>
        <v>15</v>
      </c>
      <c r="Q1" s="909">
        <f t="shared" si="0"/>
        <v>16</v>
      </c>
      <c r="R1" s="909">
        <f t="shared" si="0"/>
        <v>17</v>
      </c>
    </row>
    <row r="2" spans="2:24">
      <c r="B2" s="13"/>
      <c r="F2" s="1408" t="s">
        <v>901</v>
      </c>
      <c r="G2" s="1409"/>
      <c r="H2" s="1409"/>
      <c r="I2" s="1409"/>
      <c r="J2" s="1409"/>
      <c r="K2" s="1410"/>
      <c r="L2" s="221"/>
      <c r="M2" s="221"/>
      <c r="N2" s="221"/>
      <c r="S2" s="2"/>
    </row>
    <row r="3" spans="2:24" s="272" customFormat="1" ht="25.5">
      <c r="B3" s="264" t="s">
        <v>952</v>
      </c>
      <c r="C3" s="265" t="s">
        <v>953</v>
      </c>
      <c r="D3" s="265" t="s">
        <v>34</v>
      </c>
      <c r="E3" s="265" t="s">
        <v>954</v>
      </c>
      <c r="F3" s="266" t="s">
        <v>38</v>
      </c>
      <c r="G3" s="265" t="s">
        <v>121</v>
      </c>
      <c r="H3" s="265" t="s">
        <v>122</v>
      </c>
      <c r="I3" s="267" t="s">
        <v>183</v>
      </c>
      <c r="J3" s="265" t="s">
        <v>1279</v>
      </c>
      <c r="K3" s="268" t="s">
        <v>1280</v>
      </c>
      <c r="L3" s="265" t="s">
        <v>957</v>
      </c>
      <c r="M3" s="265" t="s">
        <v>1040</v>
      </c>
      <c r="N3" s="265" t="s">
        <v>1278</v>
      </c>
      <c r="O3" s="265" t="s">
        <v>960</v>
      </c>
      <c r="P3" s="265" t="s">
        <v>958</v>
      </c>
      <c r="Q3" s="265" t="s">
        <v>959</v>
      </c>
      <c r="R3" s="269" t="s">
        <v>171</v>
      </c>
      <c r="S3" s="270"/>
      <c r="T3" s="271"/>
      <c r="U3" s="270"/>
      <c r="V3" s="270"/>
      <c r="W3" s="271"/>
      <c r="X3" s="270"/>
    </row>
    <row r="4" spans="2:24" s="278" customFormat="1" ht="4.5" customHeight="1">
      <c r="B4" s="273" t="s">
        <v>940</v>
      </c>
      <c r="C4" s="273" t="s">
        <v>945</v>
      </c>
      <c r="D4" s="273" t="s">
        <v>34</v>
      </c>
      <c r="E4" s="273" t="s">
        <v>135</v>
      </c>
      <c r="F4" s="274" t="s">
        <v>38</v>
      </c>
      <c r="G4" s="273" t="s">
        <v>121</v>
      </c>
      <c r="H4" s="273" t="s">
        <v>122</v>
      </c>
      <c r="I4" s="275" t="s">
        <v>183</v>
      </c>
      <c r="J4" s="273" t="s">
        <v>947</v>
      </c>
      <c r="K4" s="276" t="s">
        <v>948</v>
      </c>
      <c r="L4" s="273" t="s">
        <v>439</v>
      </c>
      <c r="M4" s="273" t="s">
        <v>1281</v>
      </c>
      <c r="N4" s="273" t="s">
        <v>1282</v>
      </c>
      <c r="O4" s="273" t="s">
        <v>949</v>
      </c>
      <c r="P4" s="273" t="s">
        <v>950</v>
      </c>
      <c r="Q4" s="273" t="s">
        <v>951</v>
      </c>
      <c r="R4" s="273" t="s">
        <v>170</v>
      </c>
      <c r="S4" s="273"/>
      <c r="T4" s="277"/>
      <c r="U4" s="273"/>
      <c r="V4" s="273"/>
      <c r="W4" s="277"/>
      <c r="X4" s="273"/>
    </row>
    <row r="5" spans="2:24" hidden="1">
      <c r="B5" s="279" t="s">
        <v>89</v>
      </c>
      <c r="C5" s="280">
        <v>7</v>
      </c>
      <c r="D5" s="280">
        <f>IFERROR(VLOOKUP(Info[[#This Row],[Bauteil]],BOM,5,0),0)</f>
        <v>0</v>
      </c>
      <c r="E5" s="281" t="str" cm="1">
        <f t="array" ref="E5">IFERROR(IF(INDEX(MAT[Dichte],MATCH(Info[[#This Row],[Material]],MAT[Bezeichnung],0),)&gt;0,INDEX(MAT[Dichte],MATCH(Info[[#This Row],[Material]],MAT[Bezeichnung],0),),"[Input]"),"[Input]")</f>
        <v>[Input]</v>
      </c>
      <c r="F5" s="282">
        <f>IFERROR(VLOOKUP(Info[[#This Row],[Bauteil]],BOM,8,0),0)</f>
        <v>0</v>
      </c>
      <c r="G5" s="280">
        <f>IFERROR(VLOOKUP(Info[[#This Row],[Bauteil]],BOM,9,0),0)</f>
        <v>0</v>
      </c>
      <c r="H5" s="280">
        <f>IFERROR(VLOOKUP(Info[[#This Row],[Bauteil]],BOM,10,0),0)</f>
        <v>0</v>
      </c>
      <c r="I5" s="281">
        <f>IFERROR(VLOOKUP(Info[[#This Row],[Bauteil]],BOM,11,0),0)</f>
        <v>0</v>
      </c>
      <c r="J5" s="280">
        <f>Info[[#This Row],[x]]</f>
        <v>0</v>
      </c>
      <c r="K5" s="283">
        <f>0</f>
        <v>0</v>
      </c>
      <c r="L5" s="284">
        <f>1</f>
        <v>1</v>
      </c>
      <c r="M5" s="285">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5" s="285">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5" s="285">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5" s="285">
        <f>IFERROR(Info[[#This Row],[Volumen]]*Info[[#This Row],[Dichte]]/1000,0)</f>
        <v>0</v>
      </c>
      <c r="Q5" s="281">
        <f>Info[[#This Row],[Masse in g]]/1000</f>
        <v>0</v>
      </c>
      <c r="R5" s="281"/>
      <c r="S5" s="2"/>
    </row>
    <row r="6" spans="2:24">
      <c r="B6" s="286" t="s">
        <v>4354</v>
      </c>
      <c r="C6" s="287">
        <v>7</v>
      </c>
      <c r="D6" s="2" t="s">
        <v>4126</v>
      </c>
      <c r="E6" s="145" cm="1">
        <f t="array" ref="E6">IFERROR(IF(INDEX(MAT[Dichte],MATCH(Info[[#This Row],[Material]],MAT[Bezeichnung],0),)&gt;0,INDEX(MAT[Dichte],MATCH(Info[[#This Row],[Material]],MAT[Bezeichnung],0),),"[Input]"),"[Input]")</f>
        <v>2.7</v>
      </c>
      <c r="F6" s="1056">
        <v>90</v>
      </c>
      <c r="G6" s="1057">
        <v>23</v>
      </c>
      <c r="H6" s="1057">
        <v>0.5</v>
      </c>
      <c r="I6" s="1346">
        <v>0.5</v>
      </c>
      <c r="J6" s="1057">
        <f>Info[[#This Row],[x]]</f>
        <v>90</v>
      </c>
      <c r="K6" s="1058">
        <f>0</f>
        <v>0</v>
      </c>
      <c r="L6" s="289">
        <f>1</f>
        <v>1</v>
      </c>
      <c r="M6" s="290">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4140</v>
      </c>
      <c r="N6" s="291">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2070</v>
      </c>
      <c r="O6" s="291">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1035</v>
      </c>
      <c r="P6" s="1342">
        <f>IFERROR(Info[[#This Row],[Volumen]]*Info[[#This Row],[Dichte]]/1000,0)</f>
        <v>2.7945000000000002</v>
      </c>
      <c r="Q6" s="167">
        <f>Info[[#This Row],[Masse in g]]/1000</f>
        <v>2.7945000000000001E-3</v>
      </c>
      <c r="R6" s="145"/>
      <c r="S6" s="2"/>
    </row>
    <row r="7" spans="2:24">
      <c r="B7" s="286" t="s">
        <v>4356</v>
      </c>
      <c r="C7" s="2">
        <v>7</v>
      </c>
      <c r="D7" s="2" t="str">
        <f>IFERROR(VLOOKUP(Info[[#This Row],[Bauteil]],BOM,5,0),0)</f>
        <v>Aluminium sheet AlMg4, 5Mn0,7</v>
      </c>
      <c r="E7" s="145" cm="1">
        <f t="array" ref="E7">IFERROR(IF(INDEX(MAT[Dichte],MATCH(Info[[#This Row],[Material]],MAT[Bezeichnung],0),)&gt;0,INDEX(MAT[Dichte],MATCH(Info[[#This Row],[Material]],MAT[Bezeichnung],0),),"[Input]"),"[Input]")</f>
        <v>2.7</v>
      </c>
      <c r="F7" s="1056">
        <v>179</v>
      </c>
      <c r="G7" s="1057">
        <v>45.6</v>
      </c>
      <c r="H7" s="1057">
        <f>IFERROR(VLOOKUP(Info[[#This Row],[Bauteil]],BOM,10,0),0)</f>
        <v>5.5</v>
      </c>
      <c r="I7" s="1346">
        <v>0.6</v>
      </c>
      <c r="J7" s="1057">
        <f>Info[[#This Row],[x]]</f>
        <v>179</v>
      </c>
      <c r="K7" s="1058">
        <f>0</f>
        <v>0</v>
      </c>
      <c r="L7" s="292">
        <f>1</f>
        <v>1</v>
      </c>
      <c r="M7" s="291">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16324.800000000001</v>
      </c>
      <c r="N7" s="291">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8162.4000000000005</v>
      </c>
      <c r="O7" s="291">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4897.4400000000005</v>
      </c>
      <c r="P7" s="291">
        <f>IFERROR(Info[[#This Row],[Volumen]]*Info[[#This Row],[Dichte]]/1000,0)</f>
        <v>13.223088000000002</v>
      </c>
      <c r="Q7" s="167">
        <f>Info[[#This Row],[Masse in g]]/1000</f>
        <v>1.3223088000000003E-2</v>
      </c>
      <c r="R7" s="145"/>
      <c r="S7" s="2"/>
    </row>
    <row r="8" spans="2:24">
      <c r="B8" s="286" t="s">
        <v>4357</v>
      </c>
      <c r="C8" s="287">
        <v>7</v>
      </c>
      <c r="D8" s="2" t="str">
        <f>IFERROR(VLOOKUP(Info[[#This Row],[Bauteil]],BOM,5,0),0)</f>
        <v>Aluminium sheet AlMg4, 5Mn0,7</v>
      </c>
      <c r="E8" s="288" cm="1">
        <f t="array" ref="E8">IFERROR(IF(INDEX(MAT[Dichte],MATCH(Info[[#This Row],[Material]],MAT[Bezeichnung],0),)&gt;0,INDEX(MAT[Dichte],MATCH(Info[[#This Row],[Material]],MAT[Bezeichnung],0),),"[Input]"),"[Input]")</f>
        <v>2.7</v>
      </c>
      <c r="F8" s="1056">
        <v>179</v>
      </c>
      <c r="G8" s="1057">
        <v>52</v>
      </c>
      <c r="H8" s="1057">
        <f>IFERROR(VLOOKUP(Info[[#This Row],[Bauteil]],BOM,10,0),0)</f>
        <v>7</v>
      </c>
      <c r="I8" s="1346">
        <f>IFERROR(VLOOKUP(Info[[#This Row],[Bauteil]],BOM,11,0),0)</f>
        <v>0.5</v>
      </c>
      <c r="J8" s="1057">
        <f>Info[[#This Row],[x]]</f>
        <v>179</v>
      </c>
      <c r="K8" s="1058">
        <f>0</f>
        <v>0</v>
      </c>
      <c r="L8" s="289">
        <f>1</f>
        <v>1</v>
      </c>
      <c r="M8" s="291">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18616</v>
      </c>
      <c r="N8" s="291">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9308</v>
      </c>
      <c r="O8" s="291">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4654</v>
      </c>
      <c r="P8" s="291">
        <f>IFERROR(Info[[#This Row],[Volumen]]*Info[[#This Row],[Dichte]]/1000,0)</f>
        <v>12.565800000000001</v>
      </c>
      <c r="Q8" s="167">
        <f>Info[[#This Row],[Masse in g]]/1000</f>
        <v>1.2565800000000002E-2</v>
      </c>
      <c r="R8" s="145"/>
      <c r="U8" s="293"/>
      <c r="X8" s="293"/>
    </row>
    <row r="9" spans="2:24">
      <c r="B9" s="1136"/>
      <c r="C9" s="1137"/>
      <c r="D9" s="1138">
        <f>IFERROR(VLOOKUP(Info[[#This Row],[Bauteil]],BOM,5,0),0)</f>
        <v>0</v>
      </c>
      <c r="E9" s="1139" t="str" cm="1">
        <f t="array" ref="E9">IFERROR(IF(INDEX(MAT[Dichte],MATCH(Info[[#This Row],[Material]],MAT[Bezeichnung],0),)&gt;0,INDEX(MAT[Dichte],MATCH(Info[[#This Row],[Material]],MAT[Bezeichnung],0),),"[Input]"),"[Input]")</f>
        <v>[Input]</v>
      </c>
      <c r="F9" s="1140">
        <f>IFERROR(VLOOKUP(Info[[#This Row],[Bauteil]],BOM,8,0),0)</f>
        <v>0</v>
      </c>
      <c r="G9" s="1141">
        <f>IFERROR(VLOOKUP(Info[[#This Row],[Bauteil]],BOM,9,0),0)</f>
        <v>0</v>
      </c>
      <c r="H9" s="1141">
        <f>IFERROR(VLOOKUP(Info[[#This Row],[Bauteil]],BOM,10,0),0)</f>
        <v>0</v>
      </c>
      <c r="I9" s="1346">
        <f>IFERROR(VLOOKUP(Info[[#This Row],[Bauteil]],BOM,11,0),0)</f>
        <v>0</v>
      </c>
      <c r="J9" s="1141">
        <f>Info[[#This Row],[x]]</f>
        <v>0</v>
      </c>
      <c r="K9" s="1142">
        <f>0</f>
        <v>0</v>
      </c>
      <c r="L9" s="1143">
        <f>1</f>
        <v>1</v>
      </c>
      <c r="M9" s="1144">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9" s="1145">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9" s="1145">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9" s="1145">
        <f>IFERROR(Info[[#This Row],[Volumen]]*Info[[#This Row],[Dichte]]/1000,0)</f>
        <v>0</v>
      </c>
      <c r="Q9" s="1146">
        <f>Info[[#This Row],[Masse in g]]/1000</f>
        <v>0</v>
      </c>
      <c r="R9" s="1138"/>
    </row>
    <row r="10" spans="2:24">
      <c r="B10" s="13"/>
    </row>
    <row r="13" spans="2:24">
      <c r="B13" s="13"/>
    </row>
    <row r="14" spans="2:24">
      <c r="U14" s="293"/>
    </row>
    <row r="17" spans="2:24">
      <c r="T17" s="294"/>
      <c r="U17" s="294"/>
      <c r="V17" s="294"/>
      <c r="W17" s="294"/>
      <c r="X17" s="294"/>
    </row>
    <row r="26" spans="2:24">
      <c r="B26" s="13"/>
    </row>
    <row r="29" spans="2:24">
      <c r="B29" s="13"/>
    </row>
  </sheetData>
  <mergeCells count="1">
    <mergeCell ref="F2:K2"/>
  </mergeCells>
  <phoneticPr fontId="39" type="noConversion"/>
  <conditionalFormatting sqref="H5:H9">
    <cfRule type="expression" dxfId="1328" priority="694">
      <formula>AND($C5&gt;0,$C5&lt;6)</formula>
    </cfRule>
  </conditionalFormatting>
  <conditionalFormatting sqref="F5:G9">
    <cfRule type="expression" dxfId="1327" priority="695">
      <formula>OR($C5=1,$C5=2,$C5=7)</formula>
    </cfRule>
  </conditionalFormatting>
  <conditionalFormatting sqref="J5:J9">
    <cfRule type="expression" dxfId="1326" priority="696">
      <formula>AND($C5&gt;2,$C5&lt;7)</formula>
    </cfRule>
  </conditionalFormatting>
  <conditionalFormatting sqref="K5:K9">
    <cfRule type="expression" dxfId="1325" priority="1">
      <formula>$C5=4</formula>
    </cfRule>
  </conditionalFormatting>
  <conditionalFormatting sqref="I5:I9">
    <cfRule type="expression" dxfId="1324" priority="697">
      <formula>$C5=7</formula>
    </cfRule>
  </conditionalFormatting>
  <dataValidations count="4">
    <dataValidation type="list" allowBlank="1" showInputMessage="1" sqref="B5:B9" xr:uid="{1F6DA5A6-8637-4112-B1C9-78AE7CFE4AF1}">
      <formula1>BOM_Dropdown</formula1>
    </dataValidation>
    <dataValidation type="list" allowBlank="1" showInputMessage="1" sqref="D5:D9" xr:uid="{A9E1A9D2-DAA4-4AFD-970E-0894B49E8EC7}">
      <formula1>MAT_Dropdown</formula1>
    </dataValidation>
    <dataValidation type="list" allowBlank="1" showInputMessage="1" showErrorMessage="1" sqref="C5:C8" xr:uid="{5319E0FD-4870-4ADB-B226-F2FD7E048A95}">
      <formula1>"1,2,3,4,5,6,7"</formula1>
    </dataValidation>
    <dataValidation type="list" allowBlank="1" showInputMessage="1" sqref="C5:C8" xr:uid="{2BDC11A6-4EC1-4D0D-883C-99571D38AE5C}">
      <formula1>"1,2,3,4,5,6,7"</formula1>
    </dataValidation>
  </dataValidations>
  <pageMargins left="0.7" right="0.7" top="0.78740157499999996" bottom="0.78740157499999996" header="0.3" footer="0.3"/>
  <drawing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Premises">
    <outlinePr summaryBelow="0" summaryRight="0"/>
    <pageSetUpPr autoPageBreaks="0"/>
  </sheetPr>
  <dimension ref="A1:H79"/>
  <sheetViews>
    <sheetView showGridLines="0" showZeros="0" zoomScaleNormal="100" workbookViewId="0">
      <pane ySplit="3" topLeftCell="A4" activePane="bottomLeft" state="frozen"/>
      <selection activeCell="D355" sqref="D355"/>
      <selection pane="bottomLeft" activeCell="D14" sqref="D14"/>
    </sheetView>
  </sheetViews>
  <sheetFormatPr baseColWidth="10" defaultColWidth="11.42578125" defaultRowHeight="12.75" outlineLevelCol="1"/>
  <cols>
    <col min="1" max="1" width="1.7109375" style="5" customWidth="1"/>
    <col min="2" max="2" width="35.7109375" style="5" customWidth="1"/>
    <col min="3" max="3" width="15.7109375" style="142" customWidth="1"/>
    <col min="4" max="4" width="25.7109375" style="4" customWidth="1"/>
    <col min="5" max="5" width="8.140625" style="42" customWidth="1" outlineLevel="1"/>
    <col min="6" max="7" width="2.7109375" style="5" customWidth="1"/>
    <col min="8" max="16384" width="11.42578125" style="5"/>
  </cols>
  <sheetData>
    <row r="1" spans="1:6" ht="5.0999999999999996" customHeight="1"/>
    <row r="2" spans="1:6" ht="25.5" customHeight="1">
      <c r="B2" s="1411" t="s">
        <v>1377</v>
      </c>
      <c r="C2" s="1412"/>
      <c r="D2" s="1412"/>
      <c r="E2" s="1412"/>
      <c r="F2" s="1412"/>
    </row>
    <row r="3" spans="1:6" ht="5.0999999999999996" customHeight="1">
      <c r="C3" s="4"/>
    </row>
    <row r="4" spans="1:6" s="13" customFormat="1" hidden="1">
      <c r="B4" s="143" t="s">
        <v>442</v>
      </c>
      <c r="C4" s="144" t="s">
        <v>61</v>
      </c>
      <c r="D4" s="2"/>
      <c r="E4" s="145"/>
    </row>
    <row r="5" spans="1:6" s="13" customFormat="1">
      <c r="B5" s="143" t="s">
        <v>553</v>
      </c>
      <c r="C5" s="146" t="s">
        <v>61</v>
      </c>
      <c r="D5" s="2"/>
      <c r="E5" s="145"/>
    </row>
    <row r="6" spans="1:6" s="13" customFormat="1">
      <c r="B6" s="143" t="s">
        <v>596</v>
      </c>
      <c r="C6" s="146">
        <v>1</v>
      </c>
      <c r="D6" s="2"/>
      <c r="E6" s="145"/>
    </row>
    <row r="7" spans="1:6" s="13" customFormat="1" ht="4.5" customHeight="1">
      <c r="A7" s="147"/>
      <c r="B7" s="147"/>
      <c r="C7" s="148"/>
      <c r="D7" s="2"/>
      <c r="E7" s="145"/>
    </row>
    <row r="8" spans="1:6" s="13" customFormat="1" ht="4.5" customHeight="1">
      <c r="A8" s="147"/>
      <c r="B8" s="147"/>
      <c r="C8" s="148"/>
      <c r="D8" s="2"/>
      <c r="E8" s="145"/>
    </row>
    <row r="9" spans="1:6" s="13" customFormat="1" ht="4.5" customHeight="1">
      <c r="C9" s="149"/>
      <c r="D9" s="2"/>
      <c r="E9" s="145"/>
    </row>
    <row r="10" spans="1:6" s="2" customFormat="1">
      <c r="B10" s="143" t="s">
        <v>597</v>
      </c>
      <c r="C10" s="150"/>
      <c r="D10" s="187">
        <v>1</v>
      </c>
      <c r="E10" s="151"/>
      <c r="F10" s="13"/>
    </row>
    <row r="11" spans="1:6" s="13" customFormat="1">
      <c r="B11" s="719" t="s">
        <v>492</v>
      </c>
      <c r="C11" s="720"/>
      <c r="D11" s="152" t="str">
        <f>$B$10&amp;" "&amp;D$10</f>
        <v>Supplier 1</v>
      </c>
      <c r="E11" s="153"/>
      <c r="F11" s="722"/>
    </row>
    <row r="12" spans="1:6" s="13" customFormat="1">
      <c r="B12" s="721" t="s">
        <v>536</v>
      </c>
      <c r="C12" s="720"/>
      <c r="D12" s="146" t="s">
        <v>87</v>
      </c>
      <c r="E12" s="154"/>
      <c r="F12" s="722"/>
    </row>
    <row r="13" spans="1:6" s="13" customFormat="1">
      <c r="B13" s="721" t="s">
        <v>537</v>
      </c>
      <c r="C13" s="720"/>
      <c r="D13" s="155">
        <v>40000</v>
      </c>
      <c r="E13" s="154"/>
      <c r="F13" s="722"/>
    </row>
    <row r="14" spans="1:6" s="13" customFormat="1">
      <c r="B14" s="721" t="s">
        <v>538</v>
      </c>
      <c r="C14" s="720" t="s">
        <v>2147</v>
      </c>
      <c r="D14" s="156"/>
      <c r="E14" s="154"/>
      <c r="F14" s="722"/>
    </row>
    <row r="15" spans="1:6" s="13" customFormat="1">
      <c r="B15" s="721" t="s">
        <v>2084</v>
      </c>
      <c r="C15" s="720" t="s">
        <v>3</v>
      </c>
      <c r="D15" s="156">
        <v>80</v>
      </c>
      <c r="E15" s="154"/>
      <c r="F15" s="722"/>
    </row>
    <row r="16" spans="1:6" s="13" customFormat="1">
      <c r="B16" s="721" t="s">
        <v>2083</v>
      </c>
      <c r="C16" s="720" t="s">
        <v>3</v>
      </c>
      <c r="D16" s="156">
        <v>80</v>
      </c>
      <c r="E16" s="154"/>
      <c r="F16" s="722"/>
    </row>
    <row r="17" spans="2:6" s="13" customFormat="1" ht="4.5" customHeight="1">
      <c r="B17" s="157"/>
      <c r="C17" s="158"/>
      <c r="D17" s="159"/>
      <c r="E17" s="159"/>
      <c r="F17" s="159"/>
    </row>
    <row r="18" spans="2:6" s="13" customFormat="1">
      <c r="B18" s="719" t="s">
        <v>541</v>
      </c>
      <c r="C18" s="723"/>
      <c r="D18" s="160" t="s">
        <v>4023</v>
      </c>
      <c r="E18" s="727">
        <f>IFERROR(MATCH(D18,LOC[Standort],0),0)</f>
        <v>2</v>
      </c>
      <c r="F18" s="722"/>
    </row>
    <row r="19" spans="2:6" s="13" customFormat="1">
      <c r="B19" s="721" t="s">
        <v>2487</v>
      </c>
      <c r="C19" s="720"/>
      <c r="D19" s="156">
        <f>E19</f>
        <v>300</v>
      </c>
      <c r="E19" s="700" cm="1">
        <f t="array" ref="E19">IF(E$18=0,0,IFERROR(INDEX(LOC[Arbeitstage],E$18),0))</f>
        <v>300</v>
      </c>
      <c r="F19" s="722"/>
    </row>
    <row r="20" spans="2:6" s="13" customFormat="1">
      <c r="B20" s="721" t="s">
        <v>2491</v>
      </c>
      <c r="C20" s="720"/>
      <c r="D20" s="156">
        <v>3</v>
      </c>
      <c r="E20" s="154"/>
      <c r="F20" s="722"/>
    </row>
    <row r="21" spans="2:6" s="13" customFormat="1">
      <c r="B21" s="721" t="s">
        <v>2489</v>
      </c>
      <c r="C21" s="720" t="str">
        <f>Currency&amp;"/h"</f>
        <v>EUR/h</v>
      </c>
      <c r="D21" s="146">
        <f t="shared" ref="D21:D26" si="0">E21</f>
        <v>9.6300000000000008</v>
      </c>
      <c r="E21" s="699" cm="1">
        <f t="array" ref="E21">IF(E$18=0,0,IFERROR(ExchangeRate*IF(D$20=1,INDEX(LOC[M1S],E$18),IF(D$20=2,INDEX(LOC[M2S],E$18),IF(D$20=3,INDEX(LOC[M3S],E$18),0))),0))</f>
        <v>9.6300000000000008</v>
      </c>
      <c r="F21" s="722"/>
    </row>
    <row r="22" spans="2:6" s="13" customFormat="1">
      <c r="B22" s="721" t="s">
        <v>2490</v>
      </c>
      <c r="C22" s="720" t="str">
        <f>Currency&amp;"/h"</f>
        <v>EUR/h</v>
      </c>
      <c r="D22" s="146">
        <f t="shared" si="0"/>
        <v>13.54</v>
      </c>
      <c r="E22" s="699" cm="1">
        <f t="array" ref="E22">IF(E$18=0,0,IFERROR(ExchangeRate*IF(D$20=1,INDEX(LOC[F1S],E$18),IF(D$20=2,INDEX(LOC[F2S],E$18),IF(D$20=3,INDEX(LOC[F3S],E$18),0))),0))</f>
        <v>13.54</v>
      </c>
      <c r="F22" s="722"/>
    </row>
    <row r="23" spans="2:6" s="13" customFormat="1">
      <c r="B23" s="721" t="s">
        <v>542</v>
      </c>
      <c r="C23" s="720" t="str">
        <f>Currency&amp;"/m²"</f>
        <v>EUR/m²</v>
      </c>
      <c r="D23" s="146">
        <f t="shared" si="0"/>
        <v>3.03</v>
      </c>
      <c r="E23" s="699" cm="1">
        <f t="array" ref="E23">IF(E$18=0,0,IFERROR(ExchangeRate*INDEX(LOC[Monatesmiete],E$18),0))</f>
        <v>3.03</v>
      </c>
      <c r="F23" s="722"/>
    </row>
    <row r="24" spans="2:6" s="13" customFormat="1">
      <c r="B24" s="721" t="s">
        <v>543</v>
      </c>
      <c r="C24" s="720" t="str">
        <f>Currency&amp;"/kWh"</f>
        <v>EUR/kWh</v>
      </c>
      <c r="D24" s="146">
        <f t="shared" si="0"/>
        <v>0.08</v>
      </c>
      <c r="E24" s="699" cm="1">
        <f t="array" ref="E24">IF(E$18=0,0,IFERROR(ExchangeRate*INDEX(LOC[Strom],E$18),0))</f>
        <v>0.08</v>
      </c>
      <c r="F24" s="722"/>
    </row>
    <row r="25" spans="2:6" s="13" customFormat="1">
      <c r="B25" s="721" t="s">
        <v>1131</v>
      </c>
      <c r="C25" s="720" t="str">
        <f>Currency&amp;"/kWh"</f>
        <v>EUR/kWh</v>
      </c>
      <c r="D25" s="146">
        <f t="shared" si="0"/>
        <v>0.02</v>
      </c>
      <c r="E25" s="699" cm="1">
        <f t="array" ref="E25">IF(E$18=0,0,IFERROR(ExchangeRate*INDEX(LOC[Erdgas],E$18),0))</f>
        <v>0.02</v>
      </c>
      <c r="F25" s="722"/>
    </row>
    <row r="26" spans="2:6" s="13" customFormat="1">
      <c r="B26" s="721" t="s">
        <v>544</v>
      </c>
      <c r="C26" s="720" t="s">
        <v>3</v>
      </c>
      <c r="D26" s="146">
        <f t="shared" si="0"/>
        <v>7.16</v>
      </c>
      <c r="E26" s="699" cm="1">
        <f t="array" ref="E26">IF(E$18=0,0,IFERROR(INDEX(LOC[Kalk. Zins],E$18),0))</f>
        <v>7.16</v>
      </c>
      <c r="F26" s="722"/>
    </row>
    <row r="27" spans="2:6" s="13" customFormat="1" ht="4.5" customHeight="1">
      <c r="B27" s="161"/>
      <c r="C27" s="158"/>
      <c r="D27" s="162"/>
      <c r="E27" s="162"/>
      <c r="F27" s="159"/>
    </row>
    <row r="28" spans="2:6" s="13" customFormat="1" hidden="1">
      <c r="B28" s="721" t="s">
        <v>2493</v>
      </c>
      <c r="C28" s="724" t="s">
        <v>3</v>
      </c>
      <c r="D28" s="146">
        <v>0</v>
      </c>
      <c r="E28" s="877">
        <f>IF(INDEX(Settings[],MATCH(3003,Settings[ID],0),2)="B",D$39,0)</f>
        <v>0</v>
      </c>
      <c r="F28" s="722"/>
    </row>
    <row r="29" spans="2:6" s="13" customFormat="1" hidden="1">
      <c r="B29" s="721" t="s">
        <v>2494</v>
      </c>
      <c r="C29" s="724" t="s">
        <v>3</v>
      </c>
      <c r="D29" s="961">
        <v>0</v>
      </c>
      <c r="E29" s="877">
        <f>IF(INDEX(Settings[],MATCH(3004,Settings[ID],0),2)="B",D$40,0)</f>
        <v>0</v>
      </c>
      <c r="F29" s="722"/>
    </row>
    <row r="30" spans="2:6" s="13" customFormat="1">
      <c r="B30" s="721" t="s">
        <v>481</v>
      </c>
      <c r="C30" s="724" t="s">
        <v>3</v>
      </c>
      <c r="D30" s="146">
        <v>1</v>
      </c>
      <c r="E30" s="154"/>
      <c r="F30" s="722"/>
    </row>
    <row r="31" spans="2:6" s="13" customFormat="1">
      <c r="B31" s="721" t="s">
        <v>210</v>
      </c>
      <c r="C31" s="724" t="s">
        <v>3</v>
      </c>
      <c r="D31" s="146">
        <f>E31</f>
        <v>12.5</v>
      </c>
      <c r="E31" s="699">
        <f>IFERROR(IndirectCosts!$BE$10+INDEX(IndirectCosts!$BE$13:$BE$16,MATCH(D$13,IndirectCosts!$BD$13:$BD$16,1))+INDEX(IndirectCosts!$BE$19:$BE$21,MATCH(D$12,IndirectCosts!$BD$19:$BD$21,0)),0)</f>
        <v>12.5</v>
      </c>
      <c r="F31" s="722"/>
    </row>
    <row r="32" spans="2:6" s="13" customFormat="1" hidden="1">
      <c r="B32" s="721" t="s">
        <v>498</v>
      </c>
      <c r="C32" s="724" t="s">
        <v>3</v>
      </c>
      <c r="D32" s="146">
        <f t="shared" ref="D32:D34" si="1">E32</f>
        <v>16</v>
      </c>
      <c r="E32" s="699">
        <f>IFERROR(IndirectCosts!$BF$10+INDEX(IndirectCosts!$BF$13:$BF$16,MATCH(D$13,IndirectCosts!$BD$13:$BD$16,1))+INDEX(IndirectCosts!$BF$19:$BF$21,MATCH(D$12,IndirectCosts!$BD$19:$BD$21,0)),0)</f>
        <v>16</v>
      </c>
      <c r="F32" s="722"/>
    </row>
    <row r="33" spans="2:6" s="13" customFormat="1" hidden="1">
      <c r="B33" s="721" t="s">
        <v>545</v>
      </c>
      <c r="C33" s="724" t="s">
        <v>3</v>
      </c>
      <c r="D33" s="146">
        <f t="shared" si="1"/>
        <v>9</v>
      </c>
      <c r="E33" s="699">
        <f>IFERROR(IndirectCosts!$BG$10+INDEX(IndirectCosts!$BG$13:$BG$16,MATCH(D$13,IndirectCosts!$BD$13:$BD$16,1))+INDEX(IndirectCosts!$BG$19:$BG$21,MATCH(D$12,IndirectCosts!$BD$19:$BD$21,0)),0)</f>
        <v>9</v>
      </c>
      <c r="F33" s="722"/>
    </row>
    <row r="34" spans="2:6" s="13" customFormat="1">
      <c r="B34" s="721" t="s">
        <v>209</v>
      </c>
      <c r="C34" s="724" t="s">
        <v>3</v>
      </c>
      <c r="D34" s="146">
        <f t="shared" si="1"/>
        <v>6</v>
      </c>
      <c r="E34" s="699">
        <f>IFERROR(INDEX(IndirectCosts!$BE$23:$BE$26,MATCH(D$12,IndirectCosts!$BD$23:$BD$26,0)),0)</f>
        <v>6</v>
      </c>
      <c r="F34" s="722"/>
    </row>
    <row r="35" spans="2:6" s="13" customFormat="1" hidden="1">
      <c r="B35" s="721" t="s">
        <v>503</v>
      </c>
      <c r="C35" s="724" t="s">
        <v>3</v>
      </c>
      <c r="D35" s="146">
        <f t="shared" ref="D35:D36" si="2">E35</f>
        <v>10</v>
      </c>
      <c r="E35" s="699">
        <f>IFERROR(INDEX(IndirectCosts!$BF$23:$BF$26,MATCH(D$12,IndirectCosts!$BD$23:$BD$26,0)),0)</f>
        <v>10</v>
      </c>
      <c r="F35" s="722"/>
    </row>
    <row r="36" spans="2:6" s="13" customFormat="1" hidden="1">
      <c r="B36" s="721" t="s">
        <v>506</v>
      </c>
      <c r="C36" s="724" t="s">
        <v>3</v>
      </c>
      <c r="D36" s="146">
        <f t="shared" si="2"/>
        <v>1.5</v>
      </c>
      <c r="E36" s="699">
        <f>IFERROR(INDEX(IndirectCosts!$BG$23:$BG$26,MATCH(D$12,IndirectCosts!$BD$23:$BD$26,0)),0)</f>
        <v>1.5</v>
      </c>
      <c r="F36" s="722"/>
    </row>
    <row r="37" spans="2:6" s="13" customFormat="1">
      <c r="B37" s="721" t="s">
        <v>668</v>
      </c>
      <c r="C37" s="724" t="s">
        <v>3</v>
      </c>
      <c r="D37" s="146"/>
      <c r="E37" s="154"/>
      <c r="F37" s="722"/>
    </row>
    <row r="38" spans="2:6" s="13" customFormat="1" ht="4.5" customHeight="1">
      <c r="B38" s="161"/>
      <c r="C38" s="164"/>
      <c r="D38" s="159"/>
      <c r="E38" s="159"/>
      <c r="F38" s="159"/>
    </row>
    <row r="39" spans="2:6" s="13" customFormat="1">
      <c r="B39" s="721" t="s">
        <v>2495</v>
      </c>
      <c r="C39" s="724" t="s">
        <v>3</v>
      </c>
      <c r="D39" s="726">
        <f>IFERROR(SUMIF(Calculation!$CA$11:$CA$189,D$10,Calculation!$AO$11:$AO$189)
/(SUMIF(Calculation!$CA$11:$CA$189,D$10,Calculation!$J$11:$J$189)
+SUMIF(Calculation!$CA$11:$CA$189,D$10,Calculation!$R$11:$R$189)
+SUMIF(Calculation!$CA$11:$CA$189,D$10,Calculation!$V$11:$V$189)
+SUMIF(Calculation!$CA$11:$CA$189,D$10,Calculation!$AL$11:$AL$189))*100,0)</f>
        <v>11.914027463663727</v>
      </c>
      <c r="E39" s="154"/>
      <c r="F39" s="722"/>
    </row>
    <row r="40" spans="2:6" s="13" customFormat="1">
      <c r="B40" s="721" t="s">
        <v>2496</v>
      </c>
      <c r="C40" s="724" t="s">
        <v>3</v>
      </c>
      <c r="D40" s="726" cm="1">
        <f t="array" ref="D40">IFERROR((SUMPRODUCT((Calculation!$CA$11:$CA$189=D$10)*1,Calculation!$CK$11:$CK$189,Calculation!$AZ$11:$AZ$189)
+IF(D$42=0,SUMPRODUCT((Calculation!$CB$11:$CB$189=D$10)*1,(Calculation!$CD$11:$CD$189&lt;&gt;0)*1,Calculation!$CN$11:$CN$189,Calculation!$BT$11:$BT$189)
+SUMPRODUCT((Calculation!$CC$11:$CC$189=D$10)*1,(Calculation!$CD$11:$CD$189&lt;&gt;0)*1,Calculation!$CP$11:$CP$189,Calculation!$BT$11:$BT$189),0))
/(SUMPRODUCT((Calculation!$CA$11:$CA$189=D$10)*1,Calculation!$CK$11:$CK$189,(Calculation!$AU$11:$AU$189&gt;0)*1,Calculation!$AU$11:$AU$189)
+SUMPRODUCT((Calculation!$CA$11:$CA$189=D$10)*1,Calculation!$CK$11:$CK$189,Calculation!$AX$11:$AX$189)
+IF(D$42=0,SUMPRODUCT((Calculation!$CB$11:$CB$189=D$10)*1,(Calculation!$CN$11:$CN$189&lt;&gt;0)*1,(Calculation!$CD$11:$CD$189&lt;&gt;0)*1,Calculation!$BT$11:$BT$189)
+SUMPRODUCT((Calculation!$CC$11:$CC$189=D$10)*1,(Calculation!$CP$11:$CP$189&lt;&gt;0)*1,(Calculation!$CD$11:$CD$189&lt;&gt;0)*1,Calculation!$BT$11:$BT$189),0))*100,0)</f>
        <v>0.9881178404036659</v>
      </c>
      <c r="E40" s="154"/>
      <c r="F40" s="722"/>
    </row>
    <row r="41" spans="2:6" s="13" customFormat="1" hidden="1">
      <c r="B41" s="725" t="s">
        <v>1380</v>
      </c>
      <c r="C41" s="724" t="s">
        <v>3</v>
      </c>
      <c r="D41" s="656">
        <f>IF(INDEX(Settings[],MATCH(3003,Settings[ID],0),2)="A",0,IF(D$28=0,"",D$28))</f>
        <v>0</v>
      </c>
      <c r="E41" s="154"/>
      <c r="F41" s="722"/>
    </row>
    <row r="42" spans="2:6" s="13" customFormat="1" hidden="1">
      <c r="B42" s="725" t="s">
        <v>1041</v>
      </c>
      <c r="C42" s="724" t="s">
        <v>3</v>
      </c>
      <c r="D42" s="657">
        <f>IF(INDEX(Settings[],MATCH(3004,Settings[ID],0),2)="A",0,IF(D$29=0,"",D$29))</f>
        <v>0</v>
      </c>
      <c r="E42" s="154"/>
      <c r="F42" s="722"/>
    </row>
    <row r="43" spans="2:6" s="13" customFormat="1" hidden="1">
      <c r="B43" s="725" t="s">
        <v>1340</v>
      </c>
      <c r="C43" s="724"/>
      <c r="D43" s="653">
        <f>IFERROR(IndirectCosts!$T$7*(INDEX(LOC[High-skilled],MATCH(D$18,LOC[Standort],0))*ExchangeRate+(IndirectCosts!$AT$7*ExchangeRate*(1/IndirectCosts!$AU$7+IndirectCosts!$AY$7+IndirectCosts!$AZ$7))/(250*8*0.8)+D$26/100*IndirectCosts!$AT$7*ExchangeRate*0.5/(250*8*0.8)+D$24*IndirectCosts!$AV$7*IndirectCosts!$AW$7+D$23*IndirectCosts!$AX$7*12/(250*8*0.8))+IndirectCosts!$U$7*(INDEX(LOC[High-skilled],MATCH(D$18,LOC[Standort],0))*ExchangeRate+IndirectCosts!$AG$7+D$26/100*IndirectCosts!$AF$7*0.5/(250*8*0.8)+D$24*IndirectCosts!$AH$7+D$23*IndirectCosts!$AI$7*12/(250*8*0.8))+IndirectCosts!$V$7*(INDEX(LOC[High-skilled],MATCH(D$18,LOC[Standort],0))*ExchangeRate/10+INDEX(LOC[M2S],MATCH(D$18,LOC[Standort],0))*ExchangeRate+IndirectCosts!$AO$7+D$26/100*IndirectCosts!$AN$7*0.5/(250*16*0.8)+D$24*IndirectCosts!$AP$7+D$23*IndirectCosts!$AQ$7*12/(250*16*0.8)),0)</f>
        <v>20.765329166666668</v>
      </c>
      <c r="E43" s="154"/>
      <c r="F43" s="722"/>
    </row>
    <row r="44" spans="2:6" s="13" customFormat="1" hidden="1">
      <c r="B44" s="725" t="s">
        <v>1341</v>
      </c>
      <c r="C44" s="724"/>
      <c r="D44" s="652">
        <f>D$26%*IndirectCosts!$K$7/52+IndirectCosts!$K$7/52*12*0.26/1000</f>
        <v>5.747692307692307E-3</v>
      </c>
      <c r="E44" s="154"/>
      <c r="F44" s="722"/>
    </row>
    <row r="45" spans="2:6" s="13" customFormat="1" hidden="1">
      <c r="B45" s="725" t="s">
        <v>1342</v>
      </c>
      <c r="C45" s="724"/>
      <c r="D45" s="654">
        <f>IFERROR((IndirectCosts!$K$7/52*365*24)/IndirectCosts!$L$7*IndirectCosts!$R$7*(IndirectCosts!$AK$7+Premises!D$26%*IndirectCosts!$AJ$7*0.5/(365*24)+Premises!D$24*IndirectCosts!$AL$7+Premises!D$23*IndirectCosts!$AM$7*12/(365*24)),0)</f>
        <v>2.0715599999999999E-5</v>
      </c>
      <c r="E45" s="154"/>
      <c r="F45" s="722"/>
    </row>
    <row r="46" spans="2:6" s="13" customFormat="1" hidden="1">
      <c r="B46" s="725" t="s">
        <v>1343</v>
      </c>
      <c r="C46" s="724"/>
      <c r="D46" s="653">
        <f>IFERROR(IndirectCosts!$T$8*(INDEX(LOC[High-skilled],MATCH(D$18,LOC[Standort],0))*ExchangeRate+(IndirectCosts!$AT$7*ExchangeRate*(1/IndirectCosts!$AU$7+IndirectCosts!$AY$7+IndirectCosts!$AZ$7))/(250*8*0.8)+D$26/100*IndirectCosts!$AT$7*ExchangeRate*0.5/(250*8*0.8)+D$24*IndirectCosts!$AV$7*IndirectCosts!$AW$7+D$23*IndirectCosts!$AX$7*12/(250*8*0.8))+IndirectCosts!$U$8*(INDEX(LOC[High-skilled],MATCH(D$18,LOC[Standort],0))*ExchangeRate+IndirectCosts!$AG$8+D$26/100*IndirectCosts!$AF$8*0.5/(250*8*0.8)+D$24*IndirectCosts!$AH$8+D$23*IndirectCosts!$AI$8*12/(250*8*0.8))+IndirectCosts!$V$8*(INDEX(LOC[High-skilled],MATCH(D$18,LOC[Standort],0))*ExchangeRate/10+INDEX(LOC[M2S],MATCH(D$18,LOC[Standort],0))*ExchangeRate+IndirectCosts!$AO$8+D$26/100*IndirectCosts!$AN$8*0.5/(250*16*0.8)+D$24*IndirectCosts!$AP$8+D$23*IndirectCosts!$AQ$8*12/(250*16*0.8)),0)</f>
        <v>885.55895714285703</v>
      </c>
      <c r="E46" s="154"/>
      <c r="F46" s="722"/>
    </row>
    <row r="47" spans="2:6" s="13" customFormat="1" hidden="1">
      <c r="B47" s="725" t="s">
        <v>1344</v>
      </c>
      <c r="C47" s="724"/>
      <c r="D47" s="652">
        <f>D$26%*IndirectCosts!$K$8/52+IndirectCosts!$K$8/52*12*0.26/1000</f>
        <v>5.747692307692307E-3</v>
      </c>
      <c r="E47" s="154"/>
      <c r="F47" s="722"/>
    </row>
    <row r="48" spans="2:6" s="13" customFormat="1" hidden="1">
      <c r="B48" s="725" t="s">
        <v>1345</v>
      </c>
      <c r="C48" s="724"/>
      <c r="D48" s="654">
        <f>IFERROR((IndirectCosts!$K$8/52*365*24)/IndirectCosts!$L$8*IndirectCosts!$R$8*(IndirectCosts!$AK$8+Premises!D$26%*IndirectCosts!$AJ$8*0.5/(365*24)+Premises!D$24*IndirectCosts!$AL$8+Premises!D$23*IndirectCosts!$AM$8*12/(365*24)),0)</f>
        <v>4.5034410256410272E-2</v>
      </c>
      <c r="E48" s="154"/>
      <c r="F48" s="722"/>
    </row>
    <row r="49" spans="2:8" s="13" customFormat="1" hidden="1">
      <c r="B49" s="725" t="s">
        <v>1346</v>
      </c>
      <c r="C49" s="724"/>
      <c r="D49" s="653">
        <f>IFERROR(IndirectCosts!$T$9*(INDEX(LOC[High-skilled],MATCH(D$18,LOC[Standort],0))*ExchangeRate+(IndirectCosts!$AT$7*ExchangeRate*(1/IndirectCosts!$AU$7+IndirectCosts!$AY$7+IndirectCosts!$AZ$7))/(250*8*0.8)+D$26/100*IndirectCosts!$AT$7*ExchangeRate*0.5/(250*8*0.8)+D$24*IndirectCosts!$AV$7*IndirectCosts!$AW$7+D$23*IndirectCosts!$AX$7*12/(250*8*0.8))+IndirectCosts!$U$9*(INDEX(LOC[High-skilled],MATCH(D$18,LOC[Standort],0))*ExchangeRate+IndirectCosts!$AG$9+D$26/100*IndirectCosts!$AF$9*0.5/(250*8*0.8)+D$24*IndirectCosts!$AH$9+D$23*IndirectCosts!$AI$9*12/(250*8*0.8))+IndirectCosts!$V$9*(INDEX(LOC[High-skilled],MATCH(D$18,LOC[Standort],0))*ExchangeRate/10+INDEX(LOC[M2S],MATCH(D$18,LOC[Standort],0))*ExchangeRate+IndirectCosts!$AO$9+D$26/100*IndirectCosts!$AN$9*0.5/(250*16*0.8)+D$24*IndirectCosts!$AP$9+D$23*IndirectCosts!$AQ$9*12/(250*16*0.8)),0)</f>
        <v>2323.0985595238089</v>
      </c>
      <c r="E49" s="154"/>
      <c r="F49" s="722"/>
    </row>
    <row r="50" spans="2:8" s="13" customFormat="1" hidden="1">
      <c r="B50" s="725" t="s">
        <v>1347</v>
      </c>
      <c r="C50" s="724"/>
      <c r="D50" s="652">
        <f>D$26%*IndirectCosts!$K$9/52+IndirectCosts!$K$9/52*12*0.26/1000</f>
        <v>5.747692307692307E-3</v>
      </c>
      <c r="E50" s="154"/>
      <c r="F50" s="722"/>
    </row>
    <row r="51" spans="2:8" s="13" customFormat="1" hidden="1">
      <c r="B51" s="725" t="s">
        <v>1348</v>
      </c>
      <c r="C51" s="724"/>
      <c r="D51" s="654">
        <f>IFERROR((IndirectCosts!$K$9/52*365*24)/IndirectCosts!$L$9*IndirectCosts!$R$9*(IndirectCosts!$AK$9+Premises!D$26%*IndirectCosts!$AJ$9*0.5/(365*24)+Premises!D$24*IndirectCosts!$AL$9+Premises!D$23*IndirectCosts!$AM$9*12/(365*24)),0)</f>
        <v>2.0715600000000001E-2</v>
      </c>
      <c r="E51" s="154"/>
      <c r="F51" s="722"/>
    </row>
    <row r="52" spans="2:8" s="13" customFormat="1" hidden="1">
      <c r="B52" s="725" t="s">
        <v>136</v>
      </c>
      <c r="C52" s="724"/>
      <c r="D52" s="655">
        <f>((D30%+(1+D30%)*D42%)*(1+IF(INDEX(Settings[],MATCH(3001,Settings[ID],0),2)="B",D33%,D31%))+IF(INDEX(Settings[],MATCH(3001,Settings[ID],0),2)="B",D33%,D31%)+IF(INDEX(Settings[],MATCH(3002,Settings[ID],0),2)="B",D36%,D34%))*(1+D37%)+D37%</f>
        <v>0.19625000000000001</v>
      </c>
      <c r="E52" s="165"/>
      <c r="F52" s="722"/>
    </row>
    <row r="53" spans="2:8" s="13" customFormat="1" ht="4.5" hidden="1" customHeight="1">
      <c r="B53" s="161"/>
      <c r="C53" s="164"/>
      <c r="D53" s="159"/>
      <c r="E53" s="159"/>
      <c r="F53" s="159"/>
    </row>
    <row r="54" spans="2:8" s="13" customFormat="1" hidden="1">
      <c r="B54" s="721" t="s">
        <v>1526</v>
      </c>
      <c r="C54" s="724"/>
      <c r="D54" s="166"/>
      <c r="E54" s="727"/>
      <c r="F54" s="722"/>
    </row>
    <row r="55" spans="2:8" s="13" customFormat="1" hidden="1">
      <c r="B55" s="721" t="s">
        <v>1527</v>
      </c>
      <c r="C55" s="720" t="str">
        <f>Currency&amp;"/kWh"</f>
        <v>EUR/kWh</v>
      </c>
      <c r="D55" s="658"/>
      <c r="E55" s="867"/>
      <c r="F55" s="722"/>
      <c r="G55" s="167"/>
    </row>
    <row r="56" spans="2:8" s="13" customFormat="1" hidden="1">
      <c r="B56" s="721" t="s">
        <v>3340</v>
      </c>
      <c r="C56" s="724" t="s">
        <v>1415</v>
      </c>
      <c r="D56" s="726"/>
      <c r="E56" s="165"/>
      <c r="F56" s="722"/>
    </row>
    <row r="57" spans="2:8" s="13" customFormat="1" hidden="1">
      <c r="B57" s="721" t="s">
        <v>2081</v>
      </c>
      <c r="C57" s="724" t="s">
        <v>1415</v>
      </c>
      <c r="D57" s="726"/>
      <c r="E57" s="165"/>
      <c r="F57" s="722"/>
    </row>
    <row r="58" spans="2:8" s="13" customFormat="1" ht="2.25" hidden="1" customHeight="1">
      <c r="B58" s="161"/>
      <c r="C58" s="164"/>
      <c r="D58" s="168"/>
      <c r="E58" s="159"/>
      <c r="F58" s="159"/>
    </row>
    <row r="59" spans="2:8" s="13" customFormat="1" hidden="1">
      <c r="B59" s="721" t="s">
        <v>2079</v>
      </c>
      <c r="C59" s="724" t="s">
        <v>2093</v>
      </c>
      <c r="D59" s="659" cm="1">
        <f t="array" ref="D59">IFERROR(SUMPRODUCT((Calculation!$CA$11:$CA$189=D$10)*1,(Calculation!$CE$11:$CE$189&lt;&gt;0)*1,Calculation!$EL$11:$EL$189),0)</f>
        <v>0</v>
      </c>
      <c r="E59" s="165"/>
      <c r="F59" s="722"/>
      <c r="H59" s="169"/>
    </row>
    <row r="60" spans="2:8" s="13" customFormat="1" hidden="1">
      <c r="B60" s="721" t="s">
        <v>2080</v>
      </c>
      <c r="C60" s="724" t="s">
        <v>2093</v>
      </c>
      <c r="D60" s="659" cm="1">
        <f t="array" ref="D60">IFERROR(SUMPRODUCT((Calculation!$CA$11:$CA$189=D$10)*1,(Calculation!$CE$11:$CE$189&lt;&gt;0)*1,Calculation!$EQ$11:$EQ$189)*(INDEX(Settings[],MATCH(3010,Settings[ID],0),2)=1),0)</f>
        <v>0</v>
      </c>
      <c r="E60" s="165"/>
      <c r="F60" s="722"/>
    </row>
    <row r="61" spans="2:8" s="13" customFormat="1" hidden="1">
      <c r="B61" s="721" t="s">
        <v>2143</v>
      </c>
      <c r="C61" s="724" t="s">
        <v>2093</v>
      </c>
      <c r="D61" s="659" cm="1">
        <f t="array" ref="D61">IFERROR(SUMPRODUCT((Calculation!$CB$11:$CB$189=D$10)*1,Calculation!$EW$11:$EW$189)
+SUMPRODUCT((Calculation!$CC$11:$CC$189=D$10)*1,(Calculation!$CB$11:$CB$189=0)*1,Calculation!$EW$11:$EW$189),0)</f>
        <v>0</v>
      </c>
      <c r="E61" s="165"/>
      <c r="F61" s="722"/>
    </row>
    <row r="62" spans="2:8" s="13" customFormat="1" hidden="1">
      <c r="B62" s="719" t="s">
        <v>2144</v>
      </c>
      <c r="C62" s="724" t="s">
        <v>2093</v>
      </c>
      <c r="D62" s="660">
        <f>SUM(D$59:D$61)</f>
        <v>0</v>
      </c>
      <c r="E62" s="165"/>
      <c r="F62" s="722"/>
      <c r="H62" s="169"/>
    </row>
    <row r="63" spans="2:8" s="13" customFormat="1" ht="2.25" hidden="1" customHeight="1">
      <c r="B63" s="170"/>
      <c r="C63" s="164"/>
      <c r="D63" s="168"/>
      <c r="E63" s="159"/>
      <c r="F63" s="159"/>
    </row>
    <row r="64" spans="2:8" s="13" customFormat="1" hidden="1">
      <c r="B64" s="721" t="s">
        <v>2180</v>
      </c>
      <c r="C64" s="724" t="str">
        <f>Currency</f>
        <v>EUR</v>
      </c>
      <c r="D64" s="658">
        <f>IFERROR(D$62/1000/1000*INDEX(LOC[CO2-Steuer],E$18)*ExchangeRate*(INDEX(Settings[],MATCH(3012,Settings[ID],0),2)=1),0)</f>
        <v>0</v>
      </c>
      <c r="E64" s="165"/>
      <c r="F64" s="722"/>
      <c r="H64" s="169"/>
    </row>
    <row r="65" spans="2:8" s="13" customFormat="1" ht="4.5" hidden="1" customHeight="1">
      <c r="B65" s="170"/>
      <c r="C65" s="164"/>
      <c r="D65" s="159"/>
      <c r="E65" s="159"/>
      <c r="F65" s="159"/>
    </row>
    <row r="66" spans="2:8" s="13" customFormat="1" hidden="1">
      <c r="B66" s="721" t="s">
        <v>2139</v>
      </c>
      <c r="C66" s="724" t="s">
        <v>2142</v>
      </c>
      <c r="D66" s="171">
        <f t="shared" ref="D66:D71" si="3">E66</f>
        <v>31.440387000000001</v>
      </c>
      <c r="E66" s="699" cm="1">
        <f t="array" ref="E66">IF(E$18=0,0,INDEX(LOC[Lat],E$18))</f>
        <v>31.440387000000001</v>
      </c>
      <c r="F66" s="722"/>
    </row>
    <row r="67" spans="2:8" s="13" customFormat="1" hidden="1">
      <c r="B67" s="721" t="s">
        <v>2140</v>
      </c>
      <c r="C67" s="724" t="s">
        <v>2142</v>
      </c>
      <c r="D67" s="171">
        <f t="shared" si="3"/>
        <v>114.91974</v>
      </c>
      <c r="E67" s="699" cm="1">
        <f t="array" ref="E67">IF(E$18=0,0,INDEX(LOC[Long],E$18))</f>
        <v>114.91974</v>
      </c>
      <c r="F67" s="722"/>
    </row>
    <row r="68" spans="2:8" s="13" customFormat="1" hidden="1">
      <c r="B68" s="721" t="s">
        <v>2146</v>
      </c>
      <c r="C68" s="724" t="s">
        <v>2137</v>
      </c>
      <c r="D68" s="172">
        <f t="shared" si="3"/>
        <v>725</v>
      </c>
      <c r="E68" s="700" cm="1">
        <f t="array" ref="E68">IF(E$18=0,0,INDEX(LOC[Hafen],E$18))</f>
        <v>725</v>
      </c>
      <c r="F68" s="722"/>
    </row>
    <row r="69" spans="2:8" s="13" customFormat="1" hidden="1">
      <c r="B69" s="721" t="s">
        <v>2497</v>
      </c>
      <c r="C69" s="724" t="s">
        <v>2137</v>
      </c>
      <c r="D69" s="172">
        <f t="shared" si="3"/>
        <v>100</v>
      </c>
      <c r="E69" s="700">
        <v>100</v>
      </c>
      <c r="F69" s="722"/>
    </row>
    <row r="70" spans="2:8" s="13" customFormat="1" hidden="1">
      <c r="B70" s="721" t="s">
        <v>2498</v>
      </c>
      <c r="C70" s="724" t="s">
        <v>2137</v>
      </c>
      <c r="D70" s="172">
        <f t="shared" si="3"/>
        <v>25</v>
      </c>
      <c r="E70" s="700">
        <v>25</v>
      </c>
      <c r="F70" s="722"/>
    </row>
    <row r="71" spans="2:8" s="13" customFormat="1" hidden="1">
      <c r="B71" s="721" t="s">
        <v>2669</v>
      </c>
      <c r="C71" s="720" t="str">
        <f>Currency&amp;"/Liter"</f>
        <v>EUR/Liter</v>
      </c>
      <c r="D71" s="154">
        <f t="shared" si="3"/>
        <v>1.131</v>
      </c>
      <c r="E71" s="699" cm="1">
        <f t="array" ref="E71">IF(E$18=0,0,INDEX(LOC[Diesel],E$18))</f>
        <v>1.131</v>
      </c>
      <c r="F71" s="722"/>
    </row>
    <row r="72" spans="2:8" s="13" customFormat="1" ht="4.5" hidden="1" customHeight="1">
      <c r="B72" s="161"/>
      <c r="C72" s="164"/>
      <c r="D72" s="159"/>
      <c r="E72" s="159"/>
      <c r="F72" s="159"/>
    </row>
    <row r="73" spans="2:8" s="13" customFormat="1" hidden="1">
      <c r="B73" s="725" t="s">
        <v>3233</v>
      </c>
      <c r="C73" s="724" t="str">
        <f>Currency</f>
        <v>EUR</v>
      </c>
      <c r="D73" s="658"/>
      <c r="E73" s="165"/>
      <c r="F73" s="722"/>
      <c r="H73" s="169"/>
    </row>
    <row r="74" spans="2:8" s="13" customFormat="1" hidden="1">
      <c r="B74" s="725" t="s">
        <v>2249</v>
      </c>
      <c r="C74" s="724" t="str">
        <f>Currency</f>
        <v>EUR</v>
      </c>
      <c r="D74" s="658"/>
      <c r="E74" s="165"/>
      <c r="F74" s="722"/>
      <c r="H74" s="169"/>
    </row>
    <row r="75" spans="2:8" s="13" customFormat="1" hidden="1">
      <c r="B75" s="725" t="s">
        <v>2297</v>
      </c>
      <c r="C75" s="724" t="str">
        <f>Currency</f>
        <v>EUR</v>
      </c>
      <c r="D75" s="658"/>
      <c r="E75" s="165"/>
      <c r="F75" s="722"/>
      <c r="H75" s="169"/>
    </row>
    <row r="76" spans="2:8" s="13" customFormat="1" hidden="1">
      <c r="B76" s="1053" t="s">
        <v>2136</v>
      </c>
      <c r="C76" s="724" t="str">
        <f>Currency</f>
        <v>EUR</v>
      </c>
      <c r="D76" s="658"/>
      <c r="E76" s="165"/>
      <c r="F76" s="722"/>
      <c r="H76" s="169"/>
    </row>
    <row r="77" spans="2:8" s="13" customFormat="1" ht="4.5" customHeight="1">
      <c r="B77" s="170"/>
      <c r="C77" s="164"/>
      <c r="D77" s="159"/>
      <c r="E77" s="159"/>
      <c r="F77" s="159"/>
      <c r="H77" s="169"/>
    </row>
    <row r="78" spans="2:8" s="13" customFormat="1">
      <c r="B78" s="721" t="s">
        <v>547</v>
      </c>
      <c r="C78" s="724"/>
      <c r="D78" s="173" t="s">
        <v>49</v>
      </c>
      <c r="E78" s="154"/>
      <c r="F78" s="722"/>
      <c r="H78" s="169"/>
    </row>
    <row r="79" spans="2:8" s="13" customFormat="1">
      <c r="B79" s="721" t="s">
        <v>546</v>
      </c>
      <c r="C79" s="724" t="s">
        <v>93</v>
      </c>
      <c r="D79" s="661">
        <f>IFERROR((D$19*D$20*8*60*60/D$13)*D$15/100,0)</f>
        <v>518.4</v>
      </c>
      <c r="E79" s="154"/>
      <c r="F79" s="722"/>
      <c r="H79" s="169"/>
    </row>
  </sheetData>
  <mergeCells count="1">
    <mergeCell ref="B2:F2"/>
  </mergeCells>
  <dataValidations count="5">
    <dataValidation type="list" allowBlank="1" showInputMessage="1" sqref="D18" xr:uid="{00000000-0002-0000-0400-000000000000}">
      <formula1>LOC_Dropdown</formula1>
    </dataValidation>
    <dataValidation type="list" allowBlank="1" showInputMessage="1" showErrorMessage="1" sqref="D20" xr:uid="{00000000-0002-0000-0400-000001000000}">
      <formula1>"1,2,3"</formula1>
    </dataValidation>
    <dataValidation type="list" allowBlank="1" showInputMessage="1" showErrorMessage="1" sqref="D12" xr:uid="{00000000-0002-0000-0400-000002000000}">
      <formula1>"high innovative product, system supplier, build to print"</formula1>
    </dataValidation>
    <dataValidation type="list" allowBlank="1" showDropDown="1" showInputMessage="1" showErrorMessage="1" sqref="C4" xr:uid="{A310D98B-A7EA-45CC-A6E2-F529D850A93E}">
      <formula1>"EUR"</formula1>
    </dataValidation>
    <dataValidation type="list" allowBlank="1" showInputMessage="1" showErrorMessage="1" sqref="D54" xr:uid="{27355B11-1516-4AD9-A1C4-196D11BB21E5}">
      <formula1>CO2EnergyMix_Dropdown</formula1>
    </dataValidation>
  </dataValidations>
  <pageMargins left="0.39370078740157483" right="0.39370078740157483" top="0.98425196850393704" bottom="0.78740157480314965" header="0.51181102362204722" footer="0.51181102362204722"/>
  <pageSetup paperSize="9"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xr:uid="{CB9A3606-039C-43D6-902F-041B7DFF3295}">
          <x14:formula1>
            <xm:f>Translation!$E$3:$E$7</xm:f>
          </x14:formula1>
          <xm:sqref>D78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DBFD5-9C9B-4B28-9965-5522DC823487}">
  <sheetPr codeName="TabAnalysis"/>
  <dimension ref="B2:I37"/>
  <sheetViews>
    <sheetView showGridLines="0" showZeros="0" workbookViewId="0">
      <selection activeCell="B2" sqref="B2:AY2"/>
    </sheetView>
  </sheetViews>
  <sheetFormatPr baseColWidth="10" defaultColWidth="11.42578125" defaultRowHeight="12.75" outlineLevelCol="1"/>
  <cols>
    <col min="1" max="1" width="2.7109375" style="5" customWidth="1"/>
    <col min="2" max="2" width="28.7109375" style="5" hidden="1" customWidth="1" outlineLevel="1"/>
    <col min="3" max="3" width="10.7109375" style="5" hidden="1" customWidth="1" outlineLevel="1"/>
    <col min="4" max="4" width="2.7109375" style="5" hidden="1" customWidth="1" outlineLevel="1"/>
    <col min="5" max="5" width="28.7109375" style="5" bestFit="1" customWidth="1" collapsed="1"/>
    <col min="6" max="7" width="5.7109375" style="907" customWidth="1"/>
    <col min="8" max="9" width="10.7109375" style="5" customWidth="1"/>
    <col min="10" max="16384" width="11.42578125" style="5"/>
  </cols>
  <sheetData>
    <row r="2" spans="2:9">
      <c r="B2" s="296" t="s">
        <v>2448</v>
      </c>
      <c r="C2" s="879">
        <v>1</v>
      </c>
      <c r="E2" s="297" t="s">
        <v>1933</v>
      </c>
      <c r="F2" s="906" t="s">
        <v>2333</v>
      </c>
      <c r="G2" s="908" t="s">
        <v>130</v>
      </c>
      <c r="H2" s="298" t="s">
        <v>2502</v>
      </c>
      <c r="I2" s="295" t="s">
        <v>37</v>
      </c>
    </row>
    <row r="3" spans="2:9">
      <c r="B3" s="299" t="s">
        <v>3455</v>
      </c>
      <c r="C3" s="300" cm="1">
        <f t="array" ref="C3">SUMPRODUCT(IFERROR(Calculation!J$11:J$189*1,0)*(Calculation!$CK$11:$CK$189)*(Calculation!$CA$11:$CA$189=$C$2)*(Calculation!$CD$11:$CD$189&gt;0))</f>
        <v>0.67595454884142847</v>
      </c>
      <c r="E3" s="299" t="s">
        <v>3455</v>
      </c>
      <c r="F3" s="903">
        <v>0</v>
      </c>
      <c r="G3" s="903">
        <f>CostSplit1[[#This Row],[Basis]]+CostSplit1[[#This Row],[Wert]]</f>
        <v>0.67595454884142847</v>
      </c>
      <c r="H3" s="300">
        <f t="shared" ref="H3:H10" si="0">C3</f>
        <v>0.67595454884142847</v>
      </c>
      <c r="I3" s="295">
        <f>CostSplit1[[#This Row],[Wert]]</f>
        <v>0.67595454884142847</v>
      </c>
    </row>
    <row r="4" spans="2:9">
      <c r="B4" s="299" t="s">
        <v>1388</v>
      </c>
      <c r="C4" s="300" cm="1">
        <f t="array" ref="C4">SUMPRODUCT(IFERROR(Calculation!R$11:R$189*1,0)*(Calculation!$CK$11:$CK$189)*(Calculation!$CA$11:$CA$189=$C$2)*(Calculation!$CD$11:$CD$189&gt;0))</f>
        <v>0.29143641791383668</v>
      </c>
      <c r="E4" s="299" t="s">
        <v>1388</v>
      </c>
      <c r="F4" s="903">
        <f>H3</f>
        <v>0.67595454884142847</v>
      </c>
      <c r="G4" s="903">
        <f>CostSplit1[[#This Row],[Basis]]+CostSplit1[[#This Row],[Wert]]</f>
        <v>0.96739096675526515</v>
      </c>
      <c r="H4" s="300">
        <f t="shared" si="0"/>
        <v>0.29143641791383668</v>
      </c>
      <c r="I4" s="295">
        <f>CostSplit1[[#This Row],[Wert]]</f>
        <v>0.29143641791383668</v>
      </c>
    </row>
    <row r="5" spans="2:9">
      <c r="B5" s="299" t="s">
        <v>440</v>
      </c>
      <c r="C5" s="300" cm="1">
        <f t="array" ref="C5">SUMPRODUCT(IFERROR(Calculation!V$11:V$189*1,0)*(Calculation!$CK$11:$CK$189)*(Calculation!$CA$11:$CA$189=$C$2)*(Calculation!$CD$11:$CD$189&gt;0))</f>
        <v>0.36198279732140659</v>
      </c>
      <c r="E5" s="299" t="s">
        <v>440</v>
      </c>
      <c r="F5" s="903">
        <f>F4+H4</f>
        <v>0.96739096675526515</v>
      </c>
      <c r="G5" s="903">
        <f>CostSplit1[[#This Row],[Basis]]+CostSplit1[[#This Row],[Wert]]</f>
        <v>1.3293737640766716</v>
      </c>
      <c r="H5" s="300">
        <f t="shared" si="0"/>
        <v>0.36198279732140659</v>
      </c>
      <c r="I5" s="295">
        <f>CostSplit1[[#This Row],[Wert]]</f>
        <v>0.36198279732140659</v>
      </c>
    </row>
    <row r="6" spans="2:9">
      <c r="B6" s="299" t="s">
        <v>1389</v>
      </c>
      <c r="C6" s="300" cm="1">
        <f t="array" ref="C6">SUMPRODUCT(IFERROR(Calculation!AA$11:AA$189*1,0)*(Calculation!$CK$11:$CK$189)*(Calculation!$CA$11:$CA$189=$C$2)*(Calculation!$CD$11:$CD$189&gt;0))</f>
        <v>0</v>
      </c>
      <c r="E6" s="299" t="s">
        <v>1389</v>
      </c>
      <c r="F6" s="903">
        <f>F5+H5</f>
        <v>1.3293737640766716</v>
      </c>
      <c r="G6" s="903">
        <f>CostSplit1[[#This Row],[Basis]]+CostSplit1[[#This Row],[Wert]]</f>
        <v>1.3293737640766716</v>
      </c>
      <c r="H6" s="300">
        <f t="shared" si="0"/>
        <v>0</v>
      </c>
      <c r="I6" s="295">
        <f>CostSplit1[[#This Row],[Wert]]</f>
        <v>0</v>
      </c>
    </row>
    <row r="7" spans="2:9">
      <c r="B7" s="299" t="s">
        <v>1390</v>
      </c>
      <c r="C7" s="300" cm="1">
        <f t="array" ref="C7">SUMPRODUCT(IFERROR(Calculation!AF$11:AF$189*1,0)*(Calculation!$CK$11:$CK$189)*(Calculation!$CA$11:$CA$189=$C$2)*(Calculation!$CD$11:$CD$189&gt;0))</f>
        <v>0</v>
      </c>
      <c r="E7" s="299" t="s">
        <v>1390</v>
      </c>
      <c r="F7" s="903">
        <f>F6+H6</f>
        <v>1.3293737640766716</v>
      </c>
      <c r="G7" s="903">
        <f>CostSplit1[[#This Row],[Basis]]+CostSplit1[[#This Row],[Wert]]</f>
        <v>1.3293737640766716</v>
      </c>
      <c r="H7" s="300">
        <f t="shared" si="0"/>
        <v>0</v>
      </c>
      <c r="I7" s="295">
        <f>CostSplit1[[#This Row],[Wert]]</f>
        <v>0</v>
      </c>
    </row>
    <row r="8" spans="2:9">
      <c r="B8" s="301" t="s">
        <v>1397</v>
      </c>
      <c r="C8" s="300" cm="1">
        <f t="array" ref="C8">SUMPRODUCT(IFERROR(Calculation!AL$11:AL$189*1,0)*(Calculation!$CK$11:$CK$189)*(Calculation!$CA$11:$CA$189=$C$2)*(Calculation!$CD$11:$CD$189&gt;0))</f>
        <v>1.0379373461628363E-2</v>
      </c>
      <c r="E8" s="299" t="s">
        <v>1397</v>
      </c>
      <c r="F8" s="903">
        <f>F7+H7</f>
        <v>1.3293737640766716</v>
      </c>
      <c r="G8" s="903">
        <f>CostSplit1[[#This Row],[Basis]]+CostSplit1[[#This Row],[Wert]]</f>
        <v>1.3397531375383001</v>
      </c>
      <c r="H8" s="300">
        <f t="shared" si="0"/>
        <v>1.0379373461628363E-2</v>
      </c>
      <c r="I8" s="295">
        <f>CostSplit1[[#This Row],[Wert]]</f>
        <v>1.0379373461628363E-2</v>
      </c>
    </row>
    <row r="9" spans="2:9">
      <c r="B9" s="299" t="s">
        <v>1391</v>
      </c>
      <c r="C9" s="300" cm="1">
        <f t="array" ref="C9">SUMPRODUCT(IFERROR(Calculation!AO$11:AO$189*1,0)*(Calculation!$CK$11:$CK$189)*(Calculation!$CA$11:$CA$189=$C$2)*(Calculation!$CD$11:$CD$189&gt;0))</f>
        <v>0.15961855675160952</v>
      </c>
      <c r="E9" s="299" t="s">
        <v>1391</v>
      </c>
      <c r="F9" s="903">
        <f>F8+H8</f>
        <v>1.3397531375383001</v>
      </c>
      <c r="G9" s="903">
        <f>CostSplit1[[#This Row],[Basis]]+CostSplit1[[#This Row],[Wert]]</f>
        <v>1.4993716942899096</v>
      </c>
      <c r="H9" s="300">
        <f t="shared" si="0"/>
        <v>0.15961855675160952</v>
      </c>
      <c r="I9" s="295">
        <f>CostSplit1[[#This Row],[Wert]]</f>
        <v>0.15961855675160952</v>
      </c>
    </row>
    <row r="10" spans="2:9">
      <c r="B10" s="302" t="s">
        <v>1398</v>
      </c>
      <c r="C10" s="303" cm="1">
        <f t="array" ref="C10">SUMPRODUCT(IFERROR(Calculation!AP$11:AP$189*1,0)*(Calculation!$CK$11:$CK$189)*(Calculation!$CA$11:$CA$189=$C$2)*(Calculation!$CD$11:$CD$189&gt;0))</f>
        <v>1.4993716942899109</v>
      </c>
      <c r="E10" s="302" t="s">
        <v>1398</v>
      </c>
      <c r="F10" s="903">
        <v>0</v>
      </c>
      <c r="G10" s="903">
        <f>CostSplit1[[#This Row],[Basis]]+CostSplit1[[#This Row],[Wert]]</f>
        <v>1.4993716942899109</v>
      </c>
      <c r="H10" s="303">
        <f t="shared" si="0"/>
        <v>1.4993716942899109</v>
      </c>
      <c r="I10" s="295">
        <f>CostSplit1[[#This Row],[Wert]]</f>
        <v>1.4993716942899109</v>
      </c>
    </row>
    <row r="11" spans="2:9">
      <c r="B11" s="299" t="s">
        <v>1392</v>
      </c>
      <c r="C11" s="300" cm="1">
        <f t="array" ref="C11">SUMPRODUCT(IFERROR(Calculation!AU$11:AU$189*1,0)*(Calculation!$CK$11:$CK$189)*(Calculation!$CA$11:$CA$189=$C$2)*(Calculation!$CD$11:$CD$189&gt;0))</f>
        <v>18.121024413130588</v>
      </c>
      <c r="E11" s="299" t="s">
        <v>1392</v>
      </c>
      <c r="F11" s="903">
        <f>H10</f>
        <v>1.4993716942899109</v>
      </c>
      <c r="G11" s="903">
        <f>CostSplit1[[#This Row],[Basis]]+CostSplit1[[#This Row],[Wert]]</f>
        <v>19.620396107420497</v>
      </c>
      <c r="H11" s="300">
        <f>$C$11+$C$12</f>
        <v>18.121024413130588</v>
      </c>
      <c r="I11" s="295">
        <f>CostSplit1[[#This Row],[Wert]]</f>
        <v>18.121024413130588</v>
      </c>
    </row>
    <row r="12" spans="2:9">
      <c r="B12" s="299" t="s">
        <v>1394</v>
      </c>
      <c r="C12" s="300" cm="1">
        <f t="array" ref="C12">SUMPRODUCT(Calculation!$BT$11:$BT$189*(Calculation!$CB$11:$CB$189=$C$2)*(Calculation!$CD$11:$CD$189&gt;0))
+SUMPRODUCT(Calculation!$DP$11:$DU$189*(Calculation!$CC$11:$CC$189=$C$2)*(Calculation!$CD$11:$CD$189&gt;0))</f>
        <v>0</v>
      </c>
      <c r="E12" s="299" t="s">
        <v>1393</v>
      </c>
      <c r="F12" s="903">
        <f>F11+H11</f>
        <v>19.620396107420497</v>
      </c>
      <c r="G12" s="903">
        <f>CostSplit1[[#This Row],[Basis]]+CostSplit1[[#This Row],[Wert]]</f>
        <v>19.801621680207802</v>
      </c>
      <c r="H12" s="300">
        <f>C13</f>
        <v>0.18122557278730586</v>
      </c>
      <c r="I12" s="295">
        <f>CostSplit1[[#This Row],[Wert]]</f>
        <v>0.18122557278730586</v>
      </c>
    </row>
    <row r="13" spans="2:9">
      <c r="B13" s="299" t="s">
        <v>1393</v>
      </c>
      <c r="C13" s="300" cm="1">
        <f t="array" ref="C13">SUMPRODUCT(Calculation!DE$11:DE$189*(Calculation!$CA$11:$CA$189=$C$2)*(Calculation!$CD$11:$CD$189&gt;0))
+C12*(INDEX(Premises!$A$30:$V$30,1,MATCH($C$2,Premises!$A$10:$V$10))/100)</f>
        <v>0.18122557278730586</v>
      </c>
      <c r="E13" s="299" t="s">
        <v>1399</v>
      </c>
      <c r="F13" s="903">
        <f>F12+H12</f>
        <v>19.801621680207802</v>
      </c>
      <c r="G13" s="903">
        <f>CostSplit1[[#This Row],[Basis]]+CostSplit1[[#This Row],[Wert]]</f>
        <v>19.987372150045022</v>
      </c>
      <c r="H13" s="300">
        <f>C14</f>
        <v>0.18575046983722143</v>
      </c>
      <c r="I13" s="295">
        <f>CostSplit1[[#This Row],[Wert]]</f>
        <v>0.18575046983722143</v>
      </c>
    </row>
    <row r="14" spans="2:9">
      <c r="B14" s="299" t="s">
        <v>1399</v>
      </c>
      <c r="C14" s="300" cm="1">
        <f t="array" ref="C14">SUMPRODUCT(Calculation!DF$11:DF$189*(Calculation!$CA$11:$CA$189=$C$2)*(Calculation!$CD$11:$CD$189&gt;0))
+SUMPRODUCT(Calculation!DR$11:DR$189*(Calculation!$CB$11:$CB$189=$C$2)*(Calculation!$CD$11:$CD$189&gt;0))
+SUMPRODUCT(Calculation!DX$11:DX$189*(Calculation!$CC$11:$CC$189=$C$2)*(Calculation!$CD$11:$CD$189&gt;0))</f>
        <v>0.18575046983722143</v>
      </c>
      <c r="E14" s="302" t="s">
        <v>496</v>
      </c>
      <c r="F14" s="903">
        <f>+H10</f>
        <v>1.4993716942899109</v>
      </c>
      <c r="G14" s="903">
        <f>CostSplit1[[#This Row],[Basis]]+CostSplit1[[#This Row],[Wert]]</f>
        <v>19.987372150045026</v>
      </c>
      <c r="H14" s="300">
        <f>C15</f>
        <v>18.488000455755113</v>
      </c>
      <c r="I14" s="295">
        <f>CostSplit1[[#This Row],[Wert]]</f>
        <v>18.488000455755113</v>
      </c>
    </row>
    <row r="15" spans="2:9">
      <c r="B15" s="302" t="s">
        <v>496</v>
      </c>
      <c r="C15" s="303">
        <f>SUM(C11:C14)</f>
        <v>18.488000455755113</v>
      </c>
      <c r="E15" s="304" t="s">
        <v>489</v>
      </c>
      <c r="F15" s="903">
        <v>0</v>
      </c>
      <c r="G15" s="903">
        <f>CostSplit1[[#This Row],[Basis]]+CostSplit1[[#This Row],[Wert]]</f>
        <v>19.987372150045026</v>
      </c>
      <c r="H15" s="303">
        <f>C16</f>
        <v>19.987372150045026</v>
      </c>
      <c r="I15" s="295">
        <f>CostSplit1[[#This Row],[Wert]]</f>
        <v>19.987372150045026</v>
      </c>
    </row>
    <row r="16" spans="2:9">
      <c r="B16" s="304" t="s">
        <v>489</v>
      </c>
      <c r="C16" s="303">
        <f>C10+C15</f>
        <v>19.987372150045026</v>
      </c>
      <c r="E16" s="305" t="s">
        <v>210</v>
      </c>
      <c r="F16" s="903">
        <f>H15</f>
        <v>19.987372150045026</v>
      </c>
      <c r="G16" s="903">
        <f>CostSplit1[[#This Row],[Basis]]+CostSplit1[[#This Row],[Wert]]</f>
        <v>22.484687855317951</v>
      </c>
      <c r="H16" s="300">
        <f>SUM($C$17:$C$19)</f>
        <v>2.4973157052729236</v>
      </c>
      <c r="I16" s="295">
        <f>CostSplit1[[#This Row],[Wert]]</f>
        <v>2.4973157052729236</v>
      </c>
    </row>
    <row r="17" spans="2:9">
      <c r="B17" s="306" t="s">
        <v>498</v>
      </c>
      <c r="C17" s="300" cm="1">
        <f t="array" ref="C17">SUMPRODUCT(Calculation!DI$11:DI$189*(Calculation!$CA$11:$CA$189=$C$2)*(Calculation!$CD$11:$CD$189&gt;0))</f>
        <v>0</v>
      </c>
      <c r="E17" s="305" t="s">
        <v>209</v>
      </c>
      <c r="F17" s="903">
        <f>F16+H16</f>
        <v>22.484687855317951</v>
      </c>
      <c r="G17" s="903">
        <f>CostSplit1[[#This Row],[Basis]]+CostSplit1[[#This Row],[Wert]]</f>
        <v>23.661380831291481</v>
      </c>
      <c r="H17" s="300">
        <f>SUM($C$20:$C$22)</f>
        <v>1.1766929759735318</v>
      </c>
      <c r="I17" s="295">
        <f>CostSplit1[[#This Row],[Wert]]</f>
        <v>1.1766929759735318</v>
      </c>
    </row>
    <row r="18" spans="2:9">
      <c r="B18" s="306" t="s">
        <v>545</v>
      </c>
      <c r="C18" s="300" cm="1">
        <f t="array" ref="C18">IF(INDEX(Settings[],MATCH(3001,Settings[ID],0),2)&lt;&gt;"B",0,
SUMPRODUCT(Calculation!DJ$11:DJ$189*(Calculation!$CA$11:$CA$189=$C$2)*(Calculation!$CD$11:$CD$189&gt;0))
+SUMPRODUCT(Calculation!DS$11:DS$189*(Calculation!$CB$11:$CB$189=$C$2)*(Calculation!$CD$11:$CD$189&gt;0))
+SUMPRODUCT(Calculation!DY$11:DY$189*(Calculation!$CC$11:$CC$189=$C$2)*(Calculation!$CD$11:$CD$189&gt;0)))</f>
        <v>0</v>
      </c>
      <c r="E18" s="305" t="s">
        <v>667</v>
      </c>
      <c r="F18" s="903">
        <f>F17+H17</f>
        <v>23.661380831291481</v>
      </c>
      <c r="G18" s="903">
        <f>CostSplit1[[#This Row],[Basis]]+CostSplit1[[#This Row],[Wert]]</f>
        <v>23.661380831291481</v>
      </c>
      <c r="H18" s="300">
        <f>$C$23</f>
        <v>0</v>
      </c>
      <c r="I18" s="295">
        <f>CostSplit1[[#This Row],[Wert]]</f>
        <v>0</v>
      </c>
    </row>
    <row r="19" spans="2:9">
      <c r="B19" s="306" t="s">
        <v>210</v>
      </c>
      <c r="C19" s="300" cm="1">
        <f t="array" ref="C19">IF(INDEX(Settings[],MATCH(3001,Settings[ID],0),2)="B",0,
SUMPRODUCT(Calculation!DK$11:DK$189*(Calculation!$CA$11:$CA$189=$C$2)*(Calculation!$CD$11:$CD$189&gt;0))
+SUMPRODUCT(Calculation!DS$11:DS$189*(Calculation!$CB$11:$CB$189=$C$2)*(Calculation!$CD$11:$CD$189&gt;0))
+SUMPRODUCT(Calculation!DY$11:DY$189*(Calculation!$CC$11:$CC$189=$C$2)*(Calculation!$CD$11:$CD$189&gt;0)))</f>
        <v>2.4973157052729236</v>
      </c>
      <c r="E19" s="307" t="s">
        <v>157</v>
      </c>
      <c r="F19" s="903">
        <v>0</v>
      </c>
      <c r="G19" s="903">
        <f>CostSplit1[[#This Row],[Basis]]+CostSplit1[[#This Row],[Wert]]</f>
        <v>23.661380831291481</v>
      </c>
      <c r="H19" s="303">
        <f>SUM(H15:H18)</f>
        <v>23.661380831291481</v>
      </c>
      <c r="I19" s="295">
        <f>CostSplit1[[#This Row],[Wert]]</f>
        <v>23.661380831291481</v>
      </c>
    </row>
    <row r="20" spans="2:9">
      <c r="B20" s="306" t="s">
        <v>503</v>
      </c>
      <c r="C20" s="300" cm="1">
        <f t="array" ref="C20">SUMPRODUCT(Calculation!DL$11:DL$189*(Calculation!$CA$11:$CA$189=$C$2)*(Calculation!$CD$11:$CD$189&gt;0))</f>
        <v>0</v>
      </c>
    </row>
    <row r="21" spans="2:9">
      <c r="B21" s="306" t="s">
        <v>506</v>
      </c>
      <c r="C21" s="300" cm="1">
        <f t="array" ref="C21">IF(INDEX(Settings[],MATCH(3002,Settings[ID],0),2)&lt;&gt;"B",0,
SUMPRODUCT(Calculation!DM$11:DM$189*(Calculation!$CA$11:$CA$189=$C$2)*(Calculation!$CD$11:$CD$189&gt;0))
+C$12*(INDEX(Premises!$A$36:$V$36,1,MATCH($C$2,Premises!$A$10:$V$10))/100))</f>
        <v>0</v>
      </c>
      <c r="E21" s="297" t="s">
        <v>1934</v>
      </c>
      <c r="F21" s="906" t="s">
        <v>2333</v>
      </c>
      <c r="G21" s="908" t="s">
        <v>130</v>
      </c>
      <c r="H21" s="298" t="s">
        <v>2502</v>
      </c>
      <c r="I21" s="5" t="s">
        <v>37</v>
      </c>
    </row>
    <row r="22" spans="2:9">
      <c r="B22" s="306" t="s">
        <v>209</v>
      </c>
      <c r="C22" s="300" cm="1">
        <f t="array" ref="C22">IF(INDEX(Settings[],MATCH(3002,Settings[ID],0),2)="B",0,
SUMPRODUCT(Calculation!DN$11:DN$189*(Calculation!$CA$11:$CA$189=$C$2)*(Calculation!$CD$11:$CD$189&gt;0))
+C$12*(INDEX(Premises!$A$34:$V$34,1,MATCH($C$2,Premises!$A$10:$V$10))/100))</f>
        <v>1.1766929759735318</v>
      </c>
      <c r="E22" s="308" t="s">
        <v>3456</v>
      </c>
      <c r="F22" s="904">
        <v>0</v>
      </c>
      <c r="G22" s="904"/>
      <c r="H22" s="300">
        <f>IFERROR(C3+C4+C6+C7+C8+C9/(C3+C4+C5+C8)*(C3+C4+C8),0)</f>
        <v>1.0942621670818924</v>
      </c>
      <c r="I22" s="295">
        <f>CostSplit2[[#This Row],[Wert]]</f>
        <v>1.0942621670818924</v>
      </c>
    </row>
    <row r="23" spans="2:9">
      <c r="B23" s="305" t="s">
        <v>667</v>
      </c>
      <c r="C23" s="300" cm="1">
        <f t="array" ref="C23">SUMPRODUCT(Calculation!DO$11:DO$189*(Calculation!$CA$11:$CA$189=$C$2)*(Calculation!$CD$11:$CD$189&gt;0))
+SUMPRODUCT(Calculation!DU$11:DU$189*(Calculation!$CB$11:$CB$189=$C$2)*(Calculation!$CD$11:$CD$189&gt;0))
+SUMPRODUCT(Calculation!EA$11:EA$189*(Calculation!$CC$11:$CC$189=$C$2)*(Calculation!$CD$11:$CD$189&gt;0))</f>
        <v>0</v>
      </c>
      <c r="E23" s="308" t="s">
        <v>440</v>
      </c>
      <c r="F23" s="904">
        <f>H22</f>
        <v>1.0942621670818924</v>
      </c>
      <c r="G23" s="904"/>
      <c r="H23" s="300">
        <f>IFERROR(C5+(C9/(C3+C4+C5+C8))*C5,0)</f>
        <v>0.40510952720801718</v>
      </c>
      <c r="I23" s="295">
        <f>CostSplit2[[#This Row],[Wert]]</f>
        <v>0.40510952720801718</v>
      </c>
    </row>
    <row r="24" spans="2:9">
      <c r="B24" s="307" t="s">
        <v>157</v>
      </c>
      <c r="C24" s="303">
        <f>SUM($C$16:C23)</f>
        <v>23.661380831291481</v>
      </c>
      <c r="E24" s="308" t="s">
        <v>1536</v>
      </c>
      <c r="F24" s="904">
        <f>F23+H23</f>
        <v>1.4993716942899096</v>
      </c>
      <c r="G24" s="904"/>
      <c r="H24" s="300">
        <f>C15</f>
        <v>18.488000455755113</v>
      </c>
      <c r="I24" s="295">
        <f>CostSplit2[[#This Row],[Wert]]</f>
        <v>18.488000455755113</v>
      </c>
    </row>
    <row r="25" spans="2:9">
      <c r="E25" s="304" t="s">
        <v>489</v>
      </c>
      <c r="F25" s="905">
        <v>0</v>
      </c>
      <c r="G25" s="905"/>
      <c r="H25" s="303">
        <f>SUM(H22:H24)</f>
        <v>19.987372150045022</v>
      </c>
      <c r="I25" s="295">
        <f>CostSplit2[[#This Row],[Wert]]</f>
        <v>19.987372150045022</v>
      </c>
    </row>
    <row r="26" spans="2:9">
      <c r="E26" s="305" t="s">
        <v>210</v>
      </c>
      <c r="F26" s="904">
        <f>H25</f>
        <v>19.987372150045022</v>
      </c>
      <c r="G26" s="904"/>
      <c r="H26" s="300">
        <f>SUM($C$17:$C$19)</f>
        <v>2.4973157052729236</v>
      </c>
      <c r="I26" s="295">
        <f>CostSplit2[[#This Row],[Wert]]</f>
        <v>2.4973157052729236</v>
      </c>
    </row>
    <row r="27" spans="2:9">
      <c r="E27" s="305" t="s">
        <v>209</v>
      </c>
      <c r="F27" s="904">
        <f>F26+H26</f>
        <v>22.484687855317947</v>
      </c>
      <c r="G27" s="904"/>
      <c r="H27" s="300">
        <f>SUM($C$20:$C$22)</f>
        <v>1.1766929759735318</v>
      </c>
      <c r="I27" s="295">
        <f>CostSplit2[[#This Row],[Wert]]</f>
        <v>1.1766929759735318</v>
      </c>
    </row>
    <row r="28" spans="2:9">
      <c r="C28" s="295"/>
      <c r="E28" s="305" t="s">
        <v>667</v>
      </c>
      <c r="F28" s="904">
        <f>F27+H27</f>
        <v>23.661380831291478</v>
      </c>
      <c r="G28" s="904"/>
      <c r="H28" s="300">
        <f>$C$23</f>
        <v>0</v>
      </c>
      <c r="I28" s="295">
        <f>CostSplit2[[#This Row],[Wert]]</f>
        <v>0</v>
      </c>
    </row>
    <row r="29" spans="2:9">
      <c r="E29" s="307" t="s">
        <v>157</v>
      </c>
      <c r="F29" s="905">
        <v>0</v>
      </c>
      <c r="G29" s="905"/>
      <c r="H29" s="303">
        <f>SUM(H25:H28)</f>
        <v>23.661380831291478</v>
      </c>
      <c r="I29" s="295">
        <f>CostSplit2[[#This Row],[Wert]]</f>
        <v>23.661380831291478</v>
      </c>
    </row>
    <row r="31" spans="2:9">
      <c r="E31" s="297" t="s">
        <v>1935</v>
      </c>
      <c r="F31" s="906" t="s">
        <v>2333</v>
      </c>
      <c r="G31" s="908" t="s">
        <v>130</v>
      </c>
      <c r="H31" s="298" t="s">
        <v>2502</v>
      </c>
      <c r="I31" s="5" t="s">
        <v>37</v>
      </c>
    </row>
    <row r="32" spans="2:9">
      <c r="E32" s="305" t="s">
        <v>1374</v>
      </c>
      <c r="F32" s="904">
        <v>0</v>
      </c>
      <c r="G32" s="904"/>
      <c r="H32" s="300"/>
      <c r="I32" s="295">
        <f>CostSplit3[[#This Row],[Wert]]</f>
        <v>0</v>
      </c>
    </row>
    <row r="33" spans="5:9">
      <c r="E33" s="305" t="s">
        <v>1375</v>
      </c>
      <c r="F33" s="904">
        <f>H32</f>
        <v>0</v>
      </c>
      <c r="G33" s="904"/>
      <c r="H33" s="300"/>
      <c r="I33" s="295">
        <f>CostSplit3[[#This Row],[Wert]]</f>
        <v>0</v>
      </c>
    </row>
    <row r="34" spans="5:9">
      <c r="E34" s="305" t="s">
        <v>1376</v>
      </c>
      <c r="F34" s="904">
        <f>F33+H33</f>
        <v>0</v>
      </c>
      <c r="G34" s="904"/>
      <c r="H34" s="300"/>
      <c r="I34" s="295">
        <f>CostSplit3[[#This Row],[Wert]]</f>
        <v>0</v>
      </c>
    </row>
    <row r="35" spans="5:9">
      <c r="E35" s="305" t="s">
        <v>675</v>
      </c>
      <c r="F35" s="904">
        <f>F34+H34</f>
        <v>0</v>
      </c>
      <c r="G35" s="904"/>
      <c r="H35" s="300">
        <f>SUM($C$17:$C$22)</f>
        <v>3.6740086812464554</v>
      </c>
      <c r="I35" s="295">
        <f>CostSplit3[[#This Row],[Wert]]</f>
        <v>3.6740086812464554</v>
      </c>
    </row>
    <row r="36" spans="5:9">
      <c r="E36" s="305" t="s">
        <v>667</v>
      </c>
      <c r="F36" s="904">
        <f>F35+H35</f>
        <v>3.6740086812464554</v>
      </c>
      <c r="G36" s="904"/>
      <c r="H36" s="300">
        <f>$C$23</f>
        <v>0</v>
      </c>
      <c r="I36" s="295">
        <f>CostSplit3[[#This Row],[Wert]]</f>
        <v>0</v>
      </c>
    </row>
    <row r="37" spans="5:9">
      <c r="E37" s="304" t="s">
        <v>157</v>
      </c>
      <c r="F37" s="904">
        <v>0</v>
      </c>
      <c r="G37" s="904"/>
      <c r="H37" s="303">
        <f>SUM(H32:H36)</f>
        <v>3.6740086812464554</v>
      </c>
      <c r="I37" s="295">
        <f>CostSplit3[[#This Row],[Wert]]</f>
        <v>3.6740086812464554</v>
      </c>
    </row>
  </sheetData>
  <phoneticPr fontId="39" type="noConversion"/>
  <conditionalFormatting sqref="I22:I29">
    <cfRule type="dataBar" priority="5">
      <dataBar showValue="0">
        <cfvo type="min"/>
        <cfvo type="max"/>
        <color theme="8"/>
      </dataBar>
      <extLst>
        <ext xmlns:x14="http://schemas.microsoft.com/office/spreadsheetml/2009/9/main" uri="{B025F937-C7B1-47D3-B67F-A62EFF666E3E}">
          <x14:id>{F8E78071-E001-41D6-8103-1F815E9A42E0}</x14:id>
        </ext>
      </extLst>
    </cfRule>
  </conditionalFormatting>
  <conditionalFormatting sqref="I32:I37">
    <cfRule type="dataBar" priority="2">
      <dataBar showValue="0">
        <cfvo type="min"/>
        <cfvo type="max"/>
        <color theme="8"/>
      </dataBar>
      <extLst>
        <ext xmlns:x14="http://schemas.microsoft.com/office/spreadsheetml/2009/9/main" uri="{B025F937-C7B1-47D3-B67F-A62EFF666E3E}">
          <x14:id>{797AF8C2-2259-4B35-BDDD-3D7E28F58BF6}</x14:id>
        </ext>
      </extLst>
    </cfRule>
  </conditionalFormatting>
  <conditionalFormatting sqref="I3:I19">
    <cfRule type="dataBar" priority="1666">
      <dataBar showValue="0">
        <cfvo type="min"/>
        <cfvo type="max"/>
        <color theme="8"/>
      </dataBar>
      <extLst>
        <ext xmlns:x14="http://schemas.microsoft.com/office/spreadsheetml/2009/9/main" uri="{B025F937-C7B1-47D3-B67F-A62EFF666E3E}">
          <x14:id>{F31BA9CA-0EBC-409A-BCC9-9D3A402B3F5A}</x14:id>
        </ext>
      </extLst>
    </cfRule>
  </conditionalFormatting>
  <conditionalFormatting sqref="I2">
    <cfRule type="dataBar" priority="1667">
      <dataBar showValue="0">
        <cfvo type="min"/>
        <cfvo type="max"/>
        <color theme="8"/>
      </dataBar>
      <extLst>
        <ext xmlns:x14="http://schemas.microsoft.com/office/spreadsheetml/2009/9/main" uri="{B025F937-C7B1-47D3-B67F-A62EFF666E3E}">
          <x14:id>{C3399D7A-1868-494D-91C1-9308F037A5F6}</x14:id>
        </ext>
      </extLst>
    </cfRule>
  </conditionalFormatting>
  <dataValidations count="1">
    <dataValidation type="list" allowBlank="1" showInputMessage="1" showErrorMessage="1" sqref="C2" xr:uid="{94DB1190-0121-483B-A538-54C0E20C5A80}">
      <formula1>Premises_Dropdown</formula1>
    </dataValidation>
  </dataValidations>
  <pageMargins left="0.7" right="0.7" top="0.78740157499999996" bottom="0.78740157499999996" header="0.3" footer="0.3"/>
  <drawing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F8E78071-E001-41D6-8103-1F815E9A42E0}">
            <x14:dataBar minLength="0" maxLength="100" gradient="0">
              <x14:cfvo type="autoMin"/>
              <x14:cfvo type="autoMax"/>
              <x14:negativeFillColor rgb="FFFF0000"/>
              <x14:axisColor rgb="FF000000"/>
            </x14:dataBar>
          </x14:cfRule>
          <xm:sqref>I22:I29</xm:sqref>
        </x14:conditionalFormatting>
        <x14:conditionalFormatting xmlns:xm="http://schemas.microsoft.com/office/excel/2006/main">
          <x14:cfRule type="dataBar" id="{797AF8C2-2259-4B35-BDDD-3D7E28F58BF6}">
            <x14:dataBar minLength="0" maxLength="100" gradient="0">
              <x14:cfvo type="autoMin"/>
              <x14:cfvo type="autoMax"/>
              <x14:negativeFillColor rgb="FFFF0000"/>
              <x14:axisColor rgb="FF000000"/>
            </x14:dataBar>
          </x14:cfRule>
          <xm:sqref>I32:I37</xm:sqref>
        </x14:conditionalFormatting>
        <x14:conditionalFormatting xmlns:xm="http://schemas.microsoft.com/office/excel/2006/main">
          <x14:cfRule type="dataBar" id="{F31BA9CA-0EBC-409A-BCC9-9D3A402B3F5A}">
            <x14:dataBar minLength="0" maxLength="100" gradient="0">
              <x14:cfvo type="autoMin"/>
              <x14:cfvo type="autoMax"/>
              <x14:negativeFillColor rgb="FFFF0000"/>
              <x14:axisColor rgb="FF000000"/>
            </x14:dataBar>
          </x14:cfRule>
          <xm:sqref>I3:I19</xm:sqref>
        </x14:conditionalFormatting>
        <x14:conditionalFormatting xmlns:xm="http://schemas.microsoft.com/office/excel/2006/main">
          <x14:cfRule type="dataBar" id="{C3399D7A-1868-494D-91C1-9308F037A5F6}">
            <x14:dataBar minLength="0" maxLength="100" gradient="0">
              <x14:cfvo type="autoMin"/>
              <x14:cfvo type="autoMax"/>
              <x14:negativeFillColor rgb="FFFF0000"/>
              <x14:axisColor rgb="FF000000"/>
            </x14:dataBar>
          </x14:cfRule>
          <xm:sqref>I2</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6BCFD-2500-44C5-9F23-742DC6F3B3A5}">
  <sheetPr codeName="TabCluster">
    <outlinePr summaryBelow="0"/>
  </sheetPr>
  <dimension ref="A1:AL32"/>
  <sheetViews>
    <sheetView showGridLines="0" showZeros="0" zoomScaleNormal="100" workbookViewId="0">
      <pane ySplit="6" topLeftCell="A7" activePane="bottomLeft" state="frozen"/>
      <selection activeCell="B2" sqref="B2:AY2"/>
      <selection pane="bottomLeft" activeCell="B2" sqref="B2:AY2"/>
    </sheetView>
  </sheetViews>
  <sheetFormatPr baseColWidth="10" defaultColWidth="11.42578125" defaultRowHeight="12.75" outlineLevelCol="1"/>
  <cols>
    <col min="1" max="1" width="2.7109375" style="5" customWidth="1"/>
    <col min="2" max="2" width="30.7109375" style="326" customWidth="1"/>
    <col min="3" max="10" width="6.7109375" style="312" customWidth="1"/>
    <col min="11" max="12" width="6.7109375" style="312" hidden="1" customWidth="1" outlineLevel="1"/>
    <col min="13" max="13" width="6.7109375" style="312" customWidth="1" collapsed="1"/>
    <col min="14" max="17" width="6.7109375" style="312" customWidth="1"/>
    <col min="18" max="18" width="6.7109375" style="312" hidden="1" customWidth="1"/>
    <col min="19" max="19" width="6.7109375" style="313" hidden="1" customWidth="1"/>
    <col min="20" max="20" width="6.7109375" style="5" customWidth="1"/>
    <col min="21" max="22" width="6.7109375" style="5" hidden="1" customWidth="1"/>
    <col min="23" max="24" width="6.7109375" style="5" customWidth="1"/>
    <col min="25" max="25" width="9.7109375" style="5" customWidth="1"/>
    <col min="26" max="30" width="6.7109375" style="5" hidden="1" customWidth="1" outlineLevel="1"/>
    <col min="31" max="31" width="9.7109375" style="5" customWidth="1" collapsed="1"/>
    <col min="32" max="36" width="6.7109375" style="5" hidden="1" customWidth="1" outlineLevel="1"/>
    <col min="37" max="37" width="9.7109375" style="5" customWidth="1" collapsed="1"/>
    <col min="38" max="38" width="12.7109375" style="5" customWidth="1"/>
    <col min="39" max="39" width="2.7109375" style="5" customWidth="1"/>
    <col min="40" max="16384" width="11.42578125" style="5"/>
  </cols>
  <sheetData>
    <row r="1" spans="1:38" ht="4.5" customHeight="1">
      <c r="A1" s="312"/>
      <c r="B1" s="313"/>
    </row>
    <row r="2" spans="1:38">
      <c r="A2" s="312"/>
      <c r="B2" s="1413" t="str">
        <f>IF(Settings!C24=0,"The cluster tab calculation only works with the 'cost analysis' columns enabled! Please go to the calculation tab and enable the 'cost analysis' columns","")</f>
        <v>The cluster tab calculation only works with the 'cost analysis' columns enabled! Please go to the calculation tab and enable the 'cost analysis' columns</v>
      </c>
      <c r="C2" s="1413"/>
      <c r="D2" s="1413"/>
      <c r="E2" s="1413"/>
      <c r="F2" s="1413"/>
      <c r="G2" s="1413"/>
      <c r="H2" s="1413"/>
      <c r="I2" s="1413"/>
      <c r="J2" s="1413"/>
      <c r="K2" s="1413"/>
      <c r="L2" s="1413"/>
      <c r="M2" s="1413"/>
      <c r="N2" s="1413"/>
      <c r="O2" s="1413"/>
      <c r="P2" s="1413"/>
      <c r="Q2" s="1413"/>
      <c r="R2" s="1413"/>
      <c r="S2" s="1413"/>
      <c r="T2" s="1413"/>
      <c r="U2" s="1413"/>
      <c r="V2" s="1413"/>
      <c r="W2" s="1413"/>
      <c r="X2" s="1413"/>
      <c r="Y2" s="1413"/>
      <c r="Z2" s="1413"/>
      <c r="AA2" s="1413"/>
      <c r="AB2" s="1413"/>
      <c r="AC2" s="1413"/>
      <c r="AD2" s="1413"/>
      <c r="AE2" s="1413"/>
      <c r="AF2" s="1413"/>
      <c r="AG2" s="1413"/>
      <c r="AH2" s="1413"/>
      <c r="AI2" s="1413"/>
      <c r="AJ2" s="1413"/>
      <c r="AK2" s="1413"/>
    </row>
    <row r="3" spans="1:38" ht="4.5" customHeight="1">
      <c r="A3" s="312"/>
      <c r="B3" s="313"/>
    </row>
    <row r="4" spans="1:38">
      <c r="A4" s="312"/>
      <c r="B4" s="313"/>
      <c r="C4" s="1373" t="str">
        <f>IF(B5=0,"Tier P",_xlfn.XLOOKUP($B$5,Premises!$A$10:$F$10,Premises!$A$11:$F$11))</f>
        <v>Tier P</v>
      </c>
      <c r="D4" s="1374"/>
      <c r="E4" s="1374"/>
      <c r="F4" s="1374"/>
      <c r="G4" s="1374"/>
      <c r="H4" s="1374"/>
      <c r="I4" s="1374"/>
      <c r="J4" s="1374"/>
      <c r="K4" s="1374"/>
      <c r="L4" s="1374"/>
      <c r="M4" s="1374"/>
      <c r="N4" s="1374"/>
      <c r="O4" s="1374"/>
      <c r="P4" s="1374"/>
      <c r="Q4" s="1374"/>
      <c r="R4" s="1374"/>
      <c r="S4" s="1374"/>
      <c r="T4" s="1374"/>
      <c r="U4" s="1374"/>
      <c r="V4" s="1374"/>
      <c r="W4" s="1374"/>
      <c r="X4" s="1374"/>
      <c r="Y4" s="1375"/>
      <c r="Z4" s="1373" t="s">
        <v>2596</v>
      </c>
      <c r="AA4" s="1374"/>
      <c r="AB4" s="1374"/>
      <c r="AC4" s="1374"/>
      <c r="AD4" s="1374"/>
      <c r="AE4" s="1375"/>
      <c r="AF4" s="1373" t="s">
        <v>2597</v>
      </c>
      <c r="AG4" s="1374"/>
      <c r="AH4" s="1374"/>
      <c r="AI4" s="1374"/>
      <c r="AJ4" s="1374"/>
      <c r="AK4" s="1375"/>
    </row>
    <row r="5" spans="1:38">
      <c r="B5" s="884"/>
      <c r="C5" s="942" t="s">
        <v>1387</v>
      </c>
      <c r="D5" s="942" t="s">
        <v>165</v>
      </c>
      <c r="E5" s="942" t="s">
        <v>534</v>
      </c>
      <c r="F5" s="942" t="s">
        <v>2314</v>
      </c>
      <c r="G5" s="942" t="s">
        <v>1395</v>
      </c>
      <c r="H5" s="942" t="s">
        <v>2619</v>
      </c>
      <c r="I5" s="942" t="s">
        <v>1379</v>
      </c>
      <c r="J5" s="943" t="s">
        <v>155</v>
      </c>
      <c r="K5" s="959" t="s">
        <v>2621</v>
      </c>
      <c r="L5" s="959" t="s">
        <v>1394</v>
      </c>
      <c r="M5" s="942" t="s">
        <v>2610</v>
      </c>
      <c r="N5" s="942" t="s">
        <v>2620</v>
      </c>
      <c r="O5" s="942" t="s">
        <v>283</v>
      </c>
      <c r="P5" s="943" t="s">
        <v>152</v>
      </c>
      <c r="Q5" s="943" t="s">
        <v>169</v>
      </c>
      <c r="R5" s="942" t="s">
        <v>174</v>
      </c>
      <c r="S5" s="942" t="s">
        <v>175</v>
      </c>
      <c r="T5" s="942" t="s">
        <v>210</v>
      </c>
      <c r="U5" s="942" t="s">
        <v>1372</v>
      </c>
      <c r="V5" s="942" t="s">
        <v>1373</v>
      </c>
      <c r="W5" s="942" t="s">
        <v>209</v>
      </c>
      <c r="X5" s="942" t="s">
        <v>667</v>
      </c>
      <c r="Y5" s="943" t="s">
        <v>157</v>
      </c>
      <c r="Z5" s="942" t="s">
        <v>2616</v>
      </c>
      <c r="AA5" s="942" t="s">
        <v>283</v>
      </c>
      <c r="AB5" s="942" t="s">
        <v>210</v>
      </c>
      <c r="AC5" s="942" t="s">
        <v>209</v>
      </c>
      <c r="AD5" s="942" t="s">
        <v>667</v>
      </c>
      <c r="AE5" s="943" t="s">
        <v>157</v>
      </c>
      <c r="AF5" s="942" t="s">
        <v>2616</v>
      </c>
      <c r="AG5" s="942" t="s">
        <v>283</v>
      </c>
      <c r="AH5" s="942" t="s">
        <v>210</v>
      </c>
      <c r="AI5" s="942" t="s">
        <v>209</v>
      </c>
      <c r="AJ5" s="942" t="s">
        <v>667</v>
      </c>
      <c r="AK5" s="943" t="s">
        <v>157</v>
      </c>
    </row>
    <row r="6" spans="1:38" ht="4.5" customHeight="1">
      <c r="C6" s="309"/>
      <c r="D6" s="309"/>
      <c r="E6" s="309"/>
      <c r="F6" s="309"/>
      <c r="G6" s="309"/>
      <c r="H6" s="309"/>
      <c r="I6" s="309"/>
      <c r="J6" s="309"/>
      <c r="K6" s="956"/>
      <c r="L6" s="956"/>
      <c r="M6" s="309"/>
      <c r="N6" s="309"/>
      <c r="O6" s="309"/>
      <c r="P6" s="309"/>
      <c r="Q6" s="309"/>
      <c r="R6" s="309"/>
      <c r="S6" s="310"/>
    </row>
    <row r="7" spans="1:38">
      <c r="B7" s="311" t="s">
        <v>237</v>
      </c>
      <c r="C7" s="817" t="s">
        <v>1386</v>
      </c>
      <c r="D7" s="817" t="s">
        <v>161</v>
      </c>
      <c r="E7" s="817" t="s">
        <v>335</v>
      </c>
      <c r="F7" s="817" t="s">
        <v>1362</v>
      </c>
      <c r="G7" s="817" t="s">
        <v>1371</v>
      </c>
      <c r="H7" s="817" t="s">
        <v>697</v>
      </c>
      <c r="I7" s="817" t="s">
        <v>27</v>
      </c>
      <c r="J7" s="817" t="s">
        <v>10</v>
      </c>
      <c r="K7" s="958" t="s">
        <v>2621</v>
      </c>
      <c r="L7" s="958" t="s">
        <v>1369</v>
      </c>
      <c r="M7" s="817" t="s">
        <v>2610</v>
      </c>
      <c r="N7" s="817" t="s">
        <v>698</v>
      </c>
      <c r="O7" s="817" t="s">
        <v>1</v>
      </c>
      <c r="P7" s="817" t="s">
        <v>9</v>
      </c>
      <c r="Q7" s="817" t="s">
        <v>12</v>
      </c>
      <c r="R7" s="817" t="s">
        <v>29</v>
      </c>
      <c r="S7" s="817" t="s">
        <v>28</v>
      </c>
      <c r="T7" s="817" t="s">
        <v>13</v>
      </c>
      <c r="U7" s="817" t="s">
        <v>1372</v>
      </c>
      <c r="V7" s="817" t="s">
        <v>1373</v>
      </c>
      <c r="W7" s="817" t="s">
        <v>14</v>
      </c>
      <c r="X7" s="817" t="s">
        <v>666</v>
      </c>
      <c r="Y7" s="817" t="s">
        <v>11</v>
      </c>
      <c r="Z7" s="817" t="s">
        <v>2598</v>
      </c>
      <c r="AA7" s="817" t="s">
        <v>2599</v>
      </c>
      <c r="AB7" s="817" t="s">
        <v>2600</v>
      </c>
      <c r="AC7" s="817" t="s">
        <v>2601</v>
      </c>
      <c r="AD7" s="817" t="s">
        <v>2602</v>
      </c>
      <c r="AE7" s="817" t="s">
        <v>2603</v>
      </c>
      <c r="AF7" s="817" t="s">
        <v>2604</v>
      </c>
      <c r="AG7" s="817" t="s">
        <v>2605</v>
      </c>
      <c r="AH7" s="817" t="s">
        <v>2606</v>
      </c>
      <c r="AI7" s="817" t="s">
        <v>2607</v>
      </c>
      <c r="AJ7" s="817" t="s">
        <v>2608</v>
      </c>
      <c r="AK7" s="902" t="s">
        <v>2609</v>
      </c>
      <c r="AL7" s="243" t="s">
        <v>36</v>
      </c>
    </row>
    <row r="8" spans="1:38">
      <c r="B8" s="966" t="s">
        <v>207</v>
      </c>
      <c r="C8" s="885" cm="1">
        <f t="array" ref="C8">SUMPRODUCT(Calculation!CV$11:CV$189*(Calculation!$FJ$11:$FJ$189=$B8)*IF($B$5=0,1,Calculation!$CA$11:$CA$189=$B$5))</f>
        <v>0</v>
      </c>
      <c r="D8" s="885" cm="1">
        <f t="array" ref="D8">SUMPRODUCT(Calculation!CW$11:CW$189*(Calculation!$FJ$11:$FJ$189=$B8)*IF($B$5=0,1,Calculation!$CA$11:$CA$189=$B$5))</f>
        <v>0</v>
      </c>
      <c r="E8" s="885" cm="1">
        <f t="array" ref="E8">SUMPRODUCT(Calculation!CX$11:CX$189*(Calculation!$FJ$11:$FJ$189=$B8)*IF($B$5=0,1,Calculation!$CA$11:$CA$189=$B$5))</f>
        <v>0</v>
      </c>
      <c r="F8" s="885" cm="1">
        <f t="array" ref="F8">SUMPRODUCT(Calculation!CY$11:CY$189*(Calculation!$FJ$11:$FJ$189=$B8)*IF($B$5=0,1,Calculation!$CA$11:$CA$189=$B$5))</f>
        <v>0</v>
      </c>
      <c r="G8" s="885" cm="1">
        <f t="array" ref="G8">SUMPRODUCT(Calculation!CZ$11:CZ$189*(Calculation!$FJ$11:$FJ$189=$B8)*IF($B$5=0,1,Calculation!$CA$11:$CA$189=$B$5))</f>
        <v>0</v>
      </c>
      <c r="H8" s="885" cm="1">
        <f t="array" ref="H8">SUMPRODUCT(Calculation!DA$11:DA$189*(Calculation!$FJ$11:$FJ$189=$B8)*IF($B$5=0,1,Calculation!$CA$11:$CA$189=$B$5))</f>
        <v>0</v>
      </c>
      <c r="I8" s="885" cm="1">
        <f t="array" ref="I8">SUMPRODUCT(Calculation!DB$11:DB$189*(Calculation!$FJ$11:$FJ$189=$B8)*IF($B$5=0,1,Calculation!$CA$11:$CA$189=$B$5))</f>
        <v>0</v>
      </c>
      <c r="J8" s="898">
        <f>SUM($C8:$I8)</f>
        <v>0</v>
      </c>
      <c r="K8" s="899" cm="1">
        <f t="array" ref="K8">SUMPRODUCT(Calculation!DD$11:DD$189*(Calculation!$FJ$11:$FJ$189=$B8)*IF($B$5=0,1,Calculation!$CA$11:$CA$189=$B$5))</f>
        <v>0</v>
      </c>
      <c r="L8" s="899" cm="1">
        <f t="array" ref="L8">SUMPRODUCT(Calculation!DP$11:DP$189*(Calculation!$FJ$11:$FJ$189=$B8)*IF($B$5=0,0,Calculation!$CB$11:$CB$189=$B$5))
+SUMPRODUCT(Calculation!DP$11:DU$189*(Calculation!$FJ$11:$FJ$189=$B8)*IF($B$5=0,0,Calculation!$CC$11:$CC$189=$B$5))</f>
        <v>0</v>
      </c>
      <c r="M8" s="885">
        <f>SUM($K8:$L8)</f>
        <v>0</v>
      </c>
      <c r="N8" s="885" cm="1">
        <f t="array" ref="N8">SUMPRODUCT(Calculation!DE$11:DE$189*(Calculation!$FJ$11:$FJ$189=$B8)*IF($B$5=0,1,Calculation!$CA$11:$CA$189=$B$5))
+SUMPRODUCT(Calculation!DQ$11:DQ$189*(Calculation!$FJ$11:$FJ$189=$B8)*IF($B$5=0,0,Calculation!$CB$11:$CB$189=$B$5))
+SUMPRODUCT(Calculation!DW$11:DW$189*(Calculation!$FJ$11:$FJ$189=$B8)*IF($B$5=0,0,Calculation!$CC$11:$CC$189=$B$5))</f>
        <v>0</v>
      </c>
      <c r="O8" s="885" cm="1">
        <f t="array" ref="O8">SUMPRODUCT(Calculation!DF$11:DF$189*(Calculation!$FJ$11:$FJ$189=$B8)*IF($B$5=0,1,Calculation!$CA$11:$CA$189=$B$5))
+SUMPRODUCT(Calculation!DR$11:DR$189*(Calculation!$FJ$11:$FJ$189=$B8)*IF($B$5=0,0,Calculation!$CB$11:$CB$189=$B$5))
+SUMPRODUCT(Calculation!DX$11:DX$189*(Calculation!$FJ$11:$FJ$189=$B8)*IF($B$5=0,0,Calculation!$CC$11:$CC$189=$B$5))</f>
        <v>0</v>
      </c>
      <c r="P8" s="898">
        <f>SUM($M8:$O8)</f>
        <v>0</v>
      </c>
      <c r="Q8" s="900">
        <f>$J8+$P8</f>
        <v>0</v>
      </c>
      <c r="R8" s="885" cm="1">
        <f t="array" ref="R8">SUMPRODUCT(Calculation!DI$11:DI$189*(Calculation!$FJ$11:$FJ$189=$B8)*IF($B$5=0,1,Calculation!$CA$11:$CA$189=$B$5))</f>
        <v>0</v>
      </c>
      <c r="S8" s="885" cm="1">
        <f t="array" ref="S8">SUMPRODUCT(Calculation!DJ$11:DJ$189*(Calculation!$FJ$11:$FJ$189=$B8)*IF($B$5=0,1,Calculation!$CA$11:$CA$189=$B$5))
+(SUMPRODUCT(Calculation!DS$11:DS$189*(Calculation!$FJ$11:$FJ$189=$B8)*IF($B$5=0,0,Calculation!$CB$11:$CB$189=$B$5))
+SUMPRODUCT(Calculation!DY$11:DY$189*(Calculation!$FJ$11:$FJ$189=$B8)*IF($B$5=0,0,Calculation!$CC$11:$CC$189=$B$5)))*IF(INDEX(Settings[],MATCH(3001,Settings[ID],0),2)="B",1,0)</f>
        <v>0</v>
      </c>
      <c r="T8" s="885" cm="1">
        <f t="array" ref="T8">SUMPRODUCT(Calculation!DK$11:DK$189*(Calculation!$FJ$11:$FJ$189=$B8)*IF($B$5=0,1,Calculation!$CA$11:$CA$189=$B$5))
+(SUMPRODUCT(Calculation!DS$11:DS$189*(Calculation!$FJ$11:$FJ$189=$B8)*IF($B$5=0,0,Calculation!$CB$11:$CB$189=$B$5))
+SUMPRODUCT(Calculation!DY$11:DY$189*(Calculation!$FJ$11:$FJ$189=$B8)*IF($B$5=0,0,Calculation!$CC$11:$CC$189=$B$5)))*IF(INDEX(Settings[],MATCH(3001,Settings[ID],0),2)="B",0,1)</f>
        <v>0</v>
      </c>
      <c r="U8" s="885" cm="1">
        <f t="array" ref="U8">SUMPRODUCT(Calculation!DL$11:DL$189*(Calculation!$FJ$11:$FJ$189=$B8)*IF($B$5=0,1,Calculation!$CA$11:$CA$189=$B$5))</f>
        <v>0</v>
      </c>
      <c r="V8" s="885" cm="1">
        <f t="array" ref="V8">SUMPRODUCT(Calculation!DM$11:DM$189*(Calculation!$FJ$11:$FJ$189=$B8)*IF($B$5=0,1,Calculation!$CA$11:$CA$189=$B$5))
+(SUMPRODUCT(Calculation!DT$11:DT$189*(Calculation!$FJ$11:$FJ$189=$B8)*IF($B$5=0,0,Calculation!$CB$11:$CB$189=$B$5))
+SUMPRODUCT(Calculation!DZ$11:DZ$189*(Calculation!$FJ$11:$FJ$189=$B8)*IF($B$5=0,0,Calculation!$CC$11:$CC$189=$B$5)))*IF(INDEX(Settings[],MATCH(3002,Settings[ID],0),2)="B",1,0)</f>
        <v>0</v>
      </c>
      <c r="W8" s="885" cm="1">
        <f t="array" ref="W8">SUMPRODUCT(Calculation!DN$11:DN$189*(Calculation!$FJ$11:$FJ$189=$B8)*IF($B$5=0,1,Calculation!$CA$11:$CA$189=$B$5))
+(SUMPRODUCT(Calculation!DT$11:DT$189*(Calculation!$FJ$11:$FJ$189=$B8)*IF($B$5=0,0,Calculation!$CB$11:$CB$189=$B$5))
+SUMPRODUCT(Calculation!DZ$11:DZ$189*(Calculation!$FJ$11:$FJ$189=$B8)*IF($B$5=0,0,Calculation!$CC$11:$CC$189=$B$5)))*IF(INDEX(Settings[],MATCH(3002,Settings[ID],0),2)="B",0,1)</f>
        <v>0</v>
      </c>
      <c r="X8" s="885" cm="1">
        <f t="array" ref="X8">SUMPRODUCT(Calculation!DO$11:DO$189*(Calculation!$FJ$11:$FJ$189=$B8)*IF($B$5=0,1,Calculation!$CA$11:$CA$189=$B$5))
+SUMPRODUCT(Calculation!DU$11:DU$189*(Calculation!$FJ$11:$FJ$189=$B8)*IF($B$5=0,0,Calculation!$CB$11:$CB$189=$B$5))
+SUMPRODUCT(Calculation!EA$11:EA$189*(Calculation!$FJ$11:$FJ$189=$B8)*IF($B$5=0,0,Calculation!$CC$11:$CC$189=$B$5))</f>
        <v>0</v>
      </c>
      <c r="Y8" s="901">
        <f>SUM($Q8:$X8)</f>
        <v>0</v>
      </c>
      <c r="Z8" s="885" cm="1">
        <f t="array" ref="Z8">SUMPRODUCT(Calculation!DQ$11:DQ$189*(Calculation!$FJ$11:$FJ$189=$B8)*IF($B$5=0,1,0))</f>
        <v>0</v>
      </c>
      <c r="AA8" s="885" cm="1">
        <f t="array" ref="AA8">SUMPRODUCT(Calculation!DR$11:DR$189*(Calculation!$FJ$11:$FJ$189=$B8)*IF($B$5=0,1,0))</f>
        <v>0</v>
      </c>
      <c r="AB8" s="885" cm="1">
        <f t="array" ref="AB8">SUMPRODUCT(Calculation!DS$11:DS$189*(Calculation!$FJ$11:$FJ$189=$B8)*IF($B$5=0,1,0))</f>
        <v>0</v>
      </c>
      <c r="AC8" s="885" cm="1">
        <f t="array" ref="AC8">SUMPRODUCT(Calculation!DT$11:DT$189*(Calculation!$FJ$11:$FJ$189=$B8)*IF($B$5=0,1,0))</f>
        <v>0</v>
      </c>
      <c r="AD8" s="885" cm="1">
        <f t="array" ref="AD8">SUMPRODUCT(Calculation!DU$11:DU$189*(Calculation!$FJ$11:$FJ$189=$B8)*IF($B$5=0,1,0))</f>
        <v>0</v>
      </c>
      <c r="AE8" s="901">
        <f>IF(SUM($Z8:$AD8)=0,0,SUM($Y8:$AD8))</f>
        <v>0</v>
      </c>
      <c r="AF8" s="885" cm="1">
        <f t="array" ref="AF8">SUMPRODUCT(Calculation!DW$11:DW$189*(Calculation!$FJ$11:$FJ$189=$B8)*IF($B$5=0,1,0))</f>
        <v>0</v>
      </c>
      <c r="AG8" s="885" cm="1">
        <f t="array" ref="AG8">SUMPRODUCT(Calculation!DX$11:DX$189*(Calculation!$FJ$11:$FJ$189=$B8)*IF($B$5=0,1,0))</f>
        <v>0</v>
      </c>
      <c r="AH8" s="885" cm="1">
        <f t="array" ref="AH8">SUMPRODUCT(Calculation!DY$11:DY$189*(Calculation!$FJ$11:$FJ$189=$B8)*IF($B$5=0,1,0))</f>
        <v>0</v>
      </c>
      <c r="AI8" s="885" cm="1">
        <f t="array" ref="AI8">SUMPRODUCT(Calculation!DZ$11:DZ$189*(Calculation!$FJ$11:$FJ$189=$B8)*IF($B$5=0,1,0))</f>
        <v>0</v>
      </c>
      <c r="AJ8" s="885" cm="1">
        <f t="array" ref="AJ8">SUMPRODUCT(Calculation!EA$11:EA$189*(Calculation!$FJ$11:$FJ$189=$B8)*IF($B$5=0,1,0))</f>
        <v>0</v>
      </c>
      <c r="AK8" s="901">
        <f>IF(SUM(Cluster1[[Auss.7]:[Sonstige11]])=0,0,SUM($Y8:$AD8,$AF8:$AJ8))</f>
        <v>0</v>
      </c>
      <c r="AL8" s="295">
        <f>IF($B$5=0,$AK8,$Y8)</f>
        <v>0</v>
      </c>
    </row>
    <row r="9" spans="1:38">
      <c r="B9" s="966" t="s">
        <v>231</v>
      </c>
      <c r="C9" s="885" cm="1">
        <f t="array" ref="C9">SUMPRODUCT(Calculation!CV$11:CV$189*(Calculation!$FJ$11:$FJ$189=$B9)*IF($B$5=0,1,Calculation!$CA$11:$CA$189=$B$5))</f>
        <v>0</v>
      </c>
      <c r="D9" s="885" cm="1">
        <f t="array" ref="D9">SUMPRODUCT(Calculation!CW$11:CW$189*(Calculation!$FJ$11:$FJ$189=$B9)*IF($B$5=0,1,Calculation!$CA$11:$CA$189=$B$5))</f>
        <v>0</v>
      </c>
      <c r="E9" s="885" cm="1">
        <f t="array" ref="E9">SUMPRODUCT(Calculation!CX$11:CX$189*(Calculation!$FJ$11:$FJ$189=$B9)*IF($B$5=0,1,Calculation!$CA$11:$CA$189=$B$5))</f>
        <v>0</v>
      </c>
      <c r="F9" s="885" cm="1">
        <f t="array" ref="F9">SUMPRODUCT(Calculation!CY$11:CY$189*(Calculation!$FJ$11:$FJ$189=$B9)*IF($B$5=0,1,Calculation!$CA$11:$CA$189=$B$5))</f>
        <v>0</v>
      </c>
      <c r="G9" s="885" cm="1">
        <f t="array" ref="G9">SUMPRODUCT(Calculation!CZ$11:CZ$189*(Calculation!$FJ$11:$FJ$189=$B9)*IF($B$5=0,1,Calculation!$CA$11:$CA$189=$B$5))</f>
        <v>0</v>
      </c>
      <c r="H9" s="885" cm="1">
        <f t="array" ref="H9">SUMPRODUCT(Calculation!DA$11:DA$189*(Calculation!$FJ$11:$FJ$189=$B9)*IF($B$5=0,1,Calculation!$CA$11:$CA$189=$B$5))</f>
        <v>0</v>
      </c>
      <c r="I9" s="885" cm="1">
        <f t="array" ref="I9">SUMPRODUCT(Calculation!DB$11:DB$189*(Calculation!$FJ$11:$FJ$189=$B9)*IF($B$5=0,1,Calculation!$CA$11:$CA$189=$B$5))</f>
        <v>0</v>
      </c>
      <c r="J9" s="898">
        <f>SUM($C9:$I9)</f>
        <v>0</v>
      </c>
      <c r="K9" s="899" cm="1">
        <f t="array" ref="K9">SUMPRODUCT(Calculation!DD$11:DD$189*(Calculation!$FJ$11:$FJ$189=$B9)*IF($B$5=0,1,Calculation!$CA$11:$CA$189=$B$5))</f>
        <v>0</v>
      </c>
      <c r="L9" s="899" cm="1">
        <f t="array" ref="L9">SUMPRODUCT(Calculation!DP$11:DP$189*(Calculation!$FJ$11:$FJ$189=$B9)*IF($B$5=0,0,Calculation!$CB$11:$CB$189=$B$5))
+SUMPRODUCT(Calculation!DP$11:DU$189*(Calculation!$FJ$11:$FJ$189=$B9)*IF($B$5=0,0,Calculation!$CC$11:$CC$189=$B$5))</f>
        <v>0</v>
      </c>
      <c r="M9" s="885">
        <f>SUM($K9:$L9)</f>
        <v>0</v>
      </c>
      <c r="N9" s="885" cm="1">
        <f t="array" ref="N9">SUMPRODUCT(Calculation!DE$11:DE$189*(Calculation!$FJ$11:$FJ$189=$B9)*IF($B$5=0,1,Calculation!$CA$11:$CA$189=$B$5))
+SUMPRODUCT(Calculation!DQ$11:DQ$189*(Calculation!$FJ$11:$FJ$189=$B9)*IF($B$5=0,0,Calculation!$CB$11:$CB$189=$B$5))
+SUMPRODUCT(Calculation!DW$11:DW$189*(Calculation!$FJ$11:$FJ$189=$B9)*IF($B$5=0,0,Calculation!$CC$11:$CC$189=$B$5))</f>
        <v>0</v>
      </c>
      <c r="O9" s="885" cm="1">
        <f t="array" ref="O9">SUMPRODUCT(Calculation!DF$11:DF$189*(Calculation!$FJ$11:$FJ$189=$B9)*IF($B$5=0,1,Calculation!$CA$11:$CA$189=$B$5))
+SUMPRODUCT(Calculation!DR$11:DR$189*(Calculation!$FJ$11:$FJ$189=$B9)*IF($B$5=0,0,Calculation!$CB$11:$CB$189=$B$5))
+SUMPRODUCT(Calculation!DX$11:DX$189*(Calculation!$FJ$11:$FJ$189=$B9)*IF($B$5=0,0,Calculation!$CC$11:$CC$189=$B$5))</f>
        <v>0</v>
      </c>
      <c r="P9" s="898">
        <f>SUM($M9:$O9)</f>
        <v>0</v>
      </c>
      <c r="Q9" s="900">
        <f>$J9+$P9</f>
        <v>0</v>
      </c>
      <c r="R9" s="885" cm="1">
        <f t="array" ref="R9">SUMPRODUCT(Calculation!DI$11:DI$189*(Calculation!$FJ$11:$FJ$189=$B9)*IF($B$5=0,1,Calculation!$CA$11:$CA$189=$B$5))</f>
        <v>0</v>
      </c>
      <c r="S9" s="885" cm="1">
        <f t="array" ref="S9">SUMPRODUCT(Calculation!DJ$11:DJ$189*(Calculation!$FJ$11:$FJ$189=$B9)*IF($B$5=0,1,Calculation!$CA$11:$CA$189=$B$5))
+(SUMPRODUCT(Calculation!DS$11:DS$189*(Calculation!$FJ$11:$FJ$189=$B9)*IF($B$5=0,0,Calculation!$CB$11:$CB$189=$B$5))
+SUMPRODUCT(Calculation!DY$11:DY$189*(Calculation!$FJ$11:$FJ$189=$B9)*IF($B$5=0,0,Calculation!$CC$11:$CC$189=$B$5)))*IF(INDEX(Settings[],MATCH(3001,Settings[ID],0),2)="B",1,0)</f>
        <v>0</v>
      </c>
      <c r="T9" s="885" cm="1">
        <f t="array" ref="T9">SUMPRODUCT(Calculation!DK$11:DK$189*(Calculation!$FJ$11:$FJ$189=$B9)*IF($B$5=0,1,Calculation!$CA$11:$CA$189=$B$5))
+(SUMPRODUCT(Calculation!DS$11:DS$189*(Calculation!$FJ$11:$FJ$189=$B9)*IF($B$5=0,0,Calculation!$CB$11:$CB$189=$B$5))
+SUMPRODUCT(Calculation!DY$11:DY$189*(Calculation!$FJ$11:$FJ$189=$B9)*IF($B$5=0,0,Calculation!$CC$11:$CC$189=$B$5)))*IF(INDEX(Settings[],MATCH(3001,Settings[ID],0),2)="B",0,1)</f>
        <v>0</v>
      </c>
      <c r="U9" s="885" cm="1">
        <f t="array" ref="U9">SUMPRODUCT(Calculation!DL$11:DL$189*(Calculation!$FJ$11:$FJ$189=$B9)*IF($B$5=0,1,Calculation!$CA$11:$CA$189=$B$5))</f>
        <v>0</v>
      </c>
      <c r="V9" s="885" cm="1">
        <f t="array" ref="V9">SUMPRODUCT(Calculation!DM$11:DM$189*(Calculation!$FJ$11:$FJ$189=$B9)*IF($B$5=0,1,Calculation!$CA$11:$CA$189=$B$5))
+(SUMPRODUCT(Calculation!DT$11:DT$189*(Calculation!$FJ$11:$FJ$189=$B9)*IF($B$5=0,0,Calculation!$CB$11:$CB$189=$B$5))
+SUMPRODUCT(Calculation!DZ$11:DZ$189*(Calculation!$FJ$11:$FJ$189=$B9)*IF($B$5=0,0,Calculation!$CC$11:$CC$189=$B$5)))*IF(INDEX(Settings[],MATCH(3002,Settings[ID],0),2)="B",1,0)</f>
        <v>0</v>
      </c>
      <c r="W9" s="885" cm="1">
        <f t="array" ref="W9">SUMPRODUCT(Calculation!DN$11:DN$189*(Calculation!$FJ$11:$FJ$189=$B9)*IF($B$5=0,1,Calculation!$CA$11:$CA$189=$B$5))
+(SUMPRODUCT(Calculation!DT$11:DT$189*(Calculation!$FJ$11:$FJ$189=$B9)*IF($B$5=0,0,Calculation!$CB$11:$CB$189=$B$5))
+SUMPRODUCT(Calculation!DZ$11:DZ$189*(Calculation!$FJ$11:$FJ$189=$B9)*IF($B$5=0,0,Calculation!$CC$11:$CC$189=$B$5)))*IF(INDEX(Settings[],MATCH(3002,Settings[ID],0),2)="B",0,1)</f>
        <v>0</v>
      </c>
      <c r="X9" s="885" cm="1">
        <f t="array" ref="X9">SUMPRODUCT(Calculation!DO$11:DO$189*(Calculation!$FJ$11:$FJ$189=$B9)*IF($B$5=0,1,Calculation!$CA$11:$CA$189=$B$5))
+SUMPRODUCT(Calculation!DU$11:DU$189*(Calculation!$FJ$11:$FJ$189=$B9)*IF($B$5=0,0,Calculation!$CB$11:$CB$189=$B$5))
+SUMPRODUCT(Calculation!EA$11:EA$189*(Calculation!$FJ$11:$FJ$189=$B9)*IF($B$5=0,0,Calculation!$CC$11:$CC$189=$B$5))</f>
        <v>0</v>
      </c>
      <c r="Y9" s="901">
        <f>SUM($Q9:$X9)</f>
        <v>0</v>
      </c>
      <c r="Z9" s="885" cm="1">
        <f t="array" ref="Z9">SUMPRODUCT(Calculation!DQ$11:DQ$189*(Calculation!$FJ$11:$FJ$189=$B9)*IF($B$5=0,1,0))</f>
        <v>0</v>
      </c>
      <c r="AA9" s="885" cm="1">
        <f t="array" ref="AA9">SUMPRODUCT(Calculation!DR$11:DR$189*(Calculation!$FJ$11:$FJ$189=$B9)*IF($B$5=0,1,0))</f>
        <v>0</v>
      </c>
      <c r="AB9" s="885" cm="1">
        <f t="array" ref="AB9">SUMPRODUCT(Calculation!DS$11:DS$189*(Calculation!$FJ$11:$FJ$189=$B9)*IF($B$5=0,1,0))</f>
        <v>0</v>
      </c>
      <c r="AC9" s="885" cm="1">
        <f t="array" ref="AC9">SUMPRODUCT(Calculation!DT$11:DT$189*(Calculation!$FJ$11:$FJ$189=$B9)*IF($B$5=0,1,0))</f>
        <v>0</v>
      </c>
      <c r="AD9" s="885" cm="1">
        <f t="array" ref="AD9">SUMPRODUCT(Calculation!DU$11:DU$189*(Calculation!$FJ$11:$FJ$189=$B9)*IF($B$5=0,1,0))</f>
        <v>0</v>
      </c>
      <c r="AE9" s="901">
        <f>IF(SUM($Z9:$AD9)=0,0,SUM($Y9:$AD9))</f>
        <v>0</v>
      </c>
      <c r="AF9" s="885" cm="1">
        <f t="array" ref="AF9">SUMPRODUCT(Calculation!DW$11:DW$189*(Calculation!$FJ$11:$FJ$189=$B9)*IF($B$5=0,1,0))</f>
        <v>0</v>
      </c>
      <c r="AG9" s="885" cm="1">
        <f t="array" ref="AG9">SUMPRODUCT(Calculation!DX$11:DX$189*(Calculation!$FJ$11:$FJ$189=$B9)*IF($B$5=0,1,0))</f>
        <v>0</v>
      </c>
      <c r="AH9" s="885" cm="1">
        <f t="array" ref="AH9">SUMPRODUCT(Calculation!DY$11:DY$189*(Calculation!$FJ$11:$FJ$189=$B9)*IF($B$5=0,1,0))</f>
        <v>0</v>
      </c>
      <c r="AI9" s="885" cm="1">
        <f t="array" ref="AI9">SUMPRODUCT(Calculation!DZ$11:DZ$189*(Calculation!$FJ$11:$FJ$189=$B9)*IF($B$5=0,1,0))</f>
        <v>0</v>
      </c>
      <c r="AJ9" s="885" cm="1">
        <f t="array" ref="AJ9">SUMPRODUCT(Calculation!EA$11:EA$189*(Calculation!$FJ$11:$FJ$189=$B9)*IF($B$5=0,1,0))</f>
        <v>0</v>
      </c>
      <c r="AK9" s="901">
        <f>IF(SUM(Cluster1[[Auss.7]:[Sonstige11]])=0,0,SUM($Y9:$AD9,$AF9:$AJ9))</f>
        <v>0</v>
      </c>
      <c r="AL9" s="295">
        <f>IF($B$5=0,$AK9,$Y9)</f>
        <v>0</v>
      </c>
    </row>
    <row r="10" spans="1:38">
      <c r="B10" s="966" t="s">
        <v>232</v>
      </c>
      <c r="C10" s="885" cm="1">
        <f t="array" ref="C10">SUMPRODUCT(Calculation!CV$11:CV$189*(Calculation!$FJ$11:$FJ$189=$B10)*IF($B$5=0,1,Calculation!$CA$11:$CA$189=$B$5))</f>
        <v>0</v>
      </c>
      <c r="D10" s="885" cm="1">
        <f t="array" ref="D10">SUMPRODUCT(Calculation!CW$11:CW$189*(Calculation!$FJ$11:$FJ$189=$B10)*IF($B$5=0,1,Calculation!$CA$11:$CA$189=$B$5))</f>
        <v>0</v>
      </c>
      <c r="E10" s="885" cm="1">
        <f t="array" ref="E10">SUMPRODUCT(Calculation!CX$11:CX$189*(Calculation!$FJ$11:$FJ$189=$B10)*IF($B$5=0,1,Calculation!$CA$11:$CA$189=$B$5))</f>
        <v>0</v>
      </c>
      <c r="F10" s="885" cm="1">
        <f t="array" ref="F10">SUMPRODUCT(Calculation!CY$11:CY$189*(Calculation!$FJ$11:$FJ$189=$B10)*IF($B$5=0,1,Calculation!$CA$11:$CA$189=$B$5))</f>
        <v>0</v>
      </c>
      <c r="G10" s="885" cm="1">
        <f t="array" ref="G10">SUMPRODUCT(Calculation!CZ$11:CZ$189*(Calculation!$FJ$11:$FJ$189=$B10)*IF($B$5=0,1,Calculation!$CA$11:$CA$189=$B$5))</f>
        <v>0</v>
      </c>
      <c r="H10" s="885" cm="1">
        <f t="array" ref="H10">SUMPRODUCT(Calculation!DA$11:DA$189*(Calculation!$FJ$11:$FJ$189=$B10)*IF($B$5=0,1,Calculation!$CA$11:$CA$189=$B$5))</f>
        <v>0</v>
      </c>
      <c r="I10" s="885" cm="1">
        <f t="array" ref="I10">SUMPRODUCT(Calculation!DB$11:DB$189*(Calculation!$FJ$11:$FJ$189=$B10)*IF($B$5=0,1,Calculation!$CA$11:$CA$189=$B$5))</f>
        <v>0</v>
      </c>
      <c r="J10" s="898">
        <f>SUM($C10:$I10)</f>
        <v>0</v>
      </c>
      <c r="K10" s="899" cm="1">
        <f t="array" ref="K10">SUMPRODUCT(Calculation!DD$11:DD$189*(Calculation!$FJ$11:$FJ$189=$B10)*IF($B$5=0,1,Calculation!$CA$11:$CA$189=$B$5))</f>
        <v>0</v>
      </c>
      <c r="L10" s="899" cm="1">
        <f t="array" ref="L10">SUMPRODUCT(Calculation!DP$11:DP$189*(Calculation!$FJ$11:$FJ$189=$B10)*IF($B$5=0,0,Calculation!$CB$11:$CB$189=$B$5))
+SUMPRODUCT(Calculation!DP$11:DU$189*(Calculation!$FJ$11:$FJ$189=$B10)*IF($B$5=0,0,Calculation!$CC$11:$CC$189=$B$5))</f>
        <v>0</v>
      </c>
      <c r="M10" s="885">
        <f>SUM($K10:$L10)</f>
        <v>0</v>
      </c>
      <c r="N10" s="885" cm="1">
        <f t="array" ref="N10">SUMPRODUCT(Calculation!DE$11:DE$189*(Calculation!$FJ$11:$FJ$189=$B10)*IF($B$5=0,1,Calculation!$CA$11:$CA$189=$B$5))
+SUMPRODUCT(Calculation!DQ$11:DQ$189*(Calculation!$FJ$11:$FJ$189=$B10)*IF($B$5=0,0,Calculation!$CB$11:$CB$189=$B$5))
+SUMPRODUCT(Calculation!DW$11:DW$189*(Calculation!$FJ$11:$FJ$189=$B10)*IF($B$5=0,0,Calculation!$CC$11:$CC$189=$B$5))</f>
        <v>0</v>
      </c>
      <c r="O10" s="885" cm="1">
        <f t="array" ref="O10">SUMPRODUCT(Calculation!DF$11:DF$189*(Calculation!$FJ$11:$FJ$189=$B10)*IF($B$5=0,1,Calculation!$CA$11:$CA$189=$B$5))
+SUMPRODUCT(Calculation!DR$11:DR$189*(Calculation!$FJ$11:$FJ$189=$B10)*IF($B$5=0,0,Calculation!$CB$11:$CB$189=$B$5))
+SUMPRODUCT(Calculation!DX$11:DX$189*(Calculation!$FJ$11:$FJ$189=$B10)*IF($B$5=0,0,Calculation!$CC$11:$CC$189=$B$5))</f>
        <v>0</v>
      </c>
      <c r="P10" s="898">
        <f>SUM($M10:$O10)</f>
        <v>0</v>
      </c>
      <c r="Q10" s="900">
        <f>$J10+$P10</f>
        <v>0</v>
      </c>
      <c r="R10" s="885" cm="1">
        <f t="array" ref="R10">SUMPRODUCT(Calculation!DI$11:DI$189*(Calculation!$FJ$11:$FJ$189=$B10)*IF($B$5=0,1,Calculation!$CA$11:$CA$189=$B$5))</f>
        <v>0</v>
      </c>
      <c r="S10" s="885" cm="1">
        <f t="array" ref="S10">SUMPRODUCT(Calculation!DJ$11:DJ$189*(Calculation!$FJ$11:$FJ$189=$B10)*IF($B$5=0,1,Calculation!$CA$11:$CA$189=$B$5))
+(SUMPRODUCT(Calculation!DS$11:DS$189*(Calculation!$FJ$11:$FJ$189=$B10)*IF($B$5=0,0,Calculation!$CB$11:$CB$189=$B$5))
+SUMPRODUCT(Calculation!DY$11:DY$189*(Calculation!$FJ$11:$FJ$189=$B10)*IF($B$5=0,0,Calculation!$CC$11:$CC$189=$B$5)))*IF(INDEX(Settings[],MATCH(3001,Settings[ID],0),2)="B",1,0)</f>
        <v>0</v>
      </c>
      <c r="T10" s="885" cm="1">
        <f t="array" ref="T10">SUMPRODUCT(Calculation!DK$11:DK$189*(Calculation!$FJ$11:$FJ$189=$B10)*IF($B$5=0,1,Calculation!$CA$11:$CA$189=$B$5))
+(SUMPRODUCT(Calculation!DS$11:DS$189*(Calculation!$FJ$11:$FJ$189=$B10)*IF($B$5=0,0,Calculation!$CB$11:$CB$189=$B$5))
+SUMPRODUCT(Calculation!DY$11:DY$189*(Calculation!$FJ$11:$FJ$189=$B10)*IF($B$5=0,0,Calculation!$CC$11:$CC$189=$B$5)))*IF(INDEX(Settings[],MATCH(3001,Settings[ID],0),2)="B",0,1)</f>
        <v>0</v>
      </c>
      <c r="U10" s="885" cm="1">
        <f t="array" ref="U10">SUMPRODUCT(Calculation!DL$11:DL$189*(Calculation!$FJ$11:$FJ$189=$B10)*IF($B$5=0,1,Calculation!$CA$11:$CA$189=$B$5))</f>
        <v>0</v>
      </c>
      <c r="V10" s="885" cm="1">
        <f t="array" ref="V10">SUMPRODUCT(Calculation!DM$11:DM$189*(Calculation!$FJ$11:$FJ$189=$B10)*IF($B$5=0,1,Calculation!$CA$11:$CA$189=$B$5))
+(SUMPRODUCT(Calculation!DT$11:DT$189*(Calculation!$FJ$11:$FJ$189=$B10)*IF($B$5=0,0,Calculation!$CB$11:$CB$189=$B$5))
+SUMPRODUCT(Calculation!DZ$11:DZ$189*(Calculation!$FJ$11:$FJ$189=$B10)*IF($B$5=0,0,Calculation!$CC$11:$CC$189=$B$5)))*IF(INDEX(Settings[],MATCH(3002,Settings[ID],0),2)="B",1,0)</f>
        <v>0</v>
      </c>
      <c r="W10" s="885" cm="1">
        <f t="array" ref="W10">SUMPRODUCT(Calculation!DN$11:DN$189*(Calculation!$FJ$11:$FJ$189=$B10)*IF($B$5=0,1,Calculation!$CA$11:$CA$189=$B$5))
+(SUMPRODUCT(Calculation!DT$11:DT$189*(Calculation!$FJ$11:$FJ$189=$B10)*IF($B$5=0,0,Calculation!$CB$11:$CB$189=$B$5))
+SUMPRODUCT(Calculation!DZ$11:DZ$189*(Calculation!$FJ$11:$FJ$189=$B10)*IF($B$5=0,0,Calculation!$CC$11:$CC$189=$B$5)))*IF(INDEX(Settings[],MATCH(3002,Settings[ID],0),2)="B",0,1)</f>
        <v>0</v>
      </c>
      <c r="X10" s="885" cm="1">
        <f t="array" ref="X10">SUMPRODUCT(Calculation!DO$11:DO$189*(Calculation!$FJ$11:$FJ$189=$B10)*IF($B$5=0,1,Calculation!$CA$11:$CA$189=$B$5))
+SUMPRODUCT(Calculation!DU$11:DU$189*(Calculation!$FJ$11:$FJ$189=$B10)*IF($B$5=0,0,Calculation!$CB$11:$CB$189=$B$5))
+SUMPRODUCT(Calculation!EA$11:EA$189*(Calculation!$FJ$11:$FJ$189=$B10)*IF($B$5=0,0,Calculation!$CC$11:$CC$189=$B$5))</f>
        <v>0</v>
      </c>
      <c r="Y10" s="901">
        <f>SUM($Q10:$X10)</f>
        <v>0</v>
      </c>
      <c r="Z10" s="885" cm="1">
        <f t="array" ref="Z10">SUMPRODUCT(Calculation!DQ$11:DQ$189*(Calculation!$FJ$11:$FJ$189=$B10)*IF($B$5=0,1,0))</f>
        <v>0</v>
      </c>
      <c r="AA10" s="885" cm="1">
        <f t="array" ref="AA10">SUMPRODUCT(Calculation!DR$11:DR$189*(Calculation!$FJ$11:$FJ$189=$B10)*IF($B$5=0,1,0))</f>
        <v>0</v>
      </c>
      <c r="AB10" s="885" cm="1">
        <f t="array" ref="AB10">SUMPRODUCT(Calculation!DS$11:DS$189*(Calculation!$FJ$11:$FJ$189=$B10)*IF($B$5=0,1,0))</f>
        <v>0</v>
      </c>
      <c r="AC10" s="885" cm="1">
        <f t="array" ref="AC10">SUMPRODUCT(Calculation!DT$11:DT$189*(Calculation!$FJ$11:$FJ$189=$B10)*IF($B$5=0,1,0))</f>
        <v>0</v>
      </c>
      <c r="AD10" s="885" cm="1">
        <f t="array" ref="AD10">SUMPRODUCT(Calculation!DU$11:DU$189*(Calculation!$FJ$11:$FJ$189=$B10)*IF($B$5=0,1,0))</f>
        <v>0</v>
      </c>
      <c r="AE10" s="901">
        <f>IF(SUM($Z10:$AD10)=0,0,SUM($Y10:$AD10))</f>
        <v>0</v>
      </c>
      <c r="AF10" s="885" cm="1">
        <f t="array" ref="AF10">SUMPRODUCT(Calculation!DW$11:DW$189*(Calculation!$FJ$11:$FJ$189=$B10)*IF($B$5=0,1,0))</f>
        <v>0</v>
      </c>
      <c r="AG10" s="885" cm="1">
        <f t="array" ref="AG10">SUMPRODUCT(Calculation!DX$11:DX$189*(Calculation!$FJ$11:$FJ$189=$B10)*IF($B$5=0,1,0))</f>
        <v>0</v>
      </c>
      <c r="AH10" s="885" cm="1">
        <f t="array" ref="AH10">SUMPRODUCT(Calculation!DY$11:DY$189*(Calculation!$FJ$11:$FJ$189=$B10)*IF($B$5=0,1,0))</f>
        <v>0</v>
      </c>
      <c r="AI10" s="885" cm="1">
        <f t="array" ref="AI10">SUMPRODUCT(Calculation!DZ$11:DZ$189*(Calculation!$FJ$11:$FJ$189=$B10)*IF($B$5=0,1,0))</f>
        <v>0</v>
      </c>
      <c r="AJ10" s="885" cm="1">
        <f t="array" ref="AJ10">SUMPRODUCT(Calculation!EA$11:EA$189*(Calculation!$FJ$11:$FJ$189=$B10)*IF($B$5=0,1,0))</f>
        <v>0</v>
      </c>
      <c r="AK10" s="901">
        <f>IF(SUM(Cluster1[[Auss.7]:[Sonstige11]])=0,0,SUM($Y10:$AD10,$AF10:$AJ10))</f>
        <v>0</v>
      </c>
      <c r="AL10" s="295">
        <f>IF($B$5=0,$AK10,$Y10)</f>
        <v>0</v>
      </c>
    </row>
    <row r="11" spans="1:38">
      <c r="K11" s="957"/>
      <c r="L11" s="957"/>
    </row>
    <row r="12" spans="1:38">
      <c r="B12" s="311" t="s">
        <v>34</v>
      </c>
      <c r="C12" s="817" t="s">
        <v>1386</v>
      </c>
      <c r="D12" s="817" t="s">
        <v>161</v>
      </c>
      <c r="E12" s="817" t="s">
        <v>335</v>
      </c>
      <c r="F12" s="817" t="s">
        <v>1362</v>
      </c>
      <c r="G12" s="817" t="s">
        <v>1371</v>
      </c>
      <c r="H12" s="817" t="s">
        <v>697</v>
      </c>
      <c r="I12" s="817" t="s">
        <v>27</v>
      </c>
      <c r="J12" s="817" t="s">
        <v>10</v>
      </c>
      <c r="K12" s="958" t="s">
        <v>2621</v>
      </c>
      <c r="L12" s="958" t="s">
        <v>1369</v>
      </c>
      <c r="M12" s="817" t="s">
        <v>2610</v>
      </c>
      <c r="N12" s="817" t="s">
        <v>698</v>
      </c>
      <c r="O12" s="817" t="s">
        <v>1</v>
      </c>
      <c r="P12" s="817" t="s">
        <v>9</v>
      </c>
      <c r="Q12" s="817" t="s">
        <v>12</v>
      </c>
      <c r="R12" s="817" t="s">
        <v>29</v>
      </c>
      <c r="S12" s="817" t="s">
        <v>28</v>
      </c>
      <c r="T12" s="817" t="s">
        <v>13</v>
      </c>
      <c r="U12" s="817" t="s">
        <v>1372</v>
      </c>
      <c r="V12" s="817" t="s">
        <v>1373</v>
      </c>
      <c r="W12" s="817" t="s">
        <v>14</v>
      </c>
      <c r="X12" s="817" t="s">
        <v>666</v>
      </c>
      <c r="Y12" s="817" t="s">
        <v>11</v>
      </c>
      <c r="Z12" s="817" t="s">
        <v>2598</v>
      </c>
      <c r="AA12" s="817" t="s">
        <v>2599</v>
      </c>
      <c r="AB12" s="817" t="s">
        <v>2600</v>
      </c>
      <c r="AC12" s="817" t="s">
        <v>2601</v>
      </c>
      <c r="AD12" s="817" t="s">
        <v>2602</v>
      </c>
      <c r="AE12" s="817" t="s">
        <v>2603</v>
      </c>
      <c r="AF12" s="817" t="s">
        <v>2604</v>
      </c>
      <c r="AG12" s="817" t="s">
        <v>2605</v>
      </c>
      <c r="AH12" s="817" t="s">
        <v>2606</v>
      </c>
      <c r="AI12" s="817" t="s">
        <v>2607</v>
      </c>
      <c r="AJ12" s="817" t="s">
        <v>2608</v>
      </c>
      <c r="AK12" s="902" t="s">
        <v>2609</v>
      </c>
      <c r="AL12" s="243" t="s">
        <v>36</v>
      </c>
    </row>
    <row r="13" spans="1:38">
      <c r="B13" s="966" t="s">
        <v>1383</v>
      </c>
      <c r="C13" s="885" cm="1">
        <f t="array" ref="C13">SUMPRODUCT(Calculation!CV$11:CV$189*(Calculation!$FK$11:$FK$189=$B13)*IF($B$5=0,1,Calculation!$CA$11:$CA$189=$B$5))</f>
        <v>0</v>
      </c>
      <c r="D13" s="885" cm="1">
        <f t="array" ref="D13">SUMPRODUCT(Calculation!CW$11:CW$189*(Calculation!$FK$11:$FK$189=$B13)*IF($B$5=0,1,Calculation!$CA$11:$CA$189=$B$5))</f>
        <v>0</v>
      </c>
      <c r="E13" s="885" cm="1">
        <f t="array" ref="E13">SUMPRODUCT(Calculation!CX$11:CX$189*(Calculation!$FK$11:$FK$189=$B13)*IF($B$5=0,1,Calculation!$CA$11:$CA$189=$B$5))</f>
        <v>0</v>
      </c>
      <c r="F13" s="885" cm="1">
        <f t="array" ref="F13">SUMPRODUCT(Calculation!CY$11:CY$189*(Calculation!$FK$11:$FK$189=$B13)*IF($B$5=0,1,Calculation!$CA$11:$CA$189=$B$5))</f>
        <v>0</v>
      </c>
      <c r="G13" s="885" cm="1">
        <f t="array" ref="G13">SUMPRODUCT(Calculation!CZ$11:CZ$189*(Calculation!$FK$11:$FK$189=$B13)*IF($B$5=0,1,Calculation!$CA$11:$CA$189=$B$5))</f>
        <v>0</v>
      </c>
      <c r="H13" s="885" cm="1">
        <f t="array" ref="H13">SUMPRODUCT(Calculation!DA$11:DA$189*(Calculation!$FK$11:$FK$189=$B13)*IF($B$5=0,1,Calculation!$CA$11:$CA$189=$B$5))</f>
        <v>0</v>
      </c>
      <c r="I13" s="885" cm="1">
        <f t="array" ref="I13">SUMPRODUCT(Calculation!DB$11:DB$189*(Calculation!$FK$11:$FK$189=$B13)*IF($B$5=0,1,Calculation!$CA$11:$CA$189=$B$5))</f>
        <v>0</v>
      </c>
      <c r="J13" s="898">
        <f>SUM($C13:$I13)</f>
        <v>0</v>
      </c>
      <c r="K13" s="899" cm="1">
        <f t="array" ref="K13">SUMPRODUCT(Calculation!DD$11:DD$189*(Calculation!$FK$11:$FK$189=$B13)*IF($B$5=0,1,Calculation!$CA$11:$CA$189=$B$5))</f>
        <v>0</v>
      </c>
      <c r="L13" s="899" cm="1">
        <f t="array" ref="L13">SUMPRODUCT(Calculation!DP$11:DP$189*(Calculation!$FK$11:$FK$189=$B13)*IF($B$5=0,0,Calculation!$CB$11:$CB$189=$B$5))
+SUMPRODUCT(Calculation!DP$11:DU$189*(Calculation!$FK$11:$FK$189=$B13)*IF($B$5=0,0,Calculation!$CC$11:$CC$189=$B$5))</f>
        <v>0</v>
      </c>
      <c r="M13" s="885">
        <f>SUM($K13:$L13)</f>
        <v>0</v>
      </c>
      <c r="N13" s="885" cm="1">
        <f t="array" ref="N13">SUMPRODUCT(Calculation!DE$11:DE$189*(Calculation!$FK$11:$FK$189=$B13)*IF($B$5=0,1,Calculation!$CA$11:$CA$189=$B$5))
+SUMPRODUCT(Calculation!DQ$11:DQ$189*(Calculation!$FK$11:$FK$189=$B13)*IF($B$5=0,0,Calculation!$CB$11:$CB$189=$B$5))
+SUMPRODUCT(Calculation!DW$11:DW$189*(Calculation!$FK$11:$FK$189=$B13)*IF($B$5=0,0,Calculation!$CC$11:$CC$189=$B$5))</f>
        <v>0</v>
      </c>
      <c r="O13" s="885" cm="1">
        <f t="array" ref="O13">SUMPRODUCT(Calculation!DF$11:DF$189*(Calculation!$FK$11:$FK$189=$B13)*IF($B$5=0,1,Calculation!$CA$11:$CA$189=$B$5))
+SUMPRODUCT(Calculation!DR$11:DR$189*(Calculation!$FK$11:$FK$189=$B13)*IF($B$5=0,0,Calculation!$CB$11:$CB$189=$B$5))
+SUMPRODUCT(Calculation!DX$11:DX$189*(Calculation!$FK$11:$FK$189=$B13)*IF($B$5=0,0,Calculation!$CC$11:$CC$189=$B$5))</f>
        <v>0</v>
      </c>
      <c r="P13" s="898">
        <f>SUM($M13:$O13)</f>
        <v>0</v>
      </c>
      <c r="Q13" s="900">
        <f>$J13+$P13</f>
        <v>0</v>
      </c>
      <c r="R13" s="885" cm="1">
        <f t="array" ref="R13">SUMPRODUCT(Calculation!DI$11:DI$189*(Calculation!$FK$11:$FK$189=$B13)*IF($B$5=0,1,Calculation!$CA$11:$CA$189=$B$5))</f>
        <v>0</v>
      </c>
      <c r="S13" s="885" cm="1">
        <f t="array" ref="S13">SUMPRODUCT(Calculation!DJ$11:DJ$189*(Calculation!$FK$11:$FK$189=$B13)*IF($B$5=0,1,Calculation!$CA$11:$CA$189=$B$5))
+(SUMPRODUCT(Calculation!DS$11:DS$189*(Calculation!$FK$11:$FK$189=$B13)*IF($B$5=0,0,Calculation!$CB$11:$CB$189=$B$5))
+SUMPRODUCT(Calculation!DY$11:DY$189*(Calculation!$FK$11:$FK$189=$B13)*IF($B$5=0,0,Calculation!$CC$11:$CC$189=$B$5)))*IF(INDEX(Settings[],MATCH(3001,Settings[ID],0),2)="B",1,0)</f>
        <v>0</v>
      </c>
      <c r="T13" s="885" cm="1">
        <f t="array" ref="T13">SUMPRODUCT(Calculation!DK$11:DK$189*(Calculation!$FK$11:$FK$189=$B13)*IF($B$5=0,1,Calculation!$CA$11:$CA$189=$B$5))
+(SUMPRODUCT(Calculation!DS$11:DS$189*(Calculation!$FK$11:$FK$189=$B13)*IF($B$5=0,0,Calculation!$CB$11:$CB$189=$B$5))
+SUMPRODUCT(Calculation!DY$11:DY$189*(Calculation!$FK$11:$FK$189=$B13)*IF($B$5=0,0,Calculation!$CC$11:$CC$189=$B$5)))*IF(INDEX(Settings[],MATCH(3001,Settings[ID],0),2)="B",0,1)</f>
        <v>0</v>
      </c>
      <c r="U13" s="885" cm="1">
        <f t="array" ref="U13">SUMPRODUCT(Calculation!DL$11:DL$189*(Calculation!$FK$11:$FK$189=$B13)*IF($B$5=0,1,Calculation!$CA$11:$CA$189=$B$5))</f>
        <v>0</v>
      </c>
      <c r="V13" s="885" cm="1">
        <f t="array" ref="V13">SUMPRODUCT(Calculation!DM$11:DM$189*(Calculation!$FK$11:$FK$189=$B13)*IF($B$5=0,1,Calculation!$CA$11:$CA$189=$B$5))
+(SUMPRODUCT(Calculation!DT$11:DT$189*(Calculation!$FK$11:$FK$189=$B13)*IF($B$5=0,0,Calculation!$CB$11:$CB$189=$B$5))
+SUMPRODUCT(Calculation!DZ$11:DZ$189*(Calculation!$FK$11:$FK$189=$B13)*IF($B$5=0,0,Calculation!$CC$11:$CC$189=$B$5)))*IF(INDEX(Settings[],MATCH(3002,Settings[ID],0),2)="B",1,0)</f>
        <v>0</v>
      </c>
      <c r="W13" s="885" cm="1">
        <f t="array" ref="W13">SUMPRODUCT(Calculation!DN$11:DN$189*(Calculation!$FK$11:$FK$189=$B13)*IF($B$5=0,1,Calculation!$CA$11:$CA$189=$B$5))
+(SUMPRODUCT(Calculation!DT$11:DT$189*(Calculation!$FK$11:$FK$189=$B13)*IF($B$5=0,0,Calculation!$CB$11:$CB$189=$B$5))
+SUMPRODUCT(Calculation!DZ$11:DZ$189*(Calculation!$FK$11:$FK$189=$B13)*IF($B$5=0,0,Calculation!$CC$11:$CC$189=$B$5)))*IF(INDEX(Settings[],MATCH(3002,Settings[ID],0),2)="B",0,1)</f>
        <v>0</v>
      </c>
      <c r="X13" s="885" cm="1">
        <f t="array" ref="X13">SUMPRODUCT(Calculation!DO$11:DO$189*(Calculation!$FK$11:$FK$189=$B13)*IF($B$5=0,1,Calculation!$CA$11:$CA$189=$B$5))
+SUMPRODUCT(Calculation!DU$11:DU$189*(Calculation!$FK$11:$FK$189=$B13)*IF($B$5=0,0,Calculation!$CB$11:$CB$189=$B$5))
+SUMPRODUCT(Calculation!EA$11:EA$189*(Calculation!$FK$11:$FK$189=$B13)*IF($B$5=0,0,Calculation!$CC$11:$CC$189=$B$5))</f>
        <v>0</v>
      </c>
      <c r="Y13" s="901">
        <f>SUM($Q13:$X13)</f>
        <v>0</v>
      </c>
      <c r="Z13" s="885" cm="1">
        <f t="array" ref="Z13">SUMPRODUCT(Calculation!DQ$11:DQ$189*(Calculation!$FK$11:$FK$189=$B13)*IF($B$5=0,1,0))</f>
        <v>0</v>
      </c>
      <c r="AA13" s="885" cm="1">
        <f t="array" ref="AA13">SUMPRODUCT(Calculation!DR$11:DR$189*(Calculation!$FK$11:$FK$189=$B13)*IF($B$5=0,1,0))</f>
        <v>0</v>
      </c>
      <c r="AB13" s="885" cm="1">
        <f t="array" ref="AB13">SUMPRODUCT(Calculation!DS$11:DS$189*(Calculation!$FK$11:$FK$189=$B13)*IF($B$5=0,1,0))</f>
        <v>0</v>
      </c>
      <c r="AC13" s="885" cm="1">
        <f t="array" ref="AC13">SUMPRODUCT(Calculation!DT$11:DT$189*(Calculation!$FK$11:$FK$189=$B13)*IF($B$5=0,1,0))</f>
        <v>0</v>
      </c>
      <c r="AD13" s="885" cm="1">
        <f t="array" ref="AD13">SUMPRODUCT(Calculation!DU$11:DU$189*(Calculation!$FK$11:$FK$189=$B13)*IF($B$5=0,1,0))</f>
        <v>0</v>
      </c>
      <c r="AE13" s="901">
        <f>IF(SUM($Z13:$AD13)=0,0,SUM($Y13:$AD13))</f>
        <v>0</v>
      </c>
      <c r="AF13" s="885" cm="1">
        <f t="array" ref="AF13">SUMPRODUCT(Calculation!DW$11:DW$189*(Calculation!$FK$11:$FK$189=$B13)*IF($B$5=0,1,0))</f>
        <v>0</v>
      </c>
      <c r="AG13" s="885" cm="1">
        <f t="array" ref="AG13">SUMPRODUCT(Calculation!DX$11:DX$189*(Calculation!$FK$11:$FK$189=$B13)*IF($B$5=0,1,0))</f>
        <v>0</v>
      </c>
      <c r="AH13" s="885" cm="1">
        <f t="array" ref="AH13">SUMPRODUCT(Calculation!DY$11:DY$189*(Calculation!$FK$11:$FK$189=$B13)*IF($B$5=0,1,0))</f>
        <v>0</v>
      </c>
      <c r="AI13" s="885" cm="1">
        <f t="array" ref="AI13">SUMPRODUCT(Calculation!DZ$11:DZ$189*(Calculation!$FK$11:$FK$189=$B13)*IF($B$5=0,1,0))</f>
        <v>0</v>
      </c>
      <c r="AJ13" s="885" cm="1">
        <f t="array" ref="AJ13">SUMPRODUCT(Calculation!EA$11:EA$189*(Calculation!$FK$11:$FK$189=$B13)*IF($B$5=0,1,0))</f>
        <v>0</v>
      </c>
      <c r="AK13" s="901">
        <f>IF(SUM(Cluster2[[Auss.7]:[Sonstige11]])=0,0,SUM($Y13:$AD13,$AF13:$AJ13))</f>
        <v>0</v>
      </c>
      <c r="AL13" s="295">
        <f>IF($B$5=0,$AK13,$Y13)</f>
        <v>0</v>
      </c>
    </row>
    <row r="14" spans="1:38">
      <c r="B14" s="966" t="s">
        <v>1384</v>
      </c>
      <c r="C14" s="885" cm="1">
        <f t="array" ref="C14">SUMPRODUCT(Calculation!CV$11:CV$189*(Calculation!$FK$11:$FK$189=$B14)*IF($B$5=0,1,Calculation!$CA$11:$CA$189=$B$5))</f>
        <v>0</v>
      </c>
      <c r="D14" s="885" cm="1">
        <f t="array" ref="D14">SUMPRODUCT(Calculation!CW$11:CW$189*(Calculation!$FK$11:$FK$189=$B14)*IF($B$5=0,1,Calculation!$CA$11:$CA$189=$B$5))</f>
        <v>0</v>
      </c>
      <c r="E14" s="885" cm="1">
        <f t="array" ref="E14">SUMPRODUCT(Calculation!CX$11:CX$189*(Calculation!$FK$11:$FK$189=$B14)*IF($B$5=0,1,Calculation!$CA$11:$CA$189=$B$5))</f>
        <v>0</v>
      </c>
      <c r="F14" s="885" cm="1">
        <f t="array" ref="F14">SUMPRODUCT(Calculation!CY$11:CY$189*(Calculation!$FK$11:$FK$189=$B14)*IF($B$5=0,1,Calculation!$CA$11:$CA$189=$B$5))</f>
        <v>0</v>
      </c>
      <c r="G14" s="885" cm="1">
        <f t="array" ref="G14">SUMPRODUCT(Calculation!CZ$11:CZ$189*(Calculation!$FK$11:$FK$189=$B14)*IF($B$5=0,1,Calculation!$CA$11:$CA$189=$B$5))</f>
        <v>0</v>
      </c>
      <c r="H14" s="885" cm="1">
        <f t="array" ref="H14">SUMPRODUCT(Calculation!DA$11:DA$189*(Calculation!$FK$11:$FK$189=$B14)*IF($B$5=0,1,Calculation!$CA$11:$CA$189=$B$5))</f>
        <v>0</v>
      </c>
      <c r="I14" s="885" cm="1">
        <f t="array" ref="I14">SUMPRODUCT(Calculation!DB$11:DB$189*(Calculation!$FK$11:$FK$189=$B14)*IF($B$5=0,1,Calculation!$CA$11:$CA$189=$B$5))</f>
        <v>0</v>
      </c>
      <c r="J14" s="898">
        <f>SUM($C14:$I14)</f>
        <v>0</v>
      </c>
      <c r="K14" s="899" cm="1">
        <f t="array" ref="K14">SUMPRODUCT(Calculation!DD$11:DD$189*(Calculation!$FK$11:$FK$189=$B14)*IF($B$5=0,1,Calculation!$CA$11:$CA$189=$B$5))</f>
        <v>0</v>
      </c>
      <c r="L14" s="899" cm="1">
        <f t="array" ref="L14">SUMPRODUCT(Calculation!DP$11:DP$189*(Calculation!$FK$11:$FK$189=$B14)*IF($B$5=0,0,Calculation!$CB$11:$CB$189=$B$5))
+SUMPRODUCT(Calculation!DP$11:DU$189*(Calculation!$FK$11:$FK$189=$B14)*IF($B$5=0,0,Calculation!$CC$11:$CC$189=$B$5))</f>
        <v>0</v>
      </c>
      <c r="M14" s="885">
        <f>SUM($K14:$L14)</f>
        <v>0</v>
      </c>
      <c r="N14" s="885" cm="1">
        <f t="array" ref="N14">SUMPRODUCT(Calculation!DE$11:DE$189*(Calculation!$FK$11:$FK$189=$B14)*IF($B$5=0,1,Calculation!$CA$11:$CA$189=$B$5))
+SUMPRODUCT(Calculation!DQ$11:DQ$189*(Calculation!$FK$11:$FK$189=$B14)*IF($B$5=0,0,Calculation!$CB$11:$CB$189=$B$5))
+SUMPRODUCT(Calculation!DW$11:DW$189*(Calculation!$FK$11:$FK$189=$B14)*IF($B$5=0,0,Calculation!$CC$11:$CC$189=$B$5))</f>
        <v>0</v>
      </c>
      <c r="O14" s="885" cm="1">
        <f t="array" ref="O14">SUMPRODUCT(Calculation!DF$11:DF$189*(Calculation!$FK$11:$FK$189=$B14)*IF($B$5=0,1,Calculation!$CA$11:$CA$189=$B$5))
+SUMPRODUCT(Calculation!DR$11:DR$189*(Calculation!$FK$11:$FK$189=$B14)*IF($B$5=0,0,Calculation!$CB$11:$CB$189=$B$5))
+SUMPRODUCT(Calculation!DX$11:DX$189*(Calculation!$FK$11:$FK$189=$B14)*IF($B$5=0,0,Calculation!$CC$11:$CC$189=$B$5))</f>
        <v>0</v>
      </c>
      <c r="P14" s="898">
        <f>SUM($M14:$O14)</f>
        <v>0</v>
      </c>
      <c r="Q14" s="900">
        <f>$J14+$P14</f>
        <v>0</v>
      </c>
      <c r="R14" s="885" cm="1">
        <f t="array" ref="R14">SUMPRODUCT(Calculation!DI$11:DI$189*(Calculation!$FK$11:$FK$189=$B14)*IF($B$5=0,1,Calculation!$CA$11:$CA$189=$B$5))</f>
        <v>0</v>
      </c>
      <c r="S14" s="885" cm="1">
        <f t="array" ref="S14">SUMPRODUCT(Calculation!DJ$11:DJ$189*(Calculation!$FK$11:$FK$189=$B14)*IF($B$5=0,1,Calculation!$CA$11:$CA$189=$B$5))
+(SUMPRODUCT(Calculation!DS$11:DS$189*(Calculation!$FK$11:$FK$189=$B14)*IF($B$5=0,0,Calculation!$CB$11:$CB$189=$B$5))
+SUMPRODUCT(Calculation!DY$11:DY$189*(Calculation!$FK$11:$FK$189=$B14)*IF($B$5=0,0,Calculation!$CC$11:$CC$189=$B$5)))*IF(INDEX(Settings[],MATCH(3001,Settings[ID],0),2)="B",1,0)</f>
        <v>0</v>
      </c>
      <c r="T14" s="885" cm="1">
        <f t="array" ref="T14">SUMPRODUCT(Calculation!DK$11:DK$189*(Calculation!$FK$11:$FK$189=$B14)*IF($B$5=0,1,Calculation!$CA$11:$CA$189=$B$5))
+(SUMPRODUCT(Calculation!DS$11:DS$189*(Calculation!$FK$11:$FK$189=$B14)*IF($B$5=0,0,Calculation!$CB$11:$CB$189=$B$5))
+SUMPRODUCT(Calculation!DY$11:DY$189*(Calculation!$FK$11:$FK$189=$B14)*IF($B$5=0,0,Calculation!$CC$11:$CC$189=$B$5)))*IF(INDEX(Settings[],MATCH(3001,Settings[ID],0),2)="B",0,1)</f>
        <v>0</v>
      </c>
      <c r="U14" s="885" cm="1">
        <f t="array" ref="U14">SUMPRODUCT(Calculation!DL$11:DL$189*(Calculation!$FK$11:$FK$189=$B14)*IF($B$5=0,1,Calculation!$CA$11:$CA$189=$B$5))</f>
        <v>0</v>
      </c>
      <c r="V14" s="885" cm="1">
        <f t="array" ref="V14">SUMPRODUCT(Calculation!DM$11:DM$189*(Calculation!$FK$11:$FK$189=$B14)*IF($B$5=0,1,Calculation!$CA$11:$CA$189=$B$5))
+(SUMPRODUCT(Calculation!DT$11:DT$189*(Calculation!$FK$11:$FK$189=$B14)*IF($B$5=0,0,Calculation!$CB$11:$CB$189=$B$5))
+SUMPRODUCT(Calculation!DZ$11:DZ$189*(Calculation!$FK$11:$FK$189=$B14)*IF($B$5=0,0,Calculation!$CC$11:$CC$189=$B$5)))*IF(INDEX(Settings[],MATCH(3002,Settings[ID],0),2)="B",1,0)</f>
        <v>0</v>
      </c>
      <c r="W14" s="885" cm="1">
        <f t="array" ref="W14">SUMPRODUCT(Calculation!DN$11:DN$189*(Calculation!$FK$11:$FK$189=$B14)*IF($B$5=0,1,Calculation!$CA$11:$CA$189=$B$5))
+(SUMPRODUCT(Calculation!DT$11:DT$189*(Calculation!$FK$11:$FK$189=$B14)*IF($B$5=0,0,Calculation!$CB$11:$CB$189=$B$5))
+SUMPRODUCT(Calculation!DZ$11:DZ$189*(Calculation!$FK$11:$FK$189=$B14)*IF($B$5=0,0,Calculation!$CC$11:$CC$189=$B$5)))*IF(INDEX(Settings[],MATCH(3002,Settings[ID],0),2)="B",0,1)</f>
        <v>0</v>
      </c>
      <c r="X14" s="885" cm="1">
        <f t="array" ref="X14">SUMPRODUCT(Calculation!DO$11:DO$189*(Calculation!$FK$11:$FK$189=$B14)*IF($B$5=0,1,Calculation!$CA$11:$CA$189=$B$5))
+SUMPRODUCT(Calculation!DU$11:DU$189*(Calculation!$FK$11:$FK$189=$B14)*IF($B$5=0,0,Calculation!$CB$11:$CB$189=$B$5))
+SUMPRODUCT(Calculation!EA$11:EA$189*(Calculation!$FK$11:$FK$189=$B14)*IF($B$5=0,0,Calculation!$CC$11:$CC$189=$B$5))</f>
        <v>0</v>
      </c>
      <c r="Y14" s="901">
        <f>SUM($Q14:$X14)</f>
        <v>0</v>
      </c>
      <c r="Z14" s="885" cm="1">
        <f t="array" ref="Z14">SUMPRODUCT(Calculation!DQ$11:DQ$189*(Calculation!$FK$11:$FK$189=$B14)*IF($B$5=0,1,0))</f>
        <v>0</v>
      </c>
      <c r="AA14" s="885" cm="1">
        <f t="array" ref="AA14">SUMPRODUCT(Calculation!DR$11:DR$189*(Calculation!$FK$11:$FK$189=$B14)*IF($B$5=0,1,0))</f>
        <v>0</v>
      </c>
      <c r="AB14" s="885" cm="1">
        <f t="array" ref="AB14">SUMPRODUCT(Calculation!DS$11:DS$189*(Calculation!$FK$11:$FK$189=$B14)*IF($B$5=0,1,0))</f>
        <v>0</v>
      </c>
      <c r="AC14" s="885" cm="1">
        <f t="array" ref="AC14">SUMPRODUCT(Calculation!DT$11:DT$189*(Calculation!$FK$11:$FK$189=$B14)*IF($B$5=0,1,0))</f>
        <v>0</v>
      </c>
      <c r="AD14" s="885" cm="1">
        <f t="array" ref="AD14">SUMPRODUCT(Calculation!DU$11:DU$189*(Calculation!$FK$11:$FK$189=$B14)*IF($B$5=0,1,0))</f>
        <v>0</v>
      </c>
      <c r="AE14" s="901">
        <f>IF(SUM($Z14:$AD14)=0,0,SUM($Y14:$AD14))</f>
        <v>0</v>
      </c>
      <c r="AF14" s="885" cm="1">
        <f t="array" ref="AF14">SUMPRODUCT(Calculation!DW$11:DW$189*(Calculation!$FK$11:$FK$189=$B14)*IF($B$5=0,1,0))</f>
        <v>0</v>
      </c>
      <c r="AG14" s="885" cm="1">
        <f t="array" ref="AG14">SUMPRODUCT(Calculation!DX$11:DX$189*(Calculation!$FK$11:$FK$189=$B14)*IF($B$5=0,1,0))</f>
        <v>0</v>
      </c>
      <c r="AH14" s="885" cm="1">
        <f t="array" ref="AH14">SUMPRODUCT(Calculation!DY$11:DY$189*(Calculation!$FK$11:$FK$189=$B14)*IF($B$5=0,1,0))</f>
        <v>0</v>
      </c>
      <c r="AI14" s="885" cm="1">
        <f t="array" ref="AI14">SUMPRODUCT(Calculation!DZ$11:DZ$189*(Calculation!$FK$11:$FK$189=$B14)*IF($B$5=0,1,0))</f>
        <v>0</v>
      </c>
      <c r="AJ14" s="885" cm="1">
        <f t="array" ref="AJ14">SUMPRODUCT(Calculation!EA$11:EA$189*(Calculation!$FK$11:$FK$189=$B14)*IF($B$5=0,1,0))</f>
        <v>0</v>
      </c>
      <c r="AK14" s="901">
        <f>IF(SUM(Cluster2[[Auss.7]:[Sonstige11]])=0,0,SUM($Y14:$AD14,$AF14:$AJ14))</f>
        <v>0</v>
      </c>
      <c r="AL14" s="295">
        <f>IF($B$5=0,$AK14,$Y14)</f>
        <v>0</v>
      </c>
    </row>
    <row r="15" spans="1:38">
      <c r="B15" s="966" t="s">
        <v>1254</v>
      </c>
      <c r="C15" s="885" cm="1">
        <f t="array" ref="C15">SUMPRODUCT(Calculation!CV$11:CV$189*(Calculation!$FK$11:$FK$189=$B15)*IF($B$5=0,1,Calculation!$CA$11:$CA$189=$B$5))</f>
        <v>0</v>
      </c>
      <c r="D15" s="885" cm="1">
        <f t="array" ref="D15">SUMPRODUCT(Calculation!CW$11:CW$189*(Calculation!$FK$11:$FK$189=$B15)*IF($B$5=0,1,Calculation!$CA$11:$CA$189=$B$5))</f>
        <v>0</v>
      </c>
      <c r="E15" s="885" cm="1">
        <f t="array" ref="E15">SUMPRODUCT(Calculation!CX$11:CX$189*(Calculation!$FK$11:$FK$189=$B15)*IF($B$5=0,1,Calculation!$CA$11:$CA$189=$B$5))</f>
        <v>0</v>
      </c>
      <c r="F15" s="885" cm="1">
        <f t="array" ref="F15">SUMPRODUCT(Calculation!CY$11:CY$189*(Calculation!$FK$11:$FK$189=$B15)*IF($B$5=0,1,Calculation!$CA$11:$CA$189=$B$5))</f>
        <v>0</v>
      </c>
      <c r="G15" s="885" cm="1">
        <f t="array" ref="G15">SUMPRODUCT(Calculation!CZ$11:CZ$189*(Calculation!$FK$11:$FK$189=$B15)*IF($B$5=0,1,Calculation!$CA$11:$CA$189=$B$5))</f>
        <v>0</v>
      </c>
      <c r="H15" s="885" cm="1">
        <f t="array" ref="H15">SUMPRODUCT(Calculation!DA$11:DA$189*(Calculation!$FK$11:$FK$189=$B15)*IF($B$5=0,1,Calculation!$CA$11:$CA$189=$B$5))</f>
        <v>0</v>
      </c>
      <c r="I15" s="885" cm="1">
        <f t="array" ref="I15">SUMPRODUCT(Calculation!DB$11:DB$189*(Calculation!$FK$11:$FK$189=$B15)*IF($B$5=0,1,Calculation!$CA$11:$CA$189=$B$5))</f>
        <v>0</v>
      </c>
      <c r="J15" s="898">
        <f>SUM($C15:$I15)</f>
        <v>0</v>
      </c>
      <c r="K15" s="899" cm="1">
        <f t="array" ref="K15">SUMPRODUCT(Calculation!DD$11:DD$189*(Calculation!$FK$11:$FK$189=$B15)*IF($B$5=0,1,Calculation!$CA$11:$CA$189=$B$5))</f>
        <v>0</v>
      </c>
      <c r="L15" s="899" cm="1">
        <f t="array" ref="L15">SUMPRODUCT(Calculation!DP$11:DP$189*(Calculation!$FK$11:$FK$189=$B15)*IF($B$5=0,0,Calculation!$CB$11:$CB$189=$B$5))
+SUMPRODUCT(Calculation!DP$11:DU$189*(Calculation!$FK$11:$FK$189=$B15)*IF($B$5=0,0,Calculation!$CC$11:$CC$189=$B$5))</f>
        <v>0</v>
      </c>
      <c r="M15" s="885">
        <f>SUM($K15:$L15)</f>
        <v>0</v>
      </c>
      <c r="N15" s="885" cm="1">
        <f t="array" ref="N15">SUMPRODUCT(Calculation!DE$11:DE$189*(Calculation!$FK$11:$FK$189=$B15)*IF($B$5=0,1,Calculation!$CA$11:$CA$189=$B$5))
+SUMPRODUCT(Calculation!DQ$11:DQ$189*(Calculation!$FK$11:$FK$189=$B15)*IF($B$5=0,0,Calculation!$CB$11:$CB$189=$B$5))
+SUMPRODUCT(Calculation!DW$11:DW$189*(Calculation!$FK$11:$FK$189=$B15)*IF($B$5=0,0,Calculation!$CC$11:$CC$189=$B$5))</f>
        <v>0</v>
      </c>
      <c r="O15" s="885" cm="1">
        <f t="array" ref="O15">SUMPRODUCT(Calculation!DF$11:DF$189*(Calculation!$FK$11:$FK$189=$B15)*IF($B$5=0,1,Calculation!$CA$11:$CA$189=$B$5))
+SUMPRODUCT(Calculation!DR$11:DR$189*(Calculation!$FK$11:$FK$189=$B15)*IF($B$5=0,0,Calculation!$CB$11:$CB$189=$B$5))
+SUMPRODUCT(Calculation!DX$11:DX$189*(Calculation!$FK$11:$FK$189=$B15)*IF($B$5=0,0,Calculation!$CC$11:$CC$189=$B$5))</f>
        <v>0</v>
      </c>
      <c r="P15" s="898">
        <f>SUM($M15:$O15)</f>
        <v>0</v>
      </c>
      <c r="Q15" s="900">
        <f>$J15+$P15</f>
        <v>0</v>
      </c>
      <c r="R15" s="885" cm="1">
        <f t="array" ref="R15">SUMPRODUCT(Calculation!DI$11:DI$189*(Calculation!$FK$11:$FK$189=$B15)*IF($B$5=0,1,Calculation!$CA$11:$CA$189=$B$5))</f>
        <v>0</v>
      </c>
      <c r="S15" s="885" cm="1">
        <f t="array" ref="S15">SUMPRODUCT(Calculation!DJ$11:DJ$189*(Calculation!$FK$11:$FK$189=$B15)*IF($B$5=0,1,Calculation!$CA$11:$CA$189=$B$5))
+(SUMPRODUCT(Calculation!DS$11:DS$189*(Calculation!$FK$11:$FK$189=$B15)*IF($B$5=0,0,Calculation!$CB$11:$CB$189=$B$5))
+SUMPRODUCT(Calculation!DY$11:DY$189*(Calculation!$FK$11:$FK$189=$B15)*IF($B$5=0,0,Calculation!$CC$11:$CC$189=$B$5)))*IF(INDEX(Settings[],MATCH(3001,Settings[ID],0),2)="B",1,0)</f>
        <v>0</v>
      </c>
      <c r="T15" s="885" cm="1">
        <f t="array" ref="T15">SUMPRODUCT(Calculation!DK$11:DK$189*(Calculation!$FK$11:$FK$189=$B15)*IF($B$5=0,1,Calculation!$CA$11:$CA$189=$B$5))
+(SUMPRODUCT(Calculation!DS$11:DS$189*(Calculation!$FK$11:$FK$189=$B15)*IF($B$5=0,0,Calculation!$CB$11:$CB$189=$B$5))
+SUMPRODUCT(Calculation!DY$11:DY$189*(Calculation!$FK$11:$FK$189=$B15)*IF($B$5=0,0,Calculation!$CC$11:$CC$189=$B$5)))*IF(INDEX(Settings[],MATCH(3001,Settings[ID],0),2)="B",0,1)</f>
        <v>0</v>
      </c>
      <c r="U15" s="885" cm="1">
        <f t="array" ref="U15">SUMPRODUCT(Calculation!DL$11:DL$189*(Calculation!$FK$11:$FK$189=$B15)*IF($B$5=0,1,Calculation!$CA$11:$CA$189=$B$5))</f>
        <v>0</v>
      </c>
      <c r="V15" s="885" cm="1">
        <f t="array" ref="V15">SUMPRODUCT(Calculation!DM$11:DM$189*(Calculation!$FK$11:$FK$189=$B15)*IF($B$5=0,1,Calculation!$CA$11:$CA$189=$B$5))
+(SUMPRODUCT(Calculation!DT$11:DT$189*(Calculation!$FK$11:$FK$189=$B15)*IF($B$5=0,0,Calculation!$CB$11:$CB$189=$B$5))
+SUMPRODUCT(Calculation!DZ$11:DZ$189*(Calculation!$FK$11:$FK$189=$B15)*IF($B$5=0,0,Calculation!$CC$11:$CC$189=$B$5)))*IF(INDEX(Settings[],MATCH(3002,Settings[ID],0),2)="B",1,0)</f>
        <v>0</v>
      </c>
      <c r="W15" s="885" cm="1">
        <f t="array" ref="W15">SUMPRODUCT(Calculation!DN$11:DN$189*(Calculation!$FK$11:$FK$189=$B15)*IF($B$5=0,1,Calculation!$CA$11:$CA$189=$B$5))
+(SUMPRODUCT(Calculation!DT$11:DT$189*(Calculation!$FK$11:$FK$189=$B15)*IF($B$5=0,0,Calculation!$CB$11:$CB$189=$B$5))
+SUMPRODUCT(Calculation!DZ$11:DZ$189*(Calculation!$FK$11:$FK$189=$B15)*IF($B$5=0,0,Calculation!$CC$11:$CC$189=$B$5)))*IF(INDEX(Settings[],MATCH(3002,Settings[ID],0),2)="B",0,1)</f>
        <v>0</v>
      </c>
      <c r="X15" s="885" cm="1">
        <f t="array" ref="X15">SUMPRODUCT(Calculation!DO$11:DO$189*(Calculation!$FK$11:$FK$189=$B15)*IF($B$5=0,1,Calculation!$CA$11:$CA$189=$B$5))
+SUMPRODUCT(Calculation!DU$11:DU$189*(Calculation!$FK$11:$FK$189=$B15)*IF($B$5=0,0,Calculation!$CB$11:$CB$189=$B$5))
+SUMPRODUCT(Calculation!EA$11:EA$189*(Calculation!$FK$11:$FK$189=$B15)*IF($B$5=0,0,Calculation!$CC$11:$CC$189=$B$5))</f>
        <v>0</v>
      </c>
      <c r="Y15" s="901">
        <f>SUM($Q15:$X15)</f>
        <v>0</v>
      </c>
      <c r="Z15" s="885" cm="1">
        <f t="array" ref="Z15">SUMPRODUCT(Calculation!DQ$11:DQ$189*(Calculation!$FK$11:$FK$189=$B15)*IF($B$5=0,1,0))</f>
        <v>0</v>
      </c>
      <c r="AA15" s="885" cm="1">
        <f t="array" ref="AA15">SUMPRODUCT(Calculation!DR$11:DR$189*(Calculation!$FK$11:$FK$189=$B15)*IF($B$5=0,1,0))</f>
        <v>0</v>
      </c>
      <c r="AB15" s="885" cm="1">
        <f t="array" ref="AB15">SUMPRODUCT(Calculation!DS$11:DS$189*(Calculation!$FK$11:$FK$189=$B15)*IF($B$5=0,1,0))</f>
        <v>0</v>
      </c>
      <c r="AC15" s="885" cm="1">
        <f t="array" ref="AC15">SUMPRODUCT(Calculation!DT$11:DT$189*(Calculation!$FK$11:$FK$189=$B15)*IF($B$5=0,1,0))</f>
        <v>0</v>
      </c>
      <c r="AD15" s="885" cm="1">
        <f t="array" ref="AD15">SUMPRODUCT(Calculation!DU$11:DU$189*(Calculation!$FK$11:$FK$189=$B15)*IF($B$5=0,1,0))</f>
        <v>0</v>
      </c>
      <c r="AE15" s="901">
        <f>IF(SUM($Z15:$AD15)=0,0,SUM($Y15:$AD15))</f>
        <v>0</v>
      </c>
      <c r="AF15" s="885" cm="1">
        <f t="array" ref="AF15">SUMPRODUCT(Calculation!DW$11:DW$189*(Calculation!$FK$11:$FK$189=$B15)*IF($B$5=0,1,0))</f>
        <v>0</v>
      </c>
      <c r="AG15" s="885" cm="1">
        <f t="array" ref="AG15">SUMPRODUCT(Calculation!DX$11:DX$189*(Calculation!$FK$11:$FK$189=$B15)*IF($B$5=0,1,0))</f>
        <v>0</v>
      </c>
      <c r="AH15" s="885" cm="1">
        <f t="array" ref="AH15">SUMPRODUCT(Calculation!DY$11:DY$189*(Calculation!$FK$11:$FK$189=$B15)*IF($B$5=0,1,0))</f>
        <v>0</v>
      </c>
      <c r="AI15" s="885" cm="1">
        <f t="array" ref="AI15">SUMPRODUCT(Calculation!DZ$11:DZ$189*(Calculation!$FK$11:$FK$189=$B15)*IF($B$5=0,1,0))</f>
        <v>0</v>
      </c>
      <c r="AJ15" s="885" cm="1">
        <f t="array" ref="AJ15">SUMPRODUCT(Calculation!EA$11:EA$189*(Calculation!$FK$11:$FK$189=$B15)*IF($B$5=0,1,0))</f>
        <v>0</v>
      </c>
      <c r="AK15" s="901">
        <f>IF(SUM(Cluster2[[Auss.7]:[Sonstige11]])=0,0,SUM($Y15:$AD15,$AF15:$AJ15))</f>
        <v>0</v>
      </c>
      <c r="AL15" s="295">
        <f>IF($B$5=0,$AK15,$Y15)</f>
        <v>0</v>
      </c>
    </row>
    <row r="16" spans="1:38">
      <c r="B16" s="966" t="s">
        <v>961</v>
      </c>
      <c r="C16" s="885" cm="1">
        <f t="array" ref="C16">SUMPRODUCT(Calculation!CV$11:CV$189*(Calculation!$FK$11:$FK$189=$B16)*IF($B$5=0,1,Calculation!$CA$11:$CA$189=$B$5))</f>
        <v>0</v>
      </c>
      <c r="D16" s="885" cm="1">
        <f t="array" ref="D16">SUMPRODUCT(Calculation!CW$11:CW$189*(Calculation!$FK$11:$FK$189=$B16)*IF($B$5=0,1,Calculation!$CA$11:$CA$189=$B$5))</f>
        <v>0</v>
      </c>
      <c r="E16" s="885" cm="1">
        <f t="array" ref="E16">SUMPRODUCT(Calculation!CX$11:CX$189*(Calculation!$FK$11:$FK$189=$B16)*IF($B$5=0,1,Calculation!$CA$11:$CA$189=$B$5))</f>
        <v>0</v>
      </c>
      <c r="F16" s="885" cm="1">
        <f t="array" ref="F16">SUMPRODUCT(Calculation!CY$11:CY$189*(Calculation!$FK$11:$FK$189=$B16)*IF($B$5=0,1,Calculation!$CA$11:$CA$189=$B$5))</f>
        <v>0</v>
      </c>
      <c r="G16" s="885" cm="1">
        <f t="array" ref="G16">SUMPRODUCT(Calculation!CZ$11:CZ$189*(Calculation!$FK$11:$FK$189=$B16)*IF($B$5=0,1,Calculation!$CA$11:$CA$189=$B$5))</f>
        <v>0</v>
      </c>
      <c r="H16" s="885" cm="1">
        <f t="array" ref="H16">SUMPRODUCT(Calculation!DA$11:DA$189*(Calculation!$FK$11:$FK$189=$B16)*IF($B$5=0,1,Calculation!$CA$11:$CA$189=$B$5))</f>
        <v>0</v>
      </c>
      <c r="I16" s="885" cm="1">
        <f t="array" ref="I16">SUMPRODUCT(Calculation!DB$11:DB$189*(Calculation!$FK$11:$FK$189=$B16)*IF($B$5=0,1,Calculation!$CA$11:$CA$189=$B$5))</f>
        <v>0</v>
      </c>
      <c r="J16" s="898">
        <f>SUM($C16:$I16)</f>
        <v>0</v>
      </c>
      <c r="K16" s="899" cm="1">
        <f t="array" ref="K16">SUMPRODUCT(Calculation!DD$11:DD$189*(Calculation!$FK$11:$FK$189=$B16)*IF($B$5=0,1,Calculation!$CA$11:$CA$189=$B$5))</f>
        <v>0</v>
      </c>
      <c r="L16" s="899" cm="1">
        <f t="array" ref="L16">SUMPRODUCT(Calculation!DP$11:DP$189*(Calculation!$FK$11:$FK$189=$B16)*IF($B$5=0,0,Calculation!$CB$11:$CB$189=$B$5))
+SUMPRODUCT(Calculation!DP$11:DU$189*(Calculation!$FK$11:$FK$189=$B16)*IF($B$5=0,0,Calculation!$CC$11:$CC$189=$B$5))</f>
        <v>0</v>
      </c>
      <c r="M16" s="885">
        <f>SUM($K16:$L16)</f>
        <v>0</v>
      </c>
      <c r="N16" s="885" cm="1">
        <f t="array" ref="N16">SUMPRODUCT(Calculation!DE$11:DE$189*(Calculation!$FK$11:$FK$189=$B16)*IF($B$5=0,1,Calculation!$CA$11:$CA$189=$B$5))
+SUMPRODUCT(Calculation!DQ$11:DQ$189*(Calculation!$FK$11:$FK$189=$B16)*IF($B$5=0,0,Calculation!$CB$11:$CB$189=$B$5))
+SUMPRODUCT(Calculation!DW$11:DW$189*(Calculation!$FK$11:$FK$189=$B16)*IF($B$5=0,0,Calculation!$CC$11:$CC$189=$B$5))</f>
        <v>0</v>
      </c>
      <c r="O16" s="885" cm="1">
        <f t="array" ref="O16">SUMPRODUCT(Calculation!DF$11:DF$189*(Calculation!$FK$11:$FK$189=$B16)*IF($B$5=0,1,Calculation!$CA$11:$CA$189=$B$5))
+SUMPRODUCT(Calculation!DR$11:DR$189*(Calculation!$FK$11:$FK$189=$B16)*IF($B$5=0,0,Calculation!$CB$11:$CB$189=$B$5))
+SUMPRODUCT(Calculation!DX$11:DX$189*(Calculation!$FK$11:$FK$189=$B16)*IF($B$5=0,0,Calculation!$CC$11:$CC$189=$B$5))</f>
        <v>0</v>
      </c>
      <c r="P16" s="898">
        <f>SUM($M16:$O16)</f>
        <v>0</v>
      </c>
      <c r="Q16" s="900">
        <f>$J16+$P16</f>
        <v>0</v>
      </c>
      <c r="R16" s="885" cm="1">
        <f t="array" ref="R16">SUMPRODUCT(Calculation!DI$11:DI$189*(Calculation!$FK$11:$FK$189=$B16)*IF($B$5=0,1,Calculation!$CA$11:$CA$189=$B$5))</f>
        <v>0</v>
      </c>
      <c r="S16" s="885" cm="1">
        <f t="array" ref="S16">SUMPRODUCT(Calculation!DJ$11:DJ$189*(Calculation!$FK$11:$FK$189=$B16)*IF($B$5=0,1,Calculation!$CA$11:$CA$189=$B$5))
+(SUMPRODUCT(Calculation!DS$11:DS$189*(Calculation!$FK$11:$FK$189=$B16)*IF($B$5=0,0,Calculation!$CB$11:$CB$189=$B$5))
+SUMPRODUCT(Calculation!DY$11:DY$189*(Calculation!$FK$11:$FK$189=$B16)*IF($B$5=0,0,Calculation!$CC$11:$CC$189=$B$5)))*IF(INDEX(Settings[],MATCH(3001,Settings[ID],0),2)="B",1,0)</f>
        <v>0</v>
      </c>
      <c r="T16" s="885" cm="1">
        <f t="array" ref="T16">SUMPRODUCT(Calculation!DK$11:DK$189*(Calculation!$FK$11:$FK$189=$B16)*IF($B$5=0,1,Calculation!$CA$11:$CA$189=$B$5))
+(SUMPRODUCT(Calculation!DS$11:DS$189*(Calculation!$FK$11:$FK$189=$B16)*IF($B$5=0,0,Calculation!$CB$11:$CB$189=$B$5))
+SUMPRODUCT(Calculation!DY$11:DY$189*(Calculation!$FK$11:$FK$189=$B16)*IF($B$5=0,0,Calculation!$CC$11:$CC$189=$B$5)))*IF(INDEX(Settings[],MATCH(3001,Settings[ID],0),2)="B",0,1)</f>
        <v>0</v>
      </c>
      <c r="U16" s="885" cm="1">
        <f t="array" ref="U16">SUMPRODUCT(Calculation!DL$11:DL$189*(Calculation!$FK$11:$FK$189=$B16)*IF($B$5=0,1,Calculation!$CA$11:$CA$189=$B$5))</f>
        <v>0</v>
      </c>
      <c r="V16" s="885" cm="1">
        <f t="array" ref="V16">SUMPRODUCT(Calculation!DM$11:DM$189*(Calculation!$FK$11:$FK$189=$B16)*IF($B$5=0,1,Calculation!$CA$11:$CA$189=$B$5))
+(SUMPRODUCT(Calculation!DT$11:DT$189*(Calculation!$FK$11:$FK$189=$B16)*IF($B$5=0,0,Calculation!$CB$11:$CB$189=$B$5))
+SUMPRODUCT(Calculation!DZ$11:DZ$189*(Calculation!$FK$11:$FK$189=$B16)*IF($B$5=0,0,Calculation!$CC$11:$CC$189=$B$5)))*IF(INDEX(Settings[],MATCH(3002,Settings[ID],0),2)="B",1,0)</f>
        <v>0</v>
      </c>
      <c r="W16" s="885" cm="1">
        <f t="array" ref="W16">SUMPRODUCT(Calculation!DN$11:DN$189*(Calculation!$FK$11:$FK$189=$B16)*IF($B$5=0,1,Calculation!$CA$11:$CA$189=$B$5))
+(SUMPRODUCT(Calculation!DT$11:DT$189*(Calculation!$FK$11:$FK$189=$B16)*IF($B$5=0,0,Calculation!$CB$11:$CB$189=$B$5))
+SUMPRODUCT(Calculation!DZ$11:DZ$189*(Calculation!$FK$11:$FK$189=$B16)*IF($B$5=0,0,Calculation!$CC$11:$CC$189=$B$5)))*IF(INDEX(Settings[],MATCH(3002,Settings[ID],0),2)="B",0,1)</f>
        <v>0</v>
      </c>
      <c r="X16" s="885" cm="1">
        <f t="array" ref="X16">SUMPRODUCT(Calculation!DO$11:DO$189*(Calculation!$FK$11:$FK$189=$B16)*IF($B$5=0,1,Calculation!$CA$11:$CA$189=$B$5))
+SUMPRODUCT(Calculation!DU$11:DU$189*(Calculation!$FK$11:$FK$189=$B16)*IF($B$5=0,0,Calculation!$CB$11:$CB$189=$B$5))
+SUMPRODUCT(Calculation!EA$11:EA$189*(Calculation!$FK$11:$FK$189=$B16)*IF($B$5=0,0,Calculation!$CC$11:$CC$189=$B$5))</f>
        <v>0</v>
      </c>
      <c r="Y16" s="901">
        <f>SUM($Q16:$X16)</f>
        <v>0</v>
      </c>
      <c r="Z16" s="885" cm="1">
        <f t="array" ref="Z16">SUMPRODUCT(Calculation!DQ$11:DQ$189*(Calculation!$FK$11:$FK$189=$B16)*IF($B$5=0,1,0))</f>
        <v>0</v>
      </c>
      <c r="AA16" s="885" cm="1">
        <f t="array" ref="AA16">SUMPRODUCT(Calculation!DR$11:DR$189*(Calculation!$FK$11:$FK$189=$B16)*IF($B$5=0,1,0))</f>
        <v>0</v>
      </c>
      <c r="AB16" s="885" cm="1">
        <f t="array" ref="AB16">SUMPRODUCT(Calculation!DS$11:DS$189*(Calculation!$FK$11:$FK$189=$B16)*IF($B$5=0,1,0))</f>
        <v>0</v>
      </c>
      <c r="AC16" s="885" cm="1">
        <f t="array" ref="AC16">SUMPRODUCT(Calculation!DT$11:DT$189*(Calculation!$FK$11:$FK$189=$B16)*IF($B$5=0,1,0))</f>
        <v>0</v>
      </c>
      <c r="AD16" s="885" cm="1">
        <f t="array" ref="AD16">SUMPRODUCT(Calculation!DU$11:DU$189*(Calculation!$FK$11:$FK$189=$B16)*IF($B$5=0,1,0))</f>
        <v>0</v>
      </c>
      <c r="AE16" s="901">
        <f>IF(SUM($Z16:$AD16)=0,0,SUM($Y16:$AD16))</f>
        <v>0</v>
      </c>
      <c r="AF16" s="885" cm="1">
        <f t="array" ref="AF16">SUMPRODUCT(Calculation!DW$11:DW$189*(Calculation!$FK$11:$FK$189=$B16)*IF($B$5=0,1,0))</f>
        <v>0</v>
      </c>
      <c r="AG16" s="885" cm="1">
        <f t="array" ref="AG16">SUMPRODUCT(Calculation!DX$11:DX$189*(Calculation!$FK$11:$FK$189=$B16)*IF($B$5=0,1,0))</f>
        <v>0</v>
      </c>
      <c r="AH16" s="885" cm="1">
        <f t="array" ref="AH16">SUMPRODUCT(Calculation!DY$11:DY$189*(Calculation!$FK$11:$FK$189=$B16)*IF($B$5=0,1,0))</f>
        <v>0</v>
      </c>
      <c r="AI16" s="885" cm="1">
        <f t="array" ref="AI16">SUMPRODUCT(Calculation!DZ$11:DZ$189*(Calculation!$FK$11:$FK$189=$B16)*IF($B$5=0,1,0))</f>
        <v>0</v>
      </c>
      <c r="AJ16" s="885" cm="1">
        <f t="array" ref="AJ16">SUMPRODUCT(Calculation!EA$11:EA$189*(Calculation!$FK$11:$FK$189=$B16)*IF($B$5=0,1,0))</f>
        <v>0</v>
      </c>
      <c r="AK16" s="901">
        <f>IF(SUM(Cluster2[[Auss.7]:[Sonstige11]])=0,0,SUM($Y16:$AD16,$AF16:$AJ16))</f>
        <v>0</v>
      </c>
      <c r="AL16" s="295">
        <f>IF($B$5=0,$AK16,$Y16)</f>
        <v>0</v>
      </c>
    </row>
    <row r="17" spans="2:38">
      <c r="B17" s="966" t="s">
        <v>667</v>
      </c>
      <c r="C17" s="885" cm="1">
        <f t="array" ref="C17">SUMPRODUCT(Calculation!CV$11:CV$189*(Calculation!$FK$11:$FK$189=$B17)*IF($B$5=0,1,Calculation!$CA$11:$CA$189=$B$5))</f>
        <v>0</v>
      </c>
      <c r="D17" s="885" cm="1">
        <f t="array" ref="D17">SUMPRODUCT(Calculation!CW$11:CW$189*(Calculation!$FK$11:$FK$189=$B17)*IF($B$5=0,1,Calculation!$CA$11:$CA$189=$B$5))</f>
        <v>0</v>
      </c>
      <c r="E17" s="885" cm="1">
        <f t="array" ref="E17">SUMPRODUCT(Calculation!CX$11:CX$189*(Calculation!$FK$11:$FK$189=$B17)*IF($B$5=0,1,Calculation!$CA$11:$CA$189=$B$5))</f>
        <v>0</v>
      </c>
      <c r="F17" s="885" cm="1">
        <f t="array" ref="F17">SUMPRODUCT(Calculation!CY$11:CY$189*(Calculation!$FK$11:$FK$189=$B17)*IF($B$5=0,1,Calculation!$CA$11:$CA$189=$B$5))</f>
        <v>0</v>
      </c>
      <c r="G17" s="885" cm="1">
        <f t="array" ref="G17">SUMPRODUCT(Calculation!CZ$11:CZ$189*(Calculation!$FK$11:$FK$189=$B17)*IF($B$5=0,1,Calculation!$CA$11:$CA$189=$B$5))</f>
        <v>0</v>
      </c>
      <c r="H17" s="885" cm="1">
        <f t="array" ref="H17">SUMPRODUCT(Calculation!DA$11:DA$189*(Calculation!$FK$11:$FK$189=$B17)*IF($B$5=0,1,Calculation!$CA$11:$CA$189=$B$5))</f>
        <v>0</v>
      </c>
      <c r="I17" s="885" cm="1">
        <f t="array" ref="I17">SUMPRODUCT(Calculation!DB$11:DB$189*(Calculation!$FK$11:$FK$189=$B17)*IF($B$5=0,1,Calculation!$CA$11:$CA$189=$B$5))</f>
        <v>0</v>
      </c>
      <c r="J17" s="898">
        <f>SUM($C17:$I17)</f>
        <v>0</v>
      </c>
      <c r="K17" s="899" cm="1">
        <f t="array" ref="K17">SUMPRODUCT(Calculation!DD$11:DD$189*(Calculation!$FK$11:$FK$189=$B17)*IF($B$5=0,1,Calculation!$CA$11:$CA$189=$B$5))</f>
        <v>0</v>
      </c>
      <c r="L17" s="899" cm="1">
        <f t="array" ref="L17">SUMPRODUCT(Calculation!DP$11:DP$189*(Calculation!$FK$11:$FK$189=$B17)*IF($B$5=0,0,Calculation!$CB$11:$CB$189=$B$5))
+SUMPRODUCT(Calculation!DP$11:DU$189*(Calculation!$FK$11:$FK$189=$B17)*IF($B$5=0,0,Calculation!$CC$11:$CC$189=$B$5))</f>
        <v>0</v>
      </c>
      <c r="M17" s="885">
        <f>SUM($K17:$L17)</f>
        <v>0</v>
      </c>
      <c r="N17" s="885" cm="1">
        <f t="array" ref="N17">SUMPRODUCT(Calculation!DE$11:DE$189*(Calculation!$FK$11:$FK$189=$B17)*IF($B$5=0,1,Calculation!$CA$11:$CA$189=$B$5))
+SUMPRODUCT(Calculation!DQ$11:DQ$189*(Calculation!$FK$11:$FK$189=$B17)*IF($B$5=0,0,Calculation!$CB$11:$CB$189=$B$5))
+SUMPRODUCT(Calculation!DW$11:DW$189*(Calculation!$FK$11:$FK$189=$B17)*IF($B$5=0,0,Calculation!$CC$11:$CC$189=$B$5))</f>
        <v>0</v>
      </c>
      <c r="O17" s="885" cm="1">
        <f t="array" ref="O17">SUMPRODUCT(Calculation!DF$11:DF$189*(Calculation!$FK$11:$FK$189=$B17)*IF($B$5=0,1,Calculation!$CA$11:$CA$189=$B$5))
+SUMPRODUCT(Calculation!DR$11:DR$189*(Calculation!$FK$11:$FK$189=$B17)*IF($B$5=0,0,Calculation!$CB$11:$CB$189=$B$5))
+SUMPRODUCT(Calculation!DX$11:DX$189*(Calculation!$FK$11:$FK$189=$B17)*IF($B$5=0,0,Calculation!$CC$11:$CC$189=$B$5))</f>
        <v>0</v>
      </c>
      <c r="P17" s="898">
        <f>SUM($M17:$O17)</f>
        <v>0</v>
      </c>
      <c r="Q17" s="900">
        <f>$J17+$P17</f>
        <v>0</v>
      </c>
      <c r="R17" s="885" cm="1">
        <f t="array" ref="R17">SUMPRODUCT(Calculation!DI$11:DI$189*(Calculation!$FK$11:$FK$189=$B17)*IF($B$5=0,1,Calculation!$CA$11:$CA$189=$B$5))</f>
        <v>0</v>
      </c>
      <c r="S17" s="885" cm="1">
        <f t="array" ref="S17">SUMPRODUCT(Calculation!DJ$11:DJ$189*(Calculation!$FK$11:$FK$189=$B17)*IF($B$5=0,1,Calculation!$CA$11:$CA$189=$B$5))
+(SUMPRODUCT(Calculation!DS$11:DS$189*(Calculation!$FK$11:$FK$189=$B17)*IF($B$5=0,0,Calculation!$CB$11:$CB$189=$B$5))
+SUMPRODUCT(Calculation!DY$11:DY$189*(Calculation!$FK$11:$FK$189=$B17)*IF($B$5=0,0,Calculation!$CC$11:$CC$189=$B$5)))*IF(INDEX(Settings[],MATCH(3001,Settings[ID],0),2)="B",1,0)</f>
        <v>0</v>
      </c>
      <c r="T17" s="885" cm="1">
        <f t="array" ref="T17">SUMPRODUCT(Calculation!DK$11:DK$189*(Calculation!$FK$11:$FK$189=$B17)*IF($B$5=0,1,Calculation!$CA$11:$CA$189=$B$5))
+(SUMPRODUCT(Calculation!DS$11:DS$189*(Calculation!$FK$11:$FK$189=$B17)*IF($B$5=0,0,Calculation!$CB$11:$CB$189=$B$5))
+SUMPRODUCT(Calculation!DY$11:DY$189*(Calculation!$FK$11:$FK$189=$B17)*IF($B$5=0,0,Calculation!$CC$11:$CC$189=$B$5)))*IF(INDEX(Settings[],MATCH(3001,Settings[ID],0),2)="B",0,1)</f>
        <v>0</v>
      </c>
      <c r="U17" s="885" cm="1">
        <f t="array" ref="U17">SUMPRODUCT(Calculation!DL$11:DL$189*(Calculation!$FK$11:$FK$189=$B17)*IF($B$5=0,1,Calculation!$CA$11:$CA$189=$B$5))</f>
        <v>0</v>
      </c>
      <c r="V17" s="885" cm="1">
        <f t="array" ref="V17">SUMPRODUCT(Calculation!DM$11:DM$189*(Calculation!$FK$11:$FK$189=$B17)*IF($B$5=0,1,Calculation!$CA$11:$CA$189=$B$5))
+(SUMPRODUCT(Calculation!DT$11:DT$189*(Calculation!$FK$11:$FK$189=$B17)*IF($B$5=0,0,Calculation!$CB$11:$CB$189=$B$5))
+SUMPRODUCT(Calculation!DZ$11:DZ$189*(Calculation!$FK$11:$FK$189=$B17)*IF($B$5=0,0,Calculation!$CC$11:$CC$189=$B$5)))*IF(INDEX(Settings[],MATCH(3002,Settings[ID],0),2)="B",1,0)</f>
        <v>0</v>
      </c>
      <c r="W17" s="885" cm="1">
        <f t="array" ref="W17">SUMPRODUCT(Calculation!DN$11:DN$189*(Calculation!$FK$11:$FK$189=$B17)*IF($B$5=0,1,Calculation!$CA$11:$CA$189=$B$5))
+(SUMPRODUCT(Calculation!DT$11:DT$189*(Calculation!$FK$11:$FK$189=$B17)*IF($B$5=0,0,Calculation!$CB$11:$CB$189=$B$5))
+SUMPRODUCT(Calculation!DZ$11:DZ$189*(Calculation!$FK$11:$FK$189=$B17)*IF($B$5=0,0,Calculation!$CC$11:$CC$189=$B$5)))*IF(INDEX(Settings[],MATCH(3002,Settings[ID],0),2)="B",0,1)</f>
        <v>0</v>
      </c>
      <c r="X17" s="885" cm="1">
        <f t="array" ref="X17">SUMPRODUCT(Calculation!DO$11:DO$189*(Calculation!$FK$11:$FK$189=$B17)*IF($B$5=0,1,Calculation!$CA$11:$CA$189=$B$5))
+SUMPRODUCT(Calculation!DU$11:DU$189*(Calculation!$FK$11:$FK$189=$B17)*IF($B$5=0,0,Calculation!$CB$11:$CB$189=$B$5))
+SUMPRODUCT(Calculation!EA$11:EA$189*(Calculation!$FK$11:$FK$189=$B17)*IF($B$5=0,0,Calculation!$CC$11:$CC$189=$B$5))</f>
        <v>0</v>
      </c>
      <c r="Y17" s="901">
        <f>SUM($Q17:$X17)</f>
        <v>0</v>
      </c>
      <c r="Z17" s="885" cm="1">
        <f t="array" ref="Z17">SUMPRODUCT(Calculation!DQ$11:DQ$189*(Calculation!$FK$11:$FK$189=$B17)*IF($B$5=0,1,0))</f>
        <v>0</v>
      </c>
      <c r="AA17" s="885" cm="1">
        <f t="array" ref="AA17">SUMPRODUCT(Calculation!DR$11:DR$189*(Calculation!$FK$11:$FK$189=$B17)*IF($B$5=0,1,0))</f>
        <v>0</v>
      </c>
      <c r="AB17" s="885" cm="1">
        <f t="array" ref="AB17">SUMPRODUCT(Calculation!DS$11:DS$189*(Calculation!$FK$11:$FK$189=$B17)*IF($B$5=0,1,0))</f>
        <v>0</v>
      </c>
      <c r="AC17" s="885" cm="1">
        <f t="array" ref="AC17">SUMPRODUCT(Calculation!DT$11:DT$189*(Calculation!$FK$11:$FK$189=$B17)*IF($B$5=0,1,0))</f>
        <v>0</v>
      </c>
      <c r="AD17" s="885" cm="1">
        <f t="array" ref="AD17">SUMPRODUCT(Calculation!DU$11:DU$189*(Calculation!$FK$11:$FK$189=$B17)*IF($B$5=0,1,0))</f>
        <v>0</v>
      </c>
      <c r="AE17" s="901">
        <f>IF(SUM($Z17:$AD17)=0,0,SUM($Y17:$AD17))</f>
        <v>0</v>
      </c>
      <c r="AF17" s="885" cm="1">
        <f t="array" ref="AF17">SUMPRODUCT(Calculation!DW$11:DW$189*(Calculation!$FK$11:$FK$189=$B17)*IF($B$5=0,1,0))</f>
        <v>0</v>
      </c>
      <c r="AG17" s="885" cm="1">
        <f t="array" ref="AG17">SUMPRODUCT(Calculation!DX$11:DX$189*(Calculation!$FK$11:$FK$189=$B17)*IF($B$5=0,1,0))</f>
        <v>0</v>
      </c>
      <c r="AH17" s="885" cm="1">
        <f t="array" ref="AH17">SUMPRODUCT(Calculation!DY$11:DY$189*(Calculation!$FK$11:$FK$189=$B17)*IF($B$5=0,1,0))</f>
        <v>0</v>
      </c>
      <c r="AI17" s="885" cm="1">
        <f t="array" ref="AI17">SUMPRODUCT(Calculation!DZ$11:DZ$189*(Calculation!$FK$11:$FK$189=$B17)*IF($B$5=0,1,0))</f>
        <v>0</v>
      </c>
      <c r="AJ17" s="885" cm="1">
        <f t="array" ref="AJ17">SUMPRODUCT(Calculation!EA$11:EA$189*(Calculation!$FK$11:$FK$189=$B17)*IF($B$5=0,1,0))</f>
        <v>0</v>
      </c>
      <c r="AK17" s="901">
        <f>IF(SUM(Cluster2[[Auss.7]:[Sonstige11]])=0,0,SUM($Y17:$AD17,$AF17:$AJ17))</f>
        <v>0</v>
      </c>
      <c r="AL17" s="295">
        <f>IF($B$5=0,$AK17,$Y17)</f>
        <v>0</v>
      </c>
    </row>
    <row r="18" spans="2:38">
      <c r="K18" s="957"/>
      <c r="L18" s="957"/>
    </row>
    <row r="19" spans="2:38">
      <c r="B19" s="311" t="s">
        <v>233</v>
      </c>
      <c r="C19" s="817" t="s">
        <v>1386</v>
      </c>
      <c r="D19" s="817" t="s">
        <v>161</v>
      </c>
      <c r="E19" s="817" t="s">
        <v>335</v>
      </c>
      <c r="F19" s="817" t="s">
        <v>1362</v>
      </c>
      <c r="G19" s="817" t="s">
        <v>1371</v>
      </c>
      <c r="H19" s="817" t="s">
        <v>697</v>
      </c>
      <c r="I19" s="817" t="s">
        <v>27</v>
      </c>
      <c r="J19" s="817" t="s">
        <v>10</v>
      </c>
      <c r="K19" s="958" t="s">
        <v>2621</v>
      </c>
      <c r="L19" s="958" t="s">
        <v>1369</v>
      </c>
      <c r="M19" s="817" t="s">
        <v>2610</v>
      </c>
      <c r="N19" s="817" t="s">
        <v>698</v>
      </c>
      <c r="O19" s="817" t="s">
        <v>1</v>
      </c>
      <c r="P19" s="817" t="s">
        <v>9</v>
      </c>
      <c r="Q19" s="817" t="s">
        <v>12</v>
      </c>
      <c r="R19" s="817" t="s">
        <v>29</v>
      </c>
      <c r="S19" s="817" t="s">
        <v>28</v>
      </c>
      <c r="T19" s="817" t="s">
        <v>13</v>
      </c>
      <c r="U19" s="817" t="s">
        <v>1372</v>
      </c>
      <c r="V19" s="817" t="s">
        <v>1373</v>
      </c>
      <c r="W19" s="817" t="s">
        <v>14</v>
      </c>
      <c r="X19" s="817" t="s">
        <v>666</v>
      </c>
      <c r="Y19" s="817" t="s">
        <v>11</v>
      </c>
      <c r="Z19" s="817" t="s">
        <v>2598</v>
      </c>
      <c r="AA19" s="817" t="s">
        <v>2599</v>
      </c>
      <c r="AB19" s="817" t="s">
        <v>2600</v>
      </c>
      <c r="AC19" s="817" t="s">
        <v>2601</v>
      </c>
      <c r="AD19" s="817" t="s">
        <v>2602</v>
      </c>
      <c r="AE19" s="817" t="s">
        <v>2603</v>
      </c>
      <c r="AF19" s="817" t="s">
        <v>2604</v>
      </c>
      <c r="AG19" s="817" t="s">
        <v>2605</v>
      </c>
      <c r="AH19" s="817" t="s">
        <v>2606</v>
      </c>
      <c r="AI19" s="817" t="s">
        <v>2607</v>
      </c>
      <c r="AJ19" s="817" t="s">
        <v>2608</v>
      </c>
      <c r="AK19" s="902" t="s">
        <v>2609</v>
      </c>
      <c r="AL19" s="243" t="s">
        <v>36</v>
      </c>
    </row>
    <row r="20" spans="2:38">
      <c r="B20" s="966" t="s">
        <v>234</v>
      </c>
      <c r="C20" s="885" cm="1">
        <f t="array" ref="C20">SUMPRODUCT(Calculation!CV$11:CV$189*(Calculation!$FL$11:$FL$189=$B20)*IF($B$5=0,1,Calculation!$CA$11:$CA$189=$B$5))</f>
        <v>0</v>
      </c>
      <c r="D20" s="885" cm="1">
        <f t="array" ref="D20">SUMPRODUCT(Calculation!CW$11:CW$189*(Calculation!$FL$11:$FL$189=$B20)*IF($B$5=0,1,Calculation!$CA$11:$CA$189=$B$5))</f>
        <v>0</v>
      </c>
      <c r="E20" s="885" cm="1">
        <f t="array" ref="E20">SUMPRODUCT(Calculation!CX$11:CX$189*(Calculation!$FL$11:$FL$189=$B20)*IF($B$5=0,1,Calculation!$CA$11:$CA$189=$B$5))</f>
        <v>0</v>
      </c>
      <c r="F20" s="885" cm="1">
        <f t="array" ref="F20">SUMPRODUCT(Calculation!CY$11:CY$189*(Calculation!$FL$11:$FL$189=$B20)*IF($B$5=0,1,Calculation!$CA$11:$CA$189=$B$5))</f>
        <v>0</v>
      </c>
      <c r="G20" s="885" cm="1">
        <f t="array" ref="G20">SUMPRODUCT(Calculation!CZ$11:CZ$189*(Calculation!$FL$11:$FL$189=$B20)*IF($B$5=0,1,Calculation!$CA$11:$CA$189=$B$5))</f>
        <v>0</v>
      </c>
      <c r="H20" s="885" cm="1">
        <f t="array" ref="H20">SUMPRODUCT(Calculation!DA$11:DA$189*(Calculation!$FL$11:$FL$189=$B20)*IF($B$5=0,1,Calculation!$CA$11:$CA$189=$B$5))</f>
        <v>0</v>
      </c>
      <c r="I20" s="885" cm="1">
        <f t="array" ref="I20">SUMPRODUCT(Calculation!DB$11:DB$189*(Calculation!$FL$11:$FL$189=$B20)*IF($B$5=0,1,Calculation!$CA$11:$CA$189=$B$5))</f>
        <v>0</v>
      </c>
      <c r="J20" s="898">
        <f>SUM($C20:$I20)</f>
        <v>0</v>
      </c>
      <c r="K20" s="899" cm="1">
        <f t="array" ref="K20">SUMPRODUCT(Calculation!DD$11:DD$189*(Calculation!$FL$11:$FL$189=$B20)*IF($B$5=0,1,Calculation!$CA$11:$CA$189=$B$5))</f>
        <v>0</v>
      </c>
      <c r="L20" s="899" cm="1">
        <f t="array" ref="L20">SUMPRODUCT(Calculation!DP$11:DP$189*(Calculation!$FL$11:$FL$189=$B20)*IF($B$5=0,0,Calculation!$CB$11:$CB$189=$B$5))
+SUMPRODUCT(Calculation!DP$11:DU$189*(Calculation!$FL$11:$FL$189=$B20)*IF($B$5=0,0,Calculation!$CC$11:$CC$189=$B$5))</f>
        <v>0</v>
      </c>
      <c r="M20" s="885">
        <f>SUM($K20:$L20)</f>
        <v>0</v>
      </c>
      <c r="N20" s="885" cm="1">
        <f t="array" ref="N20">SUMPRODUCT(Calculation!DE$11:DE$189*(Calculation!$FL$11:$FL$189=$B20)*IF($B$5=0,1,Calculation!$CA$11:$CA$189=$B$5))
+SUMPRODUCT(Calculation!DQ$11:DQ$189*(Calculation!$FL$11:$FL$189=$B20)*IF($B$5=0,0,Calculation!$CB$11:$CB$189=$B$5))
+SUMPRODUCT(Calculation!DW$11:DW$189*(Calculation!$FL$11:$FL$189=$B20)*IF($B$5=0,0,Calculation!$CC$11:$CC$189=$B$5))</f>
        <v>0</v>
      </c>
      <c r="O20" s="885" cm="1">
        <f t="array" ref="O20">SUMPRODUCT(Calculation!DF$11:DF$189*(Calculation!$FL$11:$FL$189=$B20)*IF($B$5=0,1,Calculation!$CA$11:$CA$189=$B$5))
+SUMPRODUCT(Calculation!DR$11:DR$189*(Calculation!$FL$11:$FL$189=$B20)*IF($B$5=0,0,Calculation!$CB$11:$CB$189=$B$5))
+SUMPRODUCT(Calculation!DX$11:DX$189*(Calculation!$FL$11:$FL$189=$B20)*IF($B$5=0,0,Calculation!$CC$11:$CC$189=$B$5))</f>
        <v>0</v>
      </c>
      <c r="P20" s="898">
        <f>SUM($M20:$O20)</f>
        <v>0</v>
      </c>
      <c r="Q20" s="900">
        <f>$J20+$P20</f>
        <v>0</v>
      </c>
      <c r="R20" s="885" cm="1">
        <f t="array" ref="R20">SUMPRODUCT(Calculation!DI$11:DI$189*(Calculation!$FL$11:$FL$189=$B20)*IF($B$5=0,1,Calculation!$CA$11:$CA$189=$B$5))</f>
        <v>0</v>
      </c>
      <c r="S20" s="885" cm="1">
        <f t="array" ref="S20">SUMPRODUCT(Calculation!DJ$11:DJ$189*(Calculation!$FL$11:$FL$189=$B20)*IF($B$5=0,1,Calculation!$CA$11:$CA$189=$B$5))
+(SUMPRODUCT(Calculation!DS$11:DS$189*(Calculation!$FL$11:$FL$189=$B20)*IF($B$5=0,0,Calculation!$CB$11:$CB$189=$B$5))
+SUMPRODUCT(Calculation!DY$11:DY$189*(Calculation!$FL$11:$FL$189=$B20)*IF($B$5=0,0,Calculation!$CC$11:$CC$189=$B$5)))*IF(INDEX(Settings[],MATCH(3001,Settings[ID],0),2)="B",1,0)</f>
        <v>0</v>
      </c>
      <c r="T20" s="885" cm="1">
        <f t="array" ref="T20">SUMPRODUCT(Calculation!DK$11:DK$189*(Calculation!$FL$11:$FL$189=$B20)*IF($B$5=0,1,Calculation!$CA$11:$CA$189=$B$5))
+(SUMPRODUCT(Calculation!DS$11:DS$189*(Calculation!$FL$11:$FL$189=$B20)*IF($B$5=0,0,Calculation!$CB$11:$CB$189=$B$5))
+SUMPRODUCT(Calculation!DY$11:DY$189*(Calculation!$FL$11:$FL$189=$B20)*IF($B$5=0,0,Calculation!$CC$11:$CC$189=$B$5)))*IF(INDEX(Settings[],MATCH(3001,Settings[ID],0),2)="B",0,1)</f>
        <v>0</v>
      </c>
      <c r="U20" s="885" cm="1">
        <f t="array" ref="U20">SUMPRODUCT(Calculation!DL$11:DL$189*(Calculation!$FL$11:$FL$189=$B20)*IF($B$5=0,1,Calculation!$CA$11:$CA$189=$B$5))</f>
        <v>0</v>
      </c>
      <c r="V20" s="885" cm="1">
        <f t="array" ref="V20">SUMPRODUCT(Calculation!DM$11:DM$189*(Calculation!$FL$11:$FL$189=$B20)*IF($B$5=0,1,Calculation!$CA$11:$CA$189=$B$5))
+(SUMPRODUCT(Calculation!DT$11:DT$189*(Calculation!$FL$11:$FL$189=$B20)*IF($B$5=0,0,Calculation!$CB$11:$CB$189=$B$5))
+SUMPRODUCT(Calculation!DZ$11:DZ$189*(Calculation!$FL$11:$FL$189=$B20)*IF($B$5=0,0,Calculation!$CC$11:$CC$189=$B$5)))*IF(INDEX(Settings[],MATCH(3002,Settings[ID],0),2)="B",1,0)</f>
        <v>0</v>
      </c>
      <c r="W20" s="885" cm="1">
        <f t="array" ref="W20">SUMPRODUCT(Calculation!DN$11:DN$189*(Calculation!$FL$11:$FL$189=$B20)*IF($B$5=0,1,Calculation!$CA$11:$CA$189=$B$5))
+(SUMPRODUCT(Calculation!DT$11:DT$189*(Calculation!$FL$11:$FL$189=$B20)*IF($B$5=0,0,Calculation!$CB$11:$CB$189=$B$5))
+SUMPRODUCT(Calculation!DZ$11:DZ$189*(Calculation!$FL$11:$FL$189=$B20)*IF($B$5=0,0,Calculation!$CC$11:$CC$189=$B$5)))*IF(INDEX(Settings[],MATCH(3002,Settings[ID],0),2)="B",0,1)</f>
        <v>0</v>
      </c>
      <c r="X20" s="885" cm="1">
        <f t="array" ref="X20">SUMPRODUCT(Calculation!DO$11:DO$189*(Calculation!$FL$11:$FL$189=$B20)*IF($B$5=0,1,Calculation!$CA$11:$CA$189=$B$5))
+SUMPRODUCT(Calculation!DU$11:DU$189*(Calculation!$FL$11:$FL$189=$B20)*IF($B$5=0,0,Calculation!$CB$11:$CB$189=$B$5))
+SUMPRODUCT(Calculation!EA$11:EA$189*(Calculation!$FL$11:$FL$189=$B20)*IF($B$5=0,0,Calculation!$CC$11:$CC$189=$B$5))</f>
        <v>0</v>
      </c>
      <c r="Y20" s="901">
        <f>SUM($Q20:$X20)</f>
        <v>0</v>
      </c>
      <c r="Z20" s="885" cm="1">
        <f t="array" ref="Z20">SUMPRODUCT(Calculation!DQ$11:DQ$189*(Calculation!$FL$11:$FL$189=$B20)*IF($B$5=0,1,0))</f>
        <v>0</v>
      </c>
      <c r="AA20" s="885" cm="1">
        <f t="array" ref="AA20">SUMPRODUCT(Calculation!DR$11:DR$189*(Calculation!$FL$11:$FL$189=$B20)*IF($B$5=0,1,0))</f>
        <v>0</v>
      </c>
      <c r="AB20" s="885" cm="1">
        <f t="array" ref="AB20">SUMPRODUCT(Calculation!DS$11:DS$189*(Calculation!$FL$11:$FL$189=$B20)*IF($B$5=0,1,0))</f>
        <v>0</v>
      </c>
      <c r="AC20" s="885" cm="1">
        <f t="array" ref="AC20">SUMPRODUCT(Calculation!DT$11:DT$189*(Calculation!$FL$11:$FL$189=$B20)*IF($B$5=0,1,0))</f>
        <v>0</v>
      </c>
      <c r="AD20" s="885" cm="1">
        <f t="array" ref="AD20">SUMPRODUCT(Calculation!DU$11:DU$189*(Calculation!$FL$11:$FL$189=$B20)*IF($B$5=0,1,0))</f>
        <v>0</v>
      </c>
      <c r="AE20" s="901">
        <f>IF(SUM($Z20:$AD20)=0,0,SUM($Y20:$AD20))</f>
        <v>0</v>
      </c>
      <c r="AF20" s="885" cm="1">
        <f t="array" ref="AF20">SUMPRODUCT(Calculation!DW$11:DW$189*(Calculation!$FL$11:$FL$189=$B20)*IF($B$5=0,1,0))</f>
        <v>0</v>
      </c>
      <c r="AG20" s="885" cm="1">
        <f t="array" ref="AG20">SUMPRODUCT(Calculation!DX$11:DX$189*(Calculation!$FL$11:$FL$189=$B20)*IF($B$5=0,1,0))</f>
        <v>0</v>
      </c>
      <c r="AH20" s="885" cm="1">
        <f t="array" ref="AH20">SUMPRODUCT(Calculation!DY$11:DY$189*(Calculation!$FL$11:$FL$189=$B20)*IF($B$5=0,1,0))</f>
        <v>0</v>
      </c>
      <c r="AI20" s="885" cm="1">
        <f t="array" ref="AI20">SUMPRODUCT(Calculation!DZ$11:DZ$189*(Calculation!$FL$11:$FL$189=$B20)*IF($B$5=0,1,0))</f>
        <v>0</v>
      </c>
      <c r="AJ20" s="885" cm="1">
        <f t="array" ref="AJ20">SUMPRODUCT(Calculation!EA$11:EA$189*(Calculation!$FL$11:$FL$189=$B20)*IF($B$5=0,1,0))</f>
        <v>0</v>
      </c>
      <c r="AK20" s="901">
        <f>IF(SUM(Cluster3[[Auss.7]:[Sonstige11]])=0,0,SUM($Y20:$AD20,$AF20:$AJ20))</f>
        <v>0</v>
      </c>
      <c r="AL20" s="295">
        <f>IF($B$5=0,$AK20,$Y20)</f>
        <v>0</v>
      </c>
    </row>
    <row r="21" spans="2:38">
      <c r="B21" s="966" t="s">
        <v>236</v>
      </c>
      <c r="C21" s="885" cm="1">
        <f t="array" ref="C21">SUMPRODUCT(Calculation!CV$11:CV$189*(Calculation!$FL$11:$FL$189=$B21)*IF($B$5=0,1,Calculation!$CA$11:$CA$189=$B$5))</f>
        <v>0</v>
      </c>
      <c r="D21" s="885" cm="1">
        <f t="array" ref="D21">SUMPRODUCT(Calculation!CW$11:CW$189*(Calculation!$FL$11:$FL$189=$B21)*IF($B$5=0,1,Calculation!$CA$11:$CA$189=$B$5))</f>
        <v>0</v>
      </c>
      <c r="E21" s="885" cm="1">
        <f t="array" ref="E21">SUMPRODUCT(Calculation!CX$11:CX$189*(Calculation!$FL$11:$FL$189=$B21)*IF($B$5=0,1,Calculation!$CA$11:$CA$189=$B$5))</f>
        <v>0</v>
      </c>
      <c r="F21" s="885" cm="1">
        <f t="array" ref="F21">SUMPRODUCT(Calculation!CY$11:CY$189*(Calculation!$FL$11:$FL$189=$B21)*IF($B$5=0,1,Calculation!$CA$11:$CA$189=$B$5))</f>
        <v>0</v>
      </c>
      <c r="G21" s="885" cm="1">
        <f t="array" ref="G21">SUMPRODUCT(Calculation!CZ$11:CZ$189*(Calculation!$FL$11:$FL$189=$B21)*IF($B$5=0,1,Calculation!$CA$11:$CA$189=$B$5))</f>
        <v>0</v>
      </c>
      <c r="H21" s="885" cm="1">
        <f t="array" ref="H21">SUMPRODUCT(Calculation!DA$11:DA$189*(Calculation!$FL$11:$FL$189=$B21)*IF($B$5=0,1,Calculation!$CA$11:$CA$189=$B$5))</f>
        <v>0</v>
      </c>
      <c r="I21" s="885" cm="1">
        <f t="array" ref="I21">SUMPRODUCT(Calculation!DB$11:DB$189*(Calculation!$FL$11:$FL$189=$B21)*IF($B$5=0,1,Calculation!$CA$11:$CA$189=$B$5))</f>
        <v>0</v>
      </c>
      <c r="J21" s="898">
        <f>SUM($C21:$I21)</f>
        <v>0</v>
      </c>
      <c r="K21" s="899" cm="1">
        <f t="array" ref="K21">SUMPRODUCT(Calculation!DD$11:DD$189*(Calculation!$FL$11:$FL$189=$B21)*IF($B$5=0,1,Calculation!$CA$11:$CA$189=$B$5))</f>
        <v>0</v>
      </c>
      <c r="L21" s="899" cm="1">
        <f t="array" ref="L21">SUMPRODUCT(Calculation!DP$11:DP$189*(Calculation!$FL$11:$FL$189=$B21)*IF($B$5=0,0,Calculation!$CB$11:$CB$189=$B$5))
+SUMPRODUCT(Calculation!DP$11:DU$189*(Calculation!$FL$11:$FL$189=$B21)*IF($B$5=0,0,Calculation!$CC$11:$CC$189=$B$5))</f>
        <v>0</v>
      </c>
      <c r="M21" s="885">
        <f>SUM($K21:$L21)</f>
        <v>0</v>
      </c>
      <c r="N21" s="885" cm="1">
        <f t="array" ref="N21">SUMPRODUCT(Calculation!DE$11:DE$189*(Calculation!$FL$11:$FL$189=$B21)*IF($B$5=0,1,Calculation!$CA$11:$CA$189=$B$5))
+SUMPRODUCT(Calculation!DQ$11:DQ$189*(Calculation!$FL$11:$FL$189=$B21)*IF($B$5=0,0,Calculation!$CB$11:$CB$189=$B$5))
+SUMPRODUCT(Calculation!DW$11:DW$189*(Calculation!$FL$11:$FL$189=$B21)*IF($B$5=0,0,Calculation!$CC$11:$CC$189=$B$5))</f>
        <v>0</v>
      </c>
      <c r="O21" s="885" cm="1">
        <f t="array" ref="O21">SUMPRODUCT(Calculation!DF$11:DF$189*(Calculation!$FL$11:$FL$189=$B21)*IF($B$5=0,1,Calculation!$CA$11:$CA$189=$B$5))
+SUMPRODUCT(Calculation!DR$11:DR$189*(Calculation!$FL$11:$FL$189=$B21)*IF($B$5=0,0,Calculation!$CB$11:$CB$189=$B$5))
+SUMPRODUCT(Calculation!DX$11:DX$189*(Calculation!$FL$11:$FL$189=$B21)*IF($B$5=0,0,Calculation!$CC$11:$CC$189=$B$5))</f>
        <v>0</v>
      </c>
      <c r="P21" s="898">
        <f>SUM($M21:$O21)</f>
        <v>0</v>
      </c>
      <c r="Q21" s="900">
        <f>$J21+$P21</f>
        <v>0</v>
      </c>
      <c r="R21" s="885" cm="1">
        <f t="array" ref="R21">SUMPRODUCT(Calculation!DI$11:DI$189*(Calculation!$FL$11:$FL$189=$B21)*IF($B$5=0,1,Calculation!$CA$11:$CA$189=$B$5))</f>
        <v>0</v>
      </c>
      <c r="S21" s="885" cm="1">
        <f t="array" ref="S21">SUMPRODUCT(Calculation!DJ$11:DJ$189*(Calculation!$FL$11:$FL$189=$B21)*IF($B$5=0,1,Calculation!$CA$11:$CA$189=$B$5))
+(SUMPRODUCT(Calculation!DS$11:DS$189*(Calculation!$FL$11:$FL$189=$B21)*IF($B$5=0,0,Calculation!$CB$11:$CB$189=$B$5))
+SUMPRODUCT(Calculation!DY$11:DY$189*(Calculation!$FL$11:$FL$189=$B21)*IF($B$5=0,0,Calculation!$CC$11:$CC$189=$B$5)))*IF(INDEX(Settings[],MATCH(3001,Settings[ID],0),2)="B",1,0)</f>
        <v>0</v>
      </c>
      <c r="T21" s="885" cm="1">
        <f t="array" ref="T21">SUMPRODUCT(Calculation!DK$11:DK$189*(Calculation!$FL$11:$FL$189=$B21)*IF($B$5=0,1,Calculation!$CA$11:$CA$189=$B$5))
+(SUMPRODUCT(Calculation!DS$11:DS$189*(Calculation!$FL$11:$FL$189=$B21)*IF($B$5=0,0,Calculation!$CB$11:$CB$189=$B$5))
+SUMPRODUCT(Calculation!DY$11:DY$189*(Calculation!$FL$11:$FL$189=$B21)*IF($B$5=0,0,Calculation!$CC$11:$CC$189=$B$5)))*IF(INDEX(Settings[],MATCH(3001,Settings[ID],0),2)="B",0,1)</f>
        <v>0</v>
      </c>
      <c r="U21" s="885" cm="1">
        <f t="array" ref="U21">SUMPRODUCT(Calculation!DL$11:DL$189*(Calculation!$FL$11:$FL$189=$B21)*IF($B$5=0,1,Calculation!$CA$11:$CA$189=$B$5))</f>
        <v>0</v>
      </c>
      <c r="V21" s="885" cm="1">
        <f t="array" ref="V21">SUMPRODUCT(Calculation!DM$11:DM$189*(Calculation!$FL$11:$FL$189=$B21)*IF($B$5=0,1,Calculation!$CA$11:$CA$189=$B$5))
+(SUMPRODUCT(Calculation!DT$11:DT$189*(Calculation!$FL$11:$FL$189=$B21)*IF($B$5=0,0,Calculation!$CB$11:$CB$189=$B$5))
+SUMPRODUCT(Calculation!DZ$11:DZ$189*(Calculation!$FL$11:$FL$189=$B21)*IF($B$5=0,0,Calculation!$CC$11:$CC$189=$B$5)))*IF(INDEX(Settings[],MATCH(3002,Settings[ID],0),2)="B",1,0)</f>
        <v>0</v>
      </c>
      <c r="W21" s="885" cm="1">
        <f t="array" ref="W21">SUMPRODUCT(Calculation!DN$11:DN$189*(Calculation!$FL$11:$FL$189=$B21)*IF($B$5=0,1,Calculation!$CA$11:$CA$189=$B$5))
+(SUMPRODUCT(Calculation!DT$11:DT$189*(Calculation!$FL$11:$FL$189=$B21)*IF($B$5=0,0,Calculation!$CB$11:$CB$189=$B$5))
+SUMPRODUCT(Calculation!DZ$11:DZ$189*(Calculation!$FL$11:$FL$189=$B21)*IF($B$5=0,0,Calculation!$CC$11:$CC$189=$B$5)))*IF(INDEX(Settings[],MATCH(3002,Settings[ID],0),2)="B",0,1)</f>
        <v>0</v>
      </c>
      <c r="X21" s="885" cm="1">
        <f t="array" ref="X21">SUMPRODUCT(Calculation!DO$11:DO$189*(Calculation!$FL$11:$FL$189=$B21)*IF($B$5=0,1,Calculation!$CA$11:$CA$189=$B$5))
+SUMPRODUCT(Calculation!DU$11:DU$189*(Calculation!$FL$11:$FL$189=$B21)*IF($B$5=0,0,Calculation!$CB$11:$CB$189=$B$5))
+SUMPRODUCT(Calculation!EA$11:EA$189*(Calculation!$FL$11:$FL$189=$B21)*IF($B$5=0,0,Calculation!$CC$11:$CC$189=$B$5))</f>
        <v>0</v>
      </c>
      <c r="Y21" s="901">
        <f>SUM($Q21:$X21)</f>
        <v>0</v>
      </c>
      <c r="Z21" s="885" cm="1">
        <f t="array" ref="Z21">SUMPRODUCT(Calculation!DQ$11:DQ$189*(Calculation!$FL$11:$FL$189=$B21)*IF($B$5=0,1,0))</f>
        <v>0</v>
      </c>
      <c r="AA21" s="885" cm="1">
        <f t="array" ref="AA21">SUMPRODUCT(Calculation!DR$11:DR$189*(Calculation!$FL$11:$FL$189=$B21)*IF($B$5=0,1,0))</f>
        <v>0</v>
      </c>
      <c r="AB21" s="885" cm="1">
        <f t="array" ref="AB21">SUMPRODUCT(Calculation!DS$11:DS$189*(Calculation!$FL$11:$FL$189=$B21)*IF($B$5=0,1,0))</f>
        <v>0</v>
      </c>
      <c r="AC21" s="885" cm="1">
        <f t="array" ref="AC21">SUMPRODUCT(Calculation!DT$11:DT$189*(Calculation!$FL$11:$FL$189=$B21)*IF($B$5=0,1,0))</f>
        <v>0</v>
      </c>
      <c r="AD21" s="885" cm="1">
        <f t="array" ref="AD21">SUMPRODUCT(Calculation!DU$11:DU$189*(Calculation!$FL$11:$FL$189=$B21)*IF($B$5=0,1,0))</f>
        <v>0</v>
      </c>
      <c r="AE21" s="901">
        <f>IF(SUM($Z21:$AD21)=0,0,SUM($Y21:$AD21))</f>
        <v>0</v>
      </c>
      <c r="AF21" s="885" cm="1">
        <f t="array" ref="AF21">SUMPRODUCT(Calculation!DW$11:DW$189*(Calculation!$FL$11:$FL$189=$B21)*IF($B$5=0,1,0))</f>
        <v>0</v>
      </c>
      <c r="AG21" s="885" cm="1">
        <f t="array" ref="AG21">SUMPRODUCT(Calculation!DX$11:DX$189*(Calculation!$FL$11:$FL$189=$B21)*IF($B$5=0,1,0))</f>
        <v>0</v>
      </c>
      <c r="AH21" s="885" cm="1">
        <f t="array" ref="AH21">SUMPRODUCT(Calculation!DY$11:DY$189*(Calculation!$FL$11:$FL$189=$B21)*IF($B$5=0,1,0))</f>
        <v>0</v>
      </c>
      <c r="AI21" s="885" cm="1">
        <f t="array" ref="AI21">SUMPRODUCT(Calculation!DZ$11:DZ$189*(Calculation!$FL$11:$FL$189=$B21)*IF($B$5=0,1,0))</f>
        <v>0</v>
      </c>
      <c r="AJ21" s="885" cm="1">
        <f t="array" ref="AJ21">SUMPRODUCT(Calculation!EA$11:EA$189*(Calculation!$FL$11:$FL$189=$B21)*IF($B$5=0,1,0))</f>
        <v>0</v>
      </c>
      <c r="AK21" s="901">
        <f>IF(SUM(Cluster3[[Auss.7]:[Sonstige11]])=0,0,SUM($Y21:$AD21,$AF21:$AJ21))</f>
        <v>0</v>
      </c>
      <c r="AL21" s="295">
        <f>IF($B$5=0,$AK21,$Y21)</f>
        <v>0</v>
      </c>
    </row>
    <row r="22" spans="2:38">
      <c r="B22" s="966" t="s">
        <v>235</v>
      </c>
      <c r="C22" s="885" cm="1">
        <f t="array" ref="C22">SUMPRODUCT(Calculation!CV$11:CV$189*(Calculation!$FL$11:$FL$189=$B22)*IF($B$5=0,1,Calculation!$CA$11:$CA$189=$B$5))</f>
        <v>0</v>
      </c>
      <c r="D22" s="885" cm="1">
        <f t="array" ref="D22">SUMPRODUCT(Calculation!CW$11:CW$189*(Calculation!$FL$11:$FL$189=$B22)*IF($B$5=0,1,Calculation!$CA$11:$CA$189=$B$5))</f>
        <v>0</v>
      </c>
      <c r="E22" s="885" cm="1">
        <f t="array" ref="E22">SUMPRODUCT(Calculation!CX$11:CX$189*(Calculation!$FL$11:$FL$189=$B22)*IF($B$5=0,1,Calculation!$CA$11:$CA$189=$B$5))</f>
        <v>0</v>
      </c>
      <c r="F22" s="885" cm="1">
        <f t="array" ref="F22">SUMPRODUCT(Calculation!CY$11:CY$189*(Calculation!$FL$11:$FL$189=$B22)*IF($B$5=0,1,Calculation!$CA$11:$CA$189=$B$5))</f>
        <v>0</v>
      </c>
      <c r="G22" s="885" cm="1">
        <f t="array" ref="G22">SUMPRODUCT(Calculation!CZ$11:CZ$189*(Calculation!$FL$11:$FL$189=$B22)*IF($B$5=0,1,Calculation!$CA$11:$CA$189=$B$5))</f>
        <v>0</v>
      </c>
      <c r="H22" s="885" cm="1">
        <f t="array" ref="H22">SUMPRODUCT(Calculation!DA$11:DA$189*(Calculation!$FL$11:$FL$189=$B22)*IF($B$5=0,1,Calculation!$CA$11:$CA$189=$B$5))</f>
        <v>0</v>
      </c>
      <c r="I22" s="885" cm="1">
        <f t="array" ref="I22">SUMPRODUCT(Calculation!DB$11:DB$189*(Calculation!$FL$11:$FL$189=$B22)*IF($B$5=0,1,Calculation!$CA$11:$CA$189=$B$5))</f>
        <v>0</v>
      </c>
      <c r="J22" s="898">
        <f>SUM($C22:$I22)</f>
        <v>0</v>
      </c>
      <c r="K22" s="899" cm="1">
        <f t="array" ref="K22">SUMPRODUCT(Calculation!DD$11:DD$189*(Calculation!$FL$11:$FL$189=$B22)*IF($B$5=0,1,Calculation!$CA$11:$CA$189=$B$5))</f>
        <v>0</v>
      </c>
      <c r="L22" s="899" cm="1">
        <f t="array" ref="L22">SUMPRODUCT(Calculation!DP$11:DP$189*(Calculation!$FL$11:$FL$189=$B22)*IF($B$5=0,0,Calculation!$CB$11:$CB$189=$B$5))
+SUMPRODUCT(Calculation!DP$11:DU$189*(Calculation!$FL$11:$FL$189=$B22)*IF($B$5=0,0,Calculation!$CC$11:$CC$189=$B$5))</f>
        <v>0</v>
      </c>
      <c r="M22" s="885">
        <f>SUM($K22:$L22)</f>
        <v>0</v>
      </c>
      <c r="N22" s="885" cm="1">
        <f t="array" ref="N22">SUMPRODUCT(Calculation!DE$11:DE$189*(Calculation!$FL$11:$FL$189=$B22)*IF($B$5=0,1,Calculation!$CA$11:$CA$189=$B$5))
+SUMPRODUCT(Calculation!DQ$11:DQ$189*(Calculation!$FL$11:$FL$189=$B22)*IF($B$5=0,0,Calculation!$CB$11:$CB$189=$B$5))
+SUMPRODUCT(Calculation!DW$11:DW$189*(Calculation!$FL$11:$FL$189=$B22)*IF($B$5=0,0,Calculation!$CC$11:$CC$189=$B$5))</f>
        <v>0</v>
      </c>
      <c r="O22" s="885" cm="1">
        <f t="array" ref="O22">SUMPRODUCT(Calculation!DF$11:DF$189*(Calculation!$FL$11:$FL$189=$B22)*IF($B$5=0,1,Calculation!$CA$11:$CA$189=$B$5))
+SUMPRODUCT(Calculation!DR$11:DR$189*(Calculation!$FL$11:$FL$189=$B22)*IF($B$5=0,0,Calculation!$CB$11:$CB$189=$B$5))
+SUMPRODUCT(Calculation!DX$11:DX$189*(Calculation!$FL$11:$FL$189=$B22)*IF($B$5=0,0,Calculation!$CC$11:$CC$189=$B$5))</f>
        <v>0</v>
      </c>
      <c r="P22" s="898">
        <f>SUM($M22:$O22)</f>
        <v>0</v>
      </c>
      <c r="Q22" s="900">
        <f>$J22+$P22</f>
        <v>0</v>
      </c>
      <c r="R22" s="885" cm="1">
        <f t="array" ref="R22">SUMPRODUCT(Calculation!DI$11:DI$189*(Calculation!$FL$11:$FL$189=$B22)*IF($B$5=0,1,Calculation!$CA$11:$CA$189=$B$5))</f>
        <v>0</v>
      </c>
      <c r="S22" s="885" cm="1">
        <f t="array" ref="S22">SUMPRODUCT(Calculation!DJ$11:DJ$189*(Calculation!$FL$11:$FL$189=$B22)*IF($B$5=0,1,Calculation!$CA$11:$CA$189=$B$5))
+(SUMPRODUCT(Calculation!DS$11:DS$189*(Calculation!$FL$11:$FL$189=$B22)*IF($B$5=0,0,Calculation!$CB$11:$CB$189=$B$5))
+SUMPRODUCT(Calculation!DY$11:DY$189*(Calculation!$FL$11:$FL$189=$B22)*IF($B$5=0,0,Calculation!$CC$11:$CC$189=$B$5)))*IF(INDEX(Settings[],MATCH(3001,Settings[ID],0),2)="B",1,0)</f>
        <v>0</v>
      </c>
      <c r="T22" s="885" cm="1">
        <f t="array" ref="T22">SUMPRODUCT(Calculation!DK$11:DK$189*(Calculation!$FL$11:$FL$189=$B22)*IF($B$5=0,1,Calculation!$CA$11:$CA$189=$B$5))
+(SUMPRODUCT(Calculation!DS$11:DS$189*(Calculation!$FL$11:$FL$189=$B22)*IF($B$5=0,0,Calculation!$CB$11:$CB$189=$B$5))
+SUMPRODUCT(Calculation!DY$11:DY$189*(Calculation!$FL$11:$FL$189=$B22)*IF($B$5=0,0,Calculation!$CC$11:$CC$189=$B$5)))*IF(INDEX(Settings[],MATCH(3001,Settings[ID],0),2)="B",0,1)</f>
        <v>0</v>
      </c>
      <c r="U22" s="885" cm="1">
        <f t="array" ref="U22">SUMPRODUCT(Calculation!DL$11:DL$189*(Calculation!$FL$11:$FL$189=$B22)*IF($B$5=0,1,Calculation!$CA$11:$CA$189=$B$5))</f>
        <v>0</v>
      </c>
      <c r="V22" s="885" cm="1">
        <f t="array" ref="V22">SUMPRODUCT(Calculation!DM$11:DM$189*(Calculation!$FL$11:$FL$189=$B22)*IF($B$5=0,1,Calculation!$CA$11:$CA$189=$B$5))
+(SUMPRODUCT(Calculation!DT$11:DT$189*(Calculation!$FL$11:$FL$189=$B22)*IF($B$5=0,0,Calculation!$CB$11:$CB$189=$B$5))
+SUMPRODUCT(Calculation!DZ$11:DZ$189*(Calculation!$FL$11:$FL$189=$B22)*IF($B$5=0,0,Calculation!$CC$11:$CC$189=$B$5)))*IF(INDEX(Settings[],MATCH(3002,Settings[ID],0),2)="B",1,0)</f>
        <v>0</v>
      </c>
      <c r="W22" s="885" cm="1">
        <f t="array" ref="W22">SUMPRODUCT(Calculation!DN$11:DN$189*(Calculation!$FL$11:$FL$189=$B22)*IF($B$5=0,1,Calculation!$CA$11:$CA$189=$B$5))
+(SUMPRODUCT(Calculation!DT$11:DT$189*(Calculation!$FL$11:$FL$189=$B22)*IF($B$5=0,0,Calculation!$CB$11:$CB$189=$B$5))
+SUMPRODUCT(Calculation!DZ$11:DZ$189*(Calculation!$FL$11:$FL$189=$B22)*IF($B$5=0,0,Calculation!$CC$11:$CC$189=$B$5)))*IF(INDEX(Settings[],MATCH(3002,Settings[ID],0),2)="B",0,1)</f>
        <v>0</v>
      </c>
      <c r="X22" s="885" cm="1">
        <f t="array" ref="X22">SUMPRODUCT(Calculation!DO$11:DO$189*(Calculation!$FL$11:$FL$189=$B22)*IF($B$5=0,1,Calculation!$CA$11:$CA$189=$B$5))
+SUMPRODUCT(Calculation!DU$11:DU$189*(Calculation!$FL$11:$FL$189=$B22)*IF($B$5=0,0,Calculation!$CB$11:$CB$189=$B$5))
+SUMPRODUCT(Calculation!EA$11:EA$189*(Calculation!$FL$11:$FL$189=$B22)*IF($B$5=0,0,Calculation!$CC$11:$CC$189=$B$5))</f>
        <v>0</v>
      </c>
      <c r="Y22" s="901">
        <f>SUM($Q22:$X22)</f>
        <v>0</v>
      </c>
      <c r="Z22" s="885" cm="1">
        <f t="array" ref="Z22">SUMPRODUCT(Calculation!DQ$11:DQ$189*(Calculation!$FL$11:$FL$189=$B22)*IF($B$5=0,1,0))</f>
        <v>0</v>
      </c>
      <c r="AA22" s="885" cm="1">
        <f t="array" ref="AA22">SUMPRODUCT(Calculation!DR$11:DR$189*(Calculation!$FL$11:$FL$189=$B22)*IF($B$5=0,1,0))</f>
        <v>0</v>
      </c>
      <c r="AB22" s="885" cm="1">
        <f t="array" ref="AB22">SUMPRODUCT(Calculation!DS$11:DS$189*(Calculation!$FL$11:$FL$189=$B22)*IF($B$5=0,1,0))</f>
        <v>0</v>
      </c>
      <c r="AC22" s="885" cm="1">
        <f t="array" ref="AC22">SUMPRODUCT(Calculation!DT$11:DT$189*(Calculation!$FL$11:$FL$189=$B22)*IF($B$5=0,1,0))</f>
        <v>0</v>
      </c>
      <c r="AD22" s="885" cm="1">
        <f t="array" ref="AD22">SUMPRODUCT(Calculation!DU$11:DU$189*(Calculation!$FL$11:$FL$189=$B22)*IF($B$5=0,1,0))</f>
        <v>0</v>
      </c>
      <c r="AE22" s="901">
        <f>IF(SUM($Z22:$AD22)=0,0,SUM($Y22:$AD22))</f>
        <v>0</v>
      </c>
      <c r="AF22" s="885" cm="1">
        <f t="array" ref="AF22">SUMPRODUCT(Calculation!DW$11:DW$189*(Calculation!$FL$11:$FL$189=$B22)*IF($B$5=0,1,0))</f>
        <v>0</v>
      </c>
      <c r="AG22" s="885" cm="1">
        <f t="array" ref="AG22">SUMPRODUCT(Calculation!DX$11:DX$189*(Calculation!$FL$11:$FL$189=$B22)*IF($B$5=0,1,0))</f>
        <v>0</v>
      </c>
      <c r="AH22" s="885" cm="1">
        <f t="array" ref="AH22">SUMPRODUCT(Calculation!DY$11:DY$189*(Calculation!$FL$11:$FL$189=$B22)*IF($B$5=0,1,0))</f>
        <v>0</v>
      </c>
      <c r="AI22" s="885" cm="1">
        <f t="array" ref="AI22">SUMPRODUCT(Calculation!DZ$11:DZ$189*(Calculation!$FL$11:$FL$189=$B22)*IF($B$5=0,1,0))</f>
        <v>0</v>
      </c>
      <c r="AJ22" s="885" cm="1">
        <f t="array" ref="AJ22">SUMPRODUCT(Calculation!EA$11:EA$189*(Calculation!$FL$11:$FL$189=$B22)*IF($B$5=0,1,0))</f>
        <v>0</v>
      </c>
      <c r="AK22" s="901">
        <f>IF(SUM(Cluster3[[Auss.7]:[Sonstige11]])=0,0,SUM($Y22:$AD22,$AF22:$AJ22))</f>
        <v>0</v>
      </c>
      <c r="AL22" s="295">
        <f>IF($B$5=0,$AK22,$Y22)</f>
        <v>0</v>
      </c>
    </row>
    <row r="26" spans="2:38">
      <c r="B26" s="311" t="s">
        <v>2644</v>
      </c>
      <c r="C26" s="817" t="s">
        <v>1386</v>
      </c>
      <c r="D26" s="817" t="s">
        <v>161</v>
      </c>
      <c r="E26" s="817" t="s">
        <v>335</v>
      </c>
      <c r="F26" s="817" t="s">
        <v>1362</v>
      </c>
      <c r="G26" s="817" t="s">
        <v>1371</v>
      </c>
      <c r="H26" s="817" t="s">
        <v>697</v>
      </c>
      <c r="I26" s="817" t="s">
        <v>27</v>
      </c>
      <c r="J26" s="817" t="s">
        <v>10</v>
      </c>
      <c r="K26" s="958" t="s">
        <v>2621</v>
      </c>
      <c r="L26" s="958" t="s">
        <v>1369</v>
      </c>
      <c r="M26" s="817" t="s">
        <v>2610</v>
      </c>
      <c r="N26" s="817" t="s">
        <v>698</v>
      </c>
      <c r="O26" s="817" t="s">
        <v>1</v>
      </c>
      <c r="P26" s="817" t="s">
        <v>9</v>
      </c>
      <c r="Q26" s="817" t="s">
        <v>12</v>
      </c>
      <c r="R26" s="817" t="s">
        <v>29</v>
      </c>
      <c r="S26" s="817" t="s">
        <v>28</v>
      </c>
      <c r="T26" s="817" t="s">
        <v>13</v>
      </c>
      <c r="U26" s="817" t="s">
        <v>1372</v>
      </c>
      <c r="V26" s="817" t="s">
        <v>1373</v>
      </c>
      <c r="W26" s="817" t="s">
        <v>14</v>
      </c>
      <c r="X26" s="817" t="s">
        <v>666</v>
      </c>
      <c r="Y26" s="817" t="s">
        <v>11</v>
      </c>
      <c r="Z26" s="817" t="s">
        <v>2598</v>
      </c>
      <c r="AA26" s="817" t="s">
        <v>2599</v>
      </c>
      <c r="AB26" s="817" t="s">
        <v>2600</v>
      </c>
      <c r="AC26" s="817" t="s">
        <v>2601</v>
      </c>
      <c r="AD26" s="817" t="s">
        <v>2602</v>
      </c>
      <c r="AE26" s="817" t="s">
        <v>2603</v>
      </c>
      <c r="AF26" s="817" t="s">
        <v>2604</v>
      </c>
      <c r="AG26" s="817" t="s">
        <v>2605</v>
      </c>
      <c r="AH26" s="817" t="s">
        <v>2606</v>
      </c>
      <c r="AI26" s="817" t="s">
        <v>2607</v>
      </c>
      <c r="AJ26" s="817" t="s">
        <v>2608</v>
      </c>
      <c r="AK26" s="902" t="s">
        <v>2609</v>
      </c>
      <c r="AL26" s="243" t="s">
        <v>36</v>
      </c>
    </row>
    <row r="27" spans="2:38">
      <c r="B27" s="990" t="s">
        <v>70</v>
      </c>
      <c r="C27" s="899" cm="1">
        <f t="array" ref="C27">SUMPRODUCT(Calculation!CV$11:CV$189*(Calculation!$CE$11:$CE$189&gt;0))</f>
        <v>0.67595454884142869</v>
      </c>
      <c r="D27" s="899" cm="1">
        <f t="array" ref="D27">SUMPRODUCT(Calculation!CW$11:CW$189*(Calculation!$CE$11:$CE$189&gt;0))</f>
        <v>0.29143641791383673</v>
      </c>
      <c r="E27" s="899" cm="1">
        <f t="array" ref="E27">SUMPRODUCT(Calculation!CX$11:CX$189*(Calculation!$CE$11:$CE$189&gt;0))</f>
        <v>0.36198279732140676</v>
      </c>
      <c r="F27" s="899" cm="1">
        <f t="array" ref="F27">SUMPRODUCT(Calculation!CY$11:CY$189*(Calculation!$CE$11:$CE$189&gt;0))</f>
        <v>0</v>
      </c>
      <c r="G27" s="899" cm="1">
        <f t="array" ref="G27">SUMPRODUCT(Calculation!CZ$11:CZ$189*(Calculation!$CE$11:$CE$189&gt;0))</f>
        <v>0</v>
      </c>
      <c r="H27" s="899" cm="1">
        <f t="array" ref="H27">SUMPRODUCT(Calculation!DA$11:DA$189*(Calculation!$CE$11:$CE$189&gt;0))</f>
        <v>1.037937346162836E-2</v>
      </c>
      <c r="I27" s="899" cm="1">
        <f t="array" ref="I27">SUMPRODUCT(Calculation!DB$11:DB$189*(Calculation!$CE$11:$CE$189&gt;0))</f>
        <v>0.15961855675160963</v>
      </c>
      <c r="J27" s="991">
        <f>SUM($C27:$I27)</f>
        <v>1.49937169428991</v>
      </c>
      <c r="K27" s="899" cm="1">
        <f t="array" ref="K27">SUMPRODUCT(Calculation!DD$11:DD$189*(Calculation!$CE$11:$CE$189&gt;0))</f>
        <v>18.121024413130591</v>
      </c>
      <c r="L27" s="899" cm="1">
        <f t="array" ref="L27">SUMPRODUCT(Calculation!DP$11:DP$189*(Calculation!$BZ$11:$BZ$189=$B27)*IF($B$5=0,0,Calculation!$CB$11:$CB$189=$B$5))
+SUMPRODUCT(Calculation!DP$11:DU$189*(Calculation!$BZ$11:$BZ$189=$B27)*IF($B$5=0,0,Calculation!$CC$11:$CC$189=$B$5))</f>
        <v>0</v>
      </c>
      <c r="M27" s="899">
        <f>SUM($K27:$L27)</f>
        <v>18.121024413130591</v>
      </c>
      <c r="N27" s="899" cm="1">
        <f t="array" ref="N27">SUMPRODUCT(Calculation!DE$11:DE$189*(Calculation!$CE$11:$CE$189&gt;0))
+SUMPRODUCT(Calculation!DQ$11:DQ$189*(Calculation!$BZ$11:$BZ$189=$B27)*IF($B$5=0,0,Calculation!$CB$11:$CB$189=$B$5))
+SUMPRODUCT(Calculation!DW$11:DW$189*(Calculation!$BZ$11:$BZ$189=$B27)*IF($B$5=0,0,Calculation!$CC$11:$CC$189=$B$5))</f>
        <v>0.18122557278730586</v>
      </c>
      <c r="O27" s="899" cm="1">
        <f t="array" ref="O27">SUMPRODUCT(Calculation!DF$11:DF$189*(Calculation!$CE$11:$CE$189&gt;0))
+SUMPRODUCT(Calculation!DR$11:DR$189*(Calculation!$BZ$11:$BZ$189=$B27)*IF($B$5=0,0,Calculation!$CB$11:$CB$189=$B$5))
+SUMPRODUCT(Calculation!DX$11:DX$189*(Calculation!$BZ$11:$BZ$189=$B27)*IF($B$5=0,0,Calculation!$CC$11:$CC$189=$B$5))</f>
        <v>0.18575046983722143</v>
      </c>
      <c r="P27" s="991">
        <f>SUM($M27:$O27)</f>
        <v>18.488000455755117</v>
      </c>
      <c r="Q27" s="900">
        <f>$J27+$P27</f>
        <v>19.987372150045026</v>
      </c>
      <c r="R27" s="899" cm="1">
        <f t="array" ref="R27">SUMPRODUCT(Calculation!DI$11:DI$189*(Calculation!$CE$11:$CE$189&gt;0))</f>
        <v>0</v>
      </c>
      <c r="S27" s="899" cm="1">
        <f t="array" ref="S27">SUMPRODUCT(Calculation!DJ$11:DJ$189*(Calculation!$CE$11:$CE$189&gt;0))
+(SUMPRODUCT(Calculation!DS$11:DS$189*(Calculation!$BZ$11:$BZ$189=$B27)*IF($B$5=0,0,Calculation!$CB$11:$CB$189=$B$5))
+SUMPRODUCT(Calculation!DY$11:DY$189*(Calculation!$BZ$11:$BZ$189=$B27)*IF($B$5=0,0,Calculation!$CC$11:$CC$189=$B$5)))*IF(INDEX(Settings[],MATCH(3001,Settings[ID],0),2)="B",1,0)</f>
        <v>0</v>
      </c>
      <c r="T27" s="899" cm="1">
        <f t="array" ref="T27">SUMPRODUCT(Calculation!DK$11:DK$189*(Calculation!$CE$11:$CE$189&gt;0))
+(SUMPRODUCT(Calculation!DS$11:DS$189*(Calculation!$BZ$11:$BZ$189=$B27)*IF($B$5=0,0,Calculation!$CB$11:$CB$189=$B$5))
+SUMPRODUCT(Calculation!DY$11:DY$189*(Calculation!$BZ$11:$BZ$189=$B27)*IF($B$5=0,0,Calculation!$CC$11:$CC$189=$B$5)))*IF(INDEX(Settings[],MATCH(3001,Settings[ID],0),2)="B",0,1)</f>
        <v>2.4973157052729245</v>
      </c>
      <c r="U27" s="899" cm="1">
        <f t="array" ref="U27">SUMPRODUCT(Calculation!DL$11:DL$189*(Calculation!$CE$11:$CE$189&gt;0))</f>
        <v>0</v>
      </c>
      <c r="V27" s="899" cm="1">
        <f t="array" ref="V27">SUMPRODUCT(Calculation!DM$11:DM$189*(Calculation!$CE$11:$CE$189&gt;0))
+(SUMPRODUCT(Calculation!DT$11:DT$189*(Calculation!$BZ$11:$BZ$189=$B27)*IF($B$5=0,0,Calculation!$CB$11:$CB$189=$B$5))
+SUMPRODUCT(Calculation!DZ$11:DZ$189*(Calculation!$BZ$11:$BZ$189=$B27)*IF($B$5=0,0,Calculation!$CC$11:$CC$189=$B$5)))*IF(INDEX(Settings[],MATCH(3002,Settings[ID],0),2)="B",1,0)</f>
        <v>0</v>
      </c>
      <c r="W27" s="899" cm="1">
        <f t="array" ref="W27">SUMPRODUCT(Calculation!DN$11:DN$189*(Calculation!$CE$11:$CE$189&gt;0))
+(SUMPRODUCT(Calculation!DT$11:DT$189*(Calculation!$BZ$11:$BZ$189=$B27)*IF($B$5=0,0,Calculation!$CB$11:$CB$189=$B$5))
+SUMPRODUCT(Calculation!DZ$11:DZ$189*(Calculation!$BZ$11:$BZ$189=$B27)*IF($B$5=0,0,Calculation!$CC$11:$CC$189=$B$5)))*IF(INDEX(Settings[],MATCH(3002,Settings[ID],0),2)="B",0,1)</f>
        <v>1.1766929759735318</v>
      </c>
      <c r="X27" s="899" cm="1">
        <f t="array" ref="X27">SUMPRODUCT(Calculation!DO$11:DO$189*(Calculation!$CE$11:$CE$189&gt;0))
+SUMPRODUCT(Calculation!DU$11:DU$189*(Calculation!$BZ$11:$BZ$189=$B27)*IF($B$5=0,0,Calculation!$CB$11:$CB$189=$B$5))
+SUMPRODUCT(Calculation!EA$11:EA$189*(Calculation!$BZ$11:$BZ$189=$B27)*IF($B$5=0,0,Calculation!$CC$11:$CC$189=$B$5))</f>
        <v>0</v>
      </c>
      <c r="Y27" s="989">
        <f>SUM($Q27:$X27)</f>
        <v>23.661380831291481</v>
      </c>
      <c r="Z27" s="899" cm="1">
        <f t="array" ref="Z27">SUMPRODUCT(Calculation!DQ$11:DQ$189*(Calculation!$CE$11:$CE$189&gt;0))</f>
        <v>0</v>
      </c>
      <c r="AA27" s="899" cm="1">
        <f t="array" ref="AA27">SUMPRODUCT(Calculation!DR$11:DR$189*(Calculation!$CE$11:$CE$189&gt;0))</f>
        <v>0</v>
      </c>
      <c r="AB27" s="899" cm="1">
        <f t="array" ref="AB27">SUMPRODUCT(Calculation!DS$11:DS$189*(Calculation!$CE$11:$CE$189&gt;0))</f>
        <v>0</v>
      </c>
      <c r="AC27" s="899" cm="1">
        <f t="array" ref="AC27">SUMPRODUCT(Calculation!DT$11:DT$189*(Calculation!$CE$11:$CE$189&gt;0))</f>
        <v>0</v>
      </c>
      <c r="AD27" s="899" cm="1">
        <f t="array" ref="AD27">SUMPRODUCT(Calculation!DU$11:DU$189*(Calculation!$CE$11:$CE$189&gt;0))</f>
        <v>0</v>
      </c>
      <c r="AE27" s="989">
        <f>IF(SUM($Z27:$AD27)=0,0,SUM($Y27:$AD27))</f>
        <v>0</v>
      </c>
      <c r="AF27" s="899" cm="1">
        <f t="array" ref="AF27">SUMPRODUCT(Calculation!DW$11:DW$189*(Calculation!$CE$11:$CE$189&gt;0))</f>
        <v>0</v>
      </c>
      <c r="AG27" s="899" cm="1">
        <f t="array" ref="AG27">SUMPRODUCT(Calculation!DX$11:DX$189*(Calculation!$CE$11:$CE$189&gt;0))</f>
        <v>0</v>
      </c>
      <c r="AH27" s="899" cm="1">
        <f t="array" ref="AH27">SUMPRODUCT(Calculation!DY$11:DY$189*(Calculation!$CE$11:$CE$189&gt;0))</f>
        <v>0</v>
      </c>
      <c r="AI27" s="899" cm="1">
        <f t="array" ref="AI27">SUMPRODUCT(Calculation!DZ$11:DZ$189*(Calculation!$CE$11:$CE$189&gt;0))</f>
        <v>0</v>
      </c>
      <c r="AJ27" s="899" cm="1">
        <f t="array" ref="AJ27">SUMPRODUCT(Calculation!EA$11:EA$189*(Calculation!$CE$11:$CE$189&gt;0))</f>
        <v>0</v>
      </c>
      <c r="AK27" s="989">
        <f>IF(SUM(ClusterSupplyChain[[Auss.7]:[Sonstige11]])=0,0,SUM($Y27:$AD27,$AF27:$AJ27))</f>
        <v>0</v>
      </c>
      <c r="AL27" s="295">
        <f>IF($B$5=0,$AK27,$Y27)</f>
        <v>0</v>
      </c>
    </row>
    <row r="28" spans="2:38">
      <c r="B28" s="967">
        <v>1</v>
      </c>
      <c r="C28" s="885" cm="1">
        <f t="array" ref="C28">SUMPRODUCT(Calculation!CV$11:CV$189*(Calculation!$BZ$11:$BZ$189=$B28)*IF($B$5=0,1,Calculation!$CA$11:$CA$189=$B$5))</f>
        <v>0.67595454884142869</v>
      </c>
      <c r="D28" s="885" cm="1">
        <f t="array" ref="D28">SUMPRODUCT(Calculation!CW$11:CW$189*(Calculation!$BZ$11:$BZ$189=$B28)*IF($B$5=0,1,Calculation!$CA$11:$CA$189=$B$5))</f>
        <v>0.29143641791383673</v>
      </c>
      <c r="E28" s="885" cm="1">
        <f t="array" ref="E28">SUMPRODUCT(Calculation!CX$11:CX$189*(Calculation!$BZ$11:$BZ$189=$B28)*IF($B$5=0,1,Calculation!$CA$11:$CA$189=$B$5))</f>
        <v>0.36198279732140676</v>
      </c>
      <c r="F28" s="885" cm="1">
        <f t="array" ref="F28">SUMPRODUCT(Calculation!CY$11:CY$189*(Calculation!$BZ$11:$BZ$189=$B28)*IF($B$5=0,1,Calculation!$CA$11:$CA$189=$B$5))</f>
        <v>0</v>
      </c>
      <c r="G28" s="885" cm="1">
        <f t="array" ref="G28">SUMPRODUCT(Calculation!CZ$11:CZ$189*(Calculation!$BZ$11:$BZ$189=$B28)*IF($B$5=0,1,Calculation!$CA$11:$CA$189=$B$5))</f>
        <v>0</v>
      </c>
      <c r="H28" s="885" cm="1">
        <f t="array" ref="H28">SUMPRODUCT(Calculation!DA$11:DA$189*(Calculation!$BZ$11:$BZ$189=$B28)*IF($B$5=0,1,Calculation!$CA$11:$CA$189=$B$5))</f>
        <v>1.037937346162836E-2</v>
      </c>
      <c r="I28" s="885" cm="1">
        <f t="array" ref="I28">SUMPRODUCT(Calculation!DB$11:DB$189*(Calculation!$BZ$11:$BZ$189=$B28)*IF($B$5=0,1,Calculation!$CA$11:$CA$189=$B$5))</f>
        <v>0.15961855675160963</v>
      </c>
      <c r="J28" s="898">
        <f>SUM($C28:$I28)</f>
        <v>1.49937169428991</v>
      </c>
      <c r="K28" s="899" cm="1">
        <f t="array" ref="K28">SUMPRODUCT(Calculation!DD$11:DD$189*(Calculation!$BZ$11:$BZ$189=$B28)*IF($B$5=0,1,Calculation!$CA$11:$CA$189=$B$5))</f>
        <v>18.121024413130591</v>
      </c>
      <c r="L28" s="899" cm="1">
        <f t="array" ref="L28">SUMPRODUCT(Calculation!DP$11:DP$189*(Calculation!$BZ$11:$BZ$189=$B28)*IF($B$5=0,0,Calculation!$CB$11:$CB$189=$B$5))
+SUMPRODUCT(Calculation!DP$11:DU$189*(Calculation!$BZ$11:$BZ$189=$B28)*IF($B$5=0,0,Calculation!$CC$11:$CC$189=$B$5))</f>
        <v>0</v>
      </c>
      <c r="M28" s="885">
        <f>SUM($K28:$L28)</f>
        <v>18.121024413130591</v>
      </c>
      <c r="N28" s="885" cm="1">
        <f t="array" ref="N28">SUMPRODUCT(Calculation!DE$11:DE$189*(Calculation!$BZ$11:$BZ$189=$B28)*IF($B$5=0,1,Calculation!$CA$11:$CA$189=$B$5))
+SUMPRODUCT(Calculation!DQ$11:DQ$189*(Calculation!$BZ$11:$BZ$189=$B28)*IF($B$5=0,0,Calculation!$CB$11:$CB$189=$B$5))
+SUMPRODUCT(Calculation!DW$11:DW$189*(Calculation!$BZ$11:$BZ$189=$B28)*IF($B$5=0,0,Calculation!$CC$11:$CC$189=$B$5))</f>
        <v>0.18122557278730586</v>
      </c>
      <c r="O28" s="885" cm="1">
        <f t="array" ref="O28">SUMPRODUCT(Calculation!DF$11:DF$189*(Calculation!$BZ$11:$BZ$189=$B28)*IF($B$5=0,1,Calculation!$CA$11:$CA$189=$B$5))
+SUMPRODUCT(Calculation!DR$11:DR$189*(Calculation!$BZ$11:$BZ$189=$B28)*IF($B$5=0,0,Calculation!$CB$11:$CB$189=$B$5))
+SUMPRODUCT(Calculation!DX$11:DX$189*(Calculation!$BZ$11:$BZ$189=$B28)*IF($B$5=0,0,Calculation!$CC$11:$CC$189=$B$5))</f>
        <v>0.18575046983722143</v>
      </c>
      <c r="P28" s="898">
        <f>SUM($M28:$O28)</f>
        <v>18.488000455755117</v>
      </c>
      <c r="Q28" s="900">
        <f>$J28+$P28</f>
        <v>19.987372150045026</v>
      </c>
      <c r="R28" s="885" cm="1">
        <f t="array" ref="R28">SUMPRODUCT(Calculation!DI$11:DI$189*(Calculation!$BZ$11:$BZ$189=$B28)*IF($B$5=0,1,Calculation!$CA$11:$CA$189=$B$5))</f>
        <v>0</v>
      </c>
      <c r="S28" s="885" cm="1">
        <f t="array" ref="S28">SUMPRODUCT(Calculation!DJ$11:DJ$189*(Calculation!$BZ$11:$BZ$189=$B28)*IF($B$5=0,1,Calculation!$CA$11:$CA$189=$B$5))
+(SUMPRODUCT(Calculation!DS$11:DS$189*(Calculation!$BZ$11:$BZ$189=$B28)*IF($B$5=0,0,Calculation!$CB$11:$CB$189=$B$5))
+SUMPRODUCT(Calculation!DY$11:DY$189*(Calculation!$BZ$11:$BZ$189=$B28)*IF($B$5=0,0,Calculation!$CC$11:$CC$189=$B$5)))*IF(INDEX(Settings[],MATCH(3001,Settings[ID],0),2)="B",1,0)</f>
        <v>0</v>
      </c>
      <c r="T28" s="885" cm="1">
        <f t="array" ref="T28">SUMPRODUCT(Calculation!DK$11:DK$189*(Calculation!$BZ$11:$BZ$189=$B28)*IF($B$5=0,1,Calculation!$CA$11:$CA$189=$B$5))
+(SUMPRODUCT(Calculation!DS$11:DS$189*(Calculation!$BZ$11:$BZ$189=$B28)*IF($B$5=0,0,Calculation!$CB$11:$CB$189=$B$5))
+SUMPRODUCT(Calculation!DY$11:DY$189*(Calculation!$BZ$11:$BZ$189=$B28)*IF($B$5=0,0,Calculation!$CC$11:$CC$189=$B$5)))*IF(INDEX(Settings[],MATCH(3001,Settings[ID],0),2)="B",0,1)</f>
        <v>2.4973157052729245</v>
      </c>
      <c r="U28" s="885" cm="1">
        <f t="array" ref="U28">SUMPRODUCT(Calculation!DL$11:DL$189*(Calculation!$BZ$11:$BZ$189=$B28)*IF($B$5=0,1,Calculation!$CA$11:$CA$189=$B$5))</f>
        <v>0</v>
      </c>
      <c r="V28" s="885" cm="1">
        <f t="array" ref="V28">SUMPRODUCT(Calculation!DM$11:DM$189*(Calculation!$BZ$11:$BZ$189=$B28)*IF($B$5=0,1,Calculation!$CA$11:$CA$189=$B$5))
+(SUMPRODUCT(Calculation!DT$11:DT$189*(Calculation!$BZ$11:$BZ$189=$B28)*IF($B$5=0,0,Calculation!$CB$11:$CB$189=$B$5))
+SUMPRODUCT(Calculation!DZ$11:DZ$189*(Calculation!$BZ$11:$BZ$189=$B28)*IF($B$5=0,0,Calculation!$CC$11:$CC$189=$B$5)))*IF(INDEX(Settings[],MATCH(3002,Settings[ID],0),2)="B",1,0)</f>
        <v>0</v>
      </c>
      <c r="W28" s="885" cm="1">
        <f t="array" ref="W28">SUMPRODUCT(Calculation!DN$11:DN$189*(Calculation!$BZ$11:$BZ$189=$B28)*IF($B$5=0,1,Calculation!$CA$11:$CA$189=$B$5))
+(SUMPRODUCT(Calculation!DT$11:DT$189*(Calculation!$BZ$11:$BZ$189=$B28)*IF($B$5=0,0,Calculation!$CB$11:$CB$189=$B$5))
+SUMPRODUCT(Calculation!DZ$11:DZ$189*(Calculation!$BZ$11:$BZ$189=$B28)*IF($B$5=0,0,Calculation!$CC$11:$CC$189=$B$5)))*IF(INDEX(Settings[],MATCH(3002,Settings[ID],0),2)="B",0,1)</f>
        <v>1.1766929759735318</v>
      </c>
      <c r="X28" s="885" cm="1">
        <f t="array" ref="X28">SUMPRODUCT(Calculation!DO$11:DO$189*(Calculation!$BZ$11:$BZ$189=$B28)*IF($B$5=0,1,Calculation!$CA$11:$CA$189=$B$5))
+SUMPRODUCT(Calculation!DU$11:DU$189*(Calculation!$BZ$11:$BZ$189=$B28)*IF($B$5=0,0,Calculation!$CB$11:$CB$189=$B$5))
+SUMPRODUCT(Calculation!EA$11:EA$189*(Calculation!$BZ$11:$BZ$189=$B28)*IF($B$5=0,0,Calculation!$CC$11:$CC$189=$B$5))</f>
        <v>0</v>
      </c>
      <c r="Y28" s="901">
        <f>SUM($Q28:$X28)</f>
        <v>23.661380831291481</v>
      </c>
      <c r="Z28" s="885" cm="1">
        <f t="array" ref="Z28">SUMPRODUCT(Calculation!DQ$11:DQ$189*(Calculation!$BZ$11:$BZ$189=$B28)*IF($B$5=0,1,0))</f>
        <v>0</v>
      </c>
      <c r="AA28" s="885" cm="1">
        <f t="array" ref="AA28">SUMPRODUCT(Calculation!DR$11:DR$189*(Calculation!$BZ$11:$BZ$189=$B28)*IF($B$5=0,1,0))</f>
        <v>0</v>
      </c>
      <c r="AB28" s="885" cm="1">
        <f t="array" ref="AB28">SUMPRODUCT(Calculation!DS$11:DS$189*(Calculation!$BZ$11:$BZ$189=$B28)*IF($B$5=0,1,0))</f>
        <v>0</v>
      </c>
      <c r="AC28" s="885" cm="1">
        <f t="array" ref="AC28">SUMPRODUCT(Calculation!DT$11:DT$189*(Calculation!$BZ$11:$BZ$189=$B28)*IF($B$5=0,1,0))</f>
        <v>0</v>
      </c>
      <c r="AD28" s="885" cm="1">
        <f t="array" ref="AD28">SUMPRODUCT(Calculation!DU$11:DU$189*(Calculation!$BZ$11:$BZ$189=$B28)*IF($B$5=0,1,0))</f>
        <v>0</v>
      </c>
      <c r="AE28" s="901">
        <f>IF(SUM($Z28:$AD28)=0,0,SUM($Y28:$AD28))</f>
        <v>0</v>
      </c>
      <c r="AF28" s="885" cm="1">
        <f t="array" ref="AF28">SUMPRODUCT(Calculation!DW$11:DW$189*(Calculation!$BZ$11:$BZ$189=$B28)*IF($B$5=0,1,0))</f>
        <v>0</v>
      </c>
      <c r="AG28" s="885" cm="1">
        <f t="array" ref="AG28">SUMPRODUCT(Calculation!DX$11:DX$189*(Calculation!$BZ$11:$BZ$189=$B28)*IF($B$5=0,1,0))</f>
        <v>0</v>
      </c>
      <c r="AH28" s="885" cm="1">
        <f t="array" ref="AH28">SUMPRODUCT(Calculation!DY$11:DY$189*(Calculation!$BZ$11:$BZ$189=$B28)*IF($B$5=0,1,0))</f>
        <v>0</v>
      </c>
      <c r="AI28" s="885" cm="1">
        <f t="array" ref="AI28">SUMPRODUCT(Calculation!DZ$11:DZ$189*(Calculation!$BZ$11:$BZ$189=$B28)*IF($B$5=0,1,0))</f>
        <v>0</v>
      </c>
      <c r="AJ28" s="885" cm="1">
        <f t="array" ref="AJ28">SUMPRODUCT(Calculation!EA$11:EA$189*(Calculation!$BZ$11:$BZ$189=$B28)*IF($B$5=0,1,0))</f>
        <v>0</v>
      </c>
      <c r="AK28" s="901">
        <f>IF(SUM(ClusterSupplyChain[[Auss.7]:[Sonstige11]])=0,0,SUM($Y28:$AD28,$AF28:$AJ28))</f>
        <v>0</v>
      </c>
      <c r="AL28" s="295">
        <f>IF($B$5=0,$AK28,$Y28)</f>
        <v>0</v>
      </c>
    </row>
    <row r="29" spans="2:38">
      <c r="B29" s="967" t="s">
        <v>2642</v>
      </c>
      <c r="C29" s="885" cm="1">
        <f t="array" ref="C29">SUMPRODUCT(Calculation!CV$11:CV$189*(Calculation!$BZ$11:$BZ$189=$B29)*IF($B$5=0,1,Calculation!$CA$11:$CA$189=$B$5))</f>
        <v>0</v>
      </c>
      <c r="D29" s="885" cm="1">
        <f t="array" ref="D29">SUMPRODUCT(Calculation!CW$11:CW$189*(Calculation!$BZ$11:$BZ$189=$B29)*IF($B$5=0,1,Calculation!$CA$11:$CA$189=$B$5))</f>
        <v>0</v>
      </c>
      <c r="E29" s="885" cm="1">
        <f t="array" ref="E29">SUMPRODUCT(Calculation!CX$11:CX$189*(Calculation!$BZ$11:$BZ$189=$B29)*IF($B$5=0,1,Calculation!$CA$11:$CA$189=$B$5))</f>
        <v>0</v>
      </c>
      <c r="F29" s="885" cm="1">
        <f t="array" ref="F29">SUMPRODUCT(Calculation!CY$11:CY$189*(Calculation!$BZ$11:$BZ$189=$B29)*IF($B$5=0,1,Calculation!$CA$11:$CA$189=$B$5))</f>
        <v>0</v>
      </c>
      <c r="G29" s="885" cm="1">
        <f t="array" ref="G29">SUMPRODUCT(Calculation!CZ$11:CZ$189*(Calculation!$BZ$11:$BZ$189=$B29)*IF($B$5=0,1,Calculation!$CA$11:$CA$189=$B$5))</f>
        <v>0</v>
      </c>
      <c r="H29" s="885" cm="1">
        <f t="array" ref="H29">SUMPRODUCT(Calculation!DA$11:DA$189*(Calculation!$BZ$11:$BZ$189=$B29)*IF($B$5=0,1,Calculation!$CA$11:$CA$189=$B$5))</f>
        <v>0</v>
      </c>
      <c r="I29" s="885" cm="1">
        <f t="array" ref="I29">SUMPRODUCT(Calculation!DB$11:DB$189*(Calculation!$BZ$11:$BZ$189=$B29)*IF($B$5=0,1,Calculation!$CA$11:$CA$189=$B$5))</f>
        <v>0</v>
      </c>
      <c r="J29" s="898">
        <f>SUM($C29:$I29)</f>
        <v>0</v>
      </c>
      <c r="K29" s="899" cm="1">
        <f t="array" ref="K29">SUMPRODUCT(Calculation!DD$11:DD$189*(Calculation!$BZ$11:$BZ$189=$B29)*IF($B$5=0,1,Calculation!$CA$11:$CA$189=$B$5))</f>
        <v>0</v>
      </c>
      <c r="L29" s="899" cm="1">
        <f t="array" ref="L29">SUMPRODUCT(Calculation!DP$11:DP$189*(Calculation!$BZ$11:$BZ$189=$B29)*IF($B$5=0,0,Calculation!$CB$11:$CB$189=$B$5))
+SUMPRODUCT(Calculation!DP$11:DU$189*(Calculation!$BZ$11:$BZ$189=$B29)*IF($B$5=0,0,Calculation!$CC$11:$CC$189=$B$5))</f>
        <v>0</v>
      </c>
      <c r="M29" s="885">
        <f>SUM($K29:$L29)</f>
        <v>0</v>
      </c>
      <c r="N29" s="885" cm="1">
        <f t="array" ref="N29">SUMPRODUCT(Calculation!DE$11:DE$189*(Calculation!$BZ$11:$BZ$189=$B29)*IF($B$5=0,1,Calculation!$CA$11:$CA$189=$B$5))
+SUMPRODUCT(Calculation!DQ$11:DQ$189*(Calculation!$BZ$11:$BZ$189=$B29)*IF($B$5=0,0,Calculation!$CB$11:$CB$189=$B$5))
+SUMPRODUCT(Calculation!DW$11:DW$189*(Calculation!$BZ$11:$BZ$189=$B29)*IF($B$5=0,0,Calculation!$CC$11:$CC$189=$B$5))</f>
        <v>0</v>
      </c>
      <c r="O29" s="885" cm="1">
        <f t="array" ref="O29">SUMPRODUCT(Calculation!DF$11:DF$189*(Calculation!$BZ$11:$BZ$189=$B29)*IF($B$5=0,1,Calculation!$CA$11:$CA$189=$B$5))
+SUMPRODUCT(Calculation!DR$11:DR$189*(Calculation!$BZ$11:$BZ$189=$B29)*IF($B$5=0,0,Calculation!$CB$11:$CB$189=$B$5))
+SUMPRODUCT(Calculation!DX$11:DX$189*(Calculation!$BZ$11:$BZ$189=$B29)*IF($B$5=0,0,Calculation!$CC$11:$CC$189=$B$5))</f>
        <v>0</v>
      </c>
      <c r="P29" s="898">
        <f>SUM($M29:$O29)</f>
        <v>0</v>
      </c>
      <c r="Q29" s="900">
        <f>$J29+$P29</f>
        <v>0</v>
      </c>
      <c r="R29" s="885" cm="1">
        <f t="array" ref="R29">SUMPRODUCT(Calculation!DI$11:DI$189*(Calculation!$BZ$11:$BZ$189=$B29)*IF($B$5=0,1,Calculation!$CA$11:$CA$189=$B$5))</f>
        <v>0</v>
      </c>
      <c r="S29" s="885" cm="1">
        <f t="array" ref="S29">SUMPRODUCT(Calculation!DJ$11:DJ$189*(Calculation!$BZ$11:$BZ$189=$B29)*IF($B$5=0,1,Calculation!$CA$11:$CA$189=$B$5))
+(SUMPRODUCT(Calculation!DS$11:DS$189*(Calculation!$BZ$11:$BZ$189=$B29)*IF($B$5=0,0,Calculation!$CB$11:$CB$189=$B$5))
+SUMPRODUCT(Calculation!DY$11:DY$189*(Calculation!$BZ$11:$BZ$189=$B29)*IF($B$5=0,0,Calculation!$CC$11:$CC$189=$B$5)))*IF(INDEX(Settings[],MATCH(3001,Settings[ID],0),2)="B",1,0)</f>
        <v>0</v>
      </c>
      <c r="T29" s="885" cm="1">
        <f t="array" ref="T29">SUMPRODUCT(Calculation!DK$11:DK$189*(Calculation!$BZ$11:$BZ$189=$B29)*IF($B$5=0,1,Calculation!$CA$11:$CA$189=$B$5))
+(SUMPRODUCT(Calculation!DS$11:DS$189*(Calculation!$BZ$11:$BZ$189=$B29)*IF($B$5=0,0,Calculation!$CB$11:$CB$189=$B$5))
+SUMPRODUCT(Calculation!DY$11:DY$189*(Calculation!$BZ$11:$BZ$189=$B29)*IF($B$5=0,0,Calculation!$CC$11:$CC$189=$B$5)))*IF(INDEX(Settings[],MATCH(3001,Settings[ID],0),2)="B",0,1)</f>
        <v>0</v>
      </c>
      <c r="U29" s="885" cm="1">
        <f t="array" ref="U29">SUMPRODUCT(Calculation!DL$11:DL$189*(Calculation!$BZ$11:$BZ$189=$B29)*IF($B$5=0,1,Calculation!$CA$11:$CA$189=$B$5))</f>
        <v>0</v>
      </c>
      <c r="V29" s="885" cm="1">
        <f t="array" ref="V29">SUMPRODUCT(Calculation!DM$11:DM$189*(Calculation!$BZ$11:$BZ$189=$B29)*IF($B$5=0,1,Calculation!$CA$11:$CA$189=$B$5))
+(SUMPRODUCT(Calculation!DT$11:DT$189*(Calculation!$BZ$11:$BZ$189=$B29)*IF($B$5=0,0,Calculation!$CB$11:$CB$189=$B$5))
+SUMPRODUCT(Calculation!DZ$11:DZ$189*(Calculation!$BZ$11:$BZ$189=$B29)*IF($B$5=0,0,Calculation!$CC$11:$CC$189=$B$5)))*IF(INDEX(Settings[],MATCH(3002,Settings[ID],0),2)="B",1,0)</f>
        <v>0</v>
      </c>
      <c r="W29" s="885" cm="1">
        <f t="array" ref="W29">SUMPRODUCT(Calculation!DN$11:DN$189*(Calculation!$BZ$11:$BZ$189=$B29)*IF($B$5=0,1,Calculation!$CA$11:$CA$189=$B$5))
+(SUMPRODUCT(Calculation!DT$11:DT$189*(Calculation!$BZ$11:$BZ$189=$B29)*IF($B$5=0,0,Calculation!$CB$11:$CB$189=$B$5))
+SUMPRODUCT(Calculation!DZ$11:DZ$189*(Calculation!$BZ$11:$BZ$189=$B29)*IF($B$5=0,0,Calculation!$CC$11:$CC$189=$B$5)))*IF(INDEX(Settings[],MATCH(3002,Settings[ID],0),2)="B",0,1)</f>
        <v>0</v>
      </c>
      <c r="X29" s="885" cm="1">
        <f t="array" ref="X29">SUMPRODUCT(Calculation!DO$11:DO$189*(Calculation!$BZ$11:$BZ$189=$B29)*IF($B$5=0,1,Calculation!$CA$11:$CA$189=$B$5))
+SUMPRODUCT(Calculation!DU$11:DU$189*(Calculation!$BZ$11:$BZ$189=$B29)*IF($B$5=0,0,Calculation!$CB$11:$CB$189=$B$5))
+SUMPRODUCT(Calculation!EA$11:EA$189*(Calculation!$BZ$11:$BZ$189=$B29)*IF($B$5=0,0,Calculation!$CC$11:$CC$189=$B$5))</f>
        <v>0</v>
      </c>
      <c r="Y29" s="901">
        <f>SUM($Q29:$X29)</f>
        <v>0</v>
      </c>
      <c r="Z29" s="885" cm="1">
        <f t="array" ref="Z29">SUMPRODUCT(Calculation!DQ$11:DQ$189*(Calculation!$BZ$11:$BZ$189=$B29)*IF($B$5=0,1,0))</f>
        <v>0</v>
      </c>
      <c r="AA29" s="885" cm="1">
        <f t="array" ref="AA29">SUMPRODUCT(Calculation!DR$11:DR$189*(Calculation!$BZ$11:$BZ$189=$B29)*IF($B$5=0,1,0))</f>
        <v>0</v>
      </c>
      <c r="AB29" s="885" cm="1">
        <f t="array" ref="AB29">SUMPRODUCT(Calculation!DS$11:DS$189*(Calculation!$BZ$11:$BZ$189=$B29)*IF($B$5=0,1,0))</f>
        <v>0</v>
      </c>
      <c r="AC29" s="885" cm="1">
        <f t="array" ref="AC29">SUMPRODUCT(Calculation!DT$11:DT$189*(Calculation!$BZ$11:$BZ$189=$B29)*IF($B$5=0,1,0))</f>
        <v>0</v>
      </c>
      <c r="AD29" s="885" cm="1">
        <f t="array" ref="AD29">SUMPRODUCT(Calculation!DU$11:DU$189*(Calculation!$BZ$11:$BZ$189=$B29)*IF($B$5=0,1,0))</f>
        <v>0</v>
      </c>
      <c r="AE29" s="901">
        <f>IF(SUM($Z29:$AD29)=0,0,SUM($Y29:$AD29))</f>
        <v>0</v>
      </c>
      <c r="AF29" s="885" cm="1">
        <f t="array" ref="AF29">SUMPRODUCT(Calculation!DW$11:DW$189*(Calculation!$BZ$11:$BZ$189=$B29)*IF($B$5=0,1,0))</f>
        <v>0</v>
      </c>
      <c r="AG29" s="885" cm="1">
        <f t="array" ref="AG29">SUMPRODUCT(Calculation!DX$11:DX$189*(Calculation!$BZ$11:$BZ$189=$B29)*IF($B$5=0,1,0))</f>
        <v>0</v>
      </c>
      <c r="AH29" s="885" cm="1">
        <f t="array" ref="AH29">SUMPRODUCT(Calculation!DY$11:DY$189*(Calculation!$BZ$11:$BZ$189=$B29)*IF($B$5=0,1,0))</f>
        <v>0</v>
      </c>
      <c r="AI29" s="885" cm="1">
        <f t="array" ref="AI29">SUMPRODUCT(Calculation!DZ$11:DZ$189*(Calculation!$BZ$11:$BZ$189=$B29)*IF($B$5=0,1,0))</f>
        <v>0</v>
      </c>
      <c r="AJ29" s="885" cm="1">
        <f t="array" ref="AJ29">SUMPRODUCT(Calculation!EA$11:EA$189*(Calculation!$BZ$11:$BZ$189=$B29)*IF($B$5=0,1,0))</f>
        <v>0</v>
      </c>
      <c r="AK29" s="901">
        <f>IF(SUM(ClusterSupplyChain[[Auss.7]:[Sonstige11]])=0,0,SUM($Y29:$AD29,$AF29:$AJ29))</f>
        <v>0</v>
      </c>
      <c r="AL29" s="295">
        <f>IF($B$5=0,$AK29,$Y29)</f>
        <v>0</v>
      </c>
    </row>
    <row r="30" spans="2:38">
      <c r="B30" s="967" t="s">
        <v>2643</v>
      </c>
      <c r="C30" s="885" cm="1">
        <f t="array" ref="C30">SUMPRODUCT(Calculation!CV$11:CV$189*(Calculation!$BZ$11:$BZ$189=$B30)*IF($B$5=0,1,Calculation!$CA$11:$CA$189=$B$5))</f>
        <v>0</v>
      </c>
      <c r="D30" s="885" cm="1">
        <f t="array" ref="D30">SUMPRODUCT(Calculation!CW$11:CW$189*(Calculation!$BZ$11:$BZ$189=$B30)*IF($B$5=0,1,Calculation!$CA$11:$CA$189=$B$5))</f>
        <v>0</v>
      </c>
      <c r="E30" s="885" cm="1">
        <f t="array" ref="E30">SUMPRODUCT(Calculation!CX$11:CX$189*(Calculation!$BZ$11:$BZ$189=$B30)*IF($B$5=0,1,Calculation!$CA$11:$CA$189=$B$5))</f>
        <v>0</v>
      </c>
      <c r="F30" s="885" cm="1">
        <f t="array" ref="F30">SUMPRODUCT(Calculation!CY$11:CY$189*(Calculation!$BZ$11:$BZ$189=$B30)*IF($B$5=0,1,Calculation!$CA$11:$CA$189=$B$5))</f>
        <v>0</v>
      </c>
      <c r="G30" s="885" cm="1">
        <f t="array" ref="G30">SUMPRODUCT(Calculation!CZ$11:CZ$189*(Calculation!$BZ$11:$BZ$189=$B30)*IF($B$5=0,1,Calculation!$CA$11:$CA$189=$B$5))</f>
        <v>0</v>
      </c>
      <c r="H30" s="885" cm="1">
        <f t="array" ref="H30">SUMPRODUCT(Calculation!DA$11:DA$189*(Calculation!$BZ$11:$BZ$189=$B30)*IF($B$5=0,1,Calculation!$CA$11:$CA$189=$B$5))</f>
        <v>0</v>
      </c>
      <c r="I30" s="885" cm="1">
        <f t="array" ref="I30">SUMPRODUCT(Calculation!DB$11:DB$189*(Calculation!$BZ$11:$BZ$189=$B30)*IF($B$5=0,1,Calculation!$CA$11:$CA$189=$B$5))</f>
        <v>0</v>
      </c>
      <c r="J30" s="898">
        <f>SUM($C30:$I30)</f>
        <v>0</v>
      </c>
      <c r="K30" s="899" cm="1">
        <f t="array" ref="K30">SUMPRODUCT(Calculation!DD$11:DD$189*(Calculation!$BZ$11:$BZ$189=$B30)*IF($B$5=0,1,Calculation!$CA$11:$CA$189=$B$5))</f>
        <v>0</v>
      </c>
      <c r="L30" s="899" cm="1">
        <f t="array" ref="L30">SUMPRODUCT(Calculation!DP$11:DP$189*(Calculation!$BZ$11:$BZ$189=$B30)*IF($B$5=0,0,Calculation!$CB$11:$CB$189=$B$5))
+SUMPRODUCT(Calculation!DP$11:DU$189*(Calculation!$BZ$11:$BZ$189=$B30)*IF($B$5=0,0,Calculation!$CC$11:$CC$189=$B$5))</f>
        <v>0</v>
      </c>
      <c r="M30" s="885">
        <f>SUM($K30:$L30)</f>
        <v>0</v>
      </c>
      <c r="N30" s="885" cm="1">
        <f t="array" ref="N30">SUMPRODUCT(Calculation!DE$11:DE$189*(Calculation!$BZ$11:$BZ$189=$B30)*IF($B$5=0,1,Calculation!$CA$11:$CA$189=$B$5))
+SUMPRODUCT(Calculation!DQ$11:DQ$189*(Calculation!$BZ$11:$BZ$189=$B30)*IF($B$5=0,0,Calculation!$CB$11:$CB$189=$B$5))
+SUMPRODUCT(Calculation!DW$11:DW$189*(Calculation!$BZ$11:$BZ$189=$B30)*IF($B$5=0,0,Calculation!$CC$11:$CC$189=$B$5))</f>
        <v>0</v>
      </c>
      <c r="O30" s="885" cm="1">
        <f t="array" ref="O30">SUMPRODUCT(Calculation!DF$11:DF$189*(Calculation!$BZ$11:$BZ$189=$B30)*IF($B$5=0,1,Calculation!$CA$11:$CA$189=$B$5))
+SUMPRODUCT(Calculation!DR$11:DR$189*(Calculation!$BZ$11:$BZ$189=$B30)*IF($B$5=0,0,Calculation!$CB$11:$CB$189=$B$5))
+SUMPRODUCT(Calculation!DX$11:DX$189*(Calculation!$BZ$11:$BZ$189=$B30)*IF($B$5=0,0,Calculation!$CC$11:$CC$189=$B$5))</f>
        <v>0</v>
      </c>
      <c r="P30" s="898">
        <f>SUM($M30:$O30)</f>
        <v>0</v>
      </c>
      <c r="Q30" s="900">
        <f>$J30+$P30</f>
        <v>0</v>
      </c>
      <c r="R30" s="885" cm="1">
        <f t="array" ref="R30">SUMPRODUCT(Calculation!DI$11:DI$189*(Calculation!$BZ$11:$BZ$189=$B30)*IF($B$5=0,1,Calculation!$CA$11:$CA$189=$B$5))</f>
        <v>0</v>
      </c>
      <c r="S30" s="885" cm="1">
        <f t="array" ref="S30">SUMPRODUCT(Calculation!DJ$11:DJ$189*(Calculation!$BZ$11:$BZ$189=$B30)*IF($B$5=0,1,Calculation!$CA$11:$CA$189=$B$5))
+(SUMPRODUCT(Calculation!DS$11:DS$189*(Calculation!$BZ$11:$BZ$189=$B30)*IF($B$5=0,0,Calculation!$CB$11:$CB$189=$B$5))
+SUMPRODUCT(Calculation!DY$11:DY$189*(Calculation!$BZ$11:$BZ$189=$B30)*IF($B$5=0,0,Calculation!$CC$11:$CC$189=$B$5)))*IF(INDEX(Settings[],MATCH(3001,Settings[ID],0),2)="B",1,0)</f>
        <v>0</v>
      </c>
      <c r="T30" s="885" cm="1">
        <f t="array" ref="T30">SUMPRODUCT(Calculation!DK$11:DK$189*(Calculation!$BZ$11:$BZ$189=$B30)*IF($B$5=0,1,Calculation!$CA$11:$CA$189=$B$5))
+(SUMPRODUCT(Calculation!DS$11:DS$189*(Calculation!$BZ$11:$BZ$189=$B30)*IF($B$5=0,0,Calculation!$CB$11:$CB$189=$B$5))
+SUMPRODUCT(Calculation!DY$11:DY$189*(Calculation!$BZ$11:$BZ$189=$B30)*IF($B$5=0,0,Calculation!$CC$11:$CC$189=$B$5)))*IF(INDEX(Settings[],MATCH(3001,Settings[ID],0),2)="B",0,1)</f>
        <v>0</v>
      </c>
      <c r="U30" s="885" cm="1">
        <f t="array" ref="U30">SUMPRODUCT(Calculation!DL$11:DL$189*(Calculation!$BZ$11:$BZ$189=$B30)*IF($B$5=0,1,Calculation!$CA$11:$CA$189=$B$5))</f>
        <v>0</v>
      </c>
      <c r="V30" s="885" cm="1">
        <f t="array" ref="V30">SUMPRODUCT(Calculation!DM$11:DM$189*(Calculation!$BZ$11:$BZ$189=$B30)*IF($B$5=0,1,Calculation!$CA$11:$CA$189=$B$5))
+(SUMPRODUCT(Calculation!DT$11:DT$189*(Calculation!$BZ$11:$BZ$189=$B30)*IF($B$5=0,0,Calculation!$CB$11:$CB$189=$B$5))
+SUMPRODUCT(Calculation!DZ$11:DZ$189*(Calculation!$BZ$11:$BZ$189=$B30)*IF($B$5=0,0,Calculation!$CC$11:$CC$189=$B$5)))*IF(INDEX(Settings[],MATCH(3002,Settings[ID],0),2)="B",1,0)</f>
        <v>0</v>
      </c>
      <c r="W30" s="885" cm="1">
        <f t="array" ref="W30">SUMPRODUCT(Calculation!DN$11:DN$189*(Calculation!$BZ$11:$BZ$189=$B30)*IF($B$5=0,1,Calculation!$CA$11:$CA$189=$B$5))
+(SUMPRODUCT(Calculation!DT$11:DT$189*(Calculation!$BZ$11:$BZ$189=$B30)*IF($B$5=0,0,Calculation!$CB$11:$CB$189=$B$5))
+SUMPRODUCT(Calculation!DZ$11:DZ$189*(Calculation!$BZ$11:$BZ$189=$B30)*IF($B$5=0,0,Calculation!$CC$11:$CC$189=$B$5)))*IF(INDEX(Settings[],MATCH(3002,Settings[ID],0),2)="B",0,1)</f>
        <v>0</v>
      </c>
      <c r="X30" s="885" cm="1">
        <f t="array" ref="X30">SUMPRODUCT(Calculation!DO$11:DO$189*(Calculation!$BZ$11:$BZ$189=$B30)*IF($B$5=0,1,Calculation!$CA$11:$CA$189=$B$5))
+SUMPRODUCT(Calculation!DU$11:DU$189*(Calculation!$BZ$11:$BZ$189=$B30)*IF($B$5=0,0,Calculation!$CB$11:$CB$189=$B$5))
+SUMPRODUCT(Calculation!EA$11:EA$189*(Calculation!$BZ$11:$BZ$189=$B30)*IF($B$5=0,0,Calculation!$CC$11:$CC$189=$B$5))</f>
        <v>0</v>
      </c>
      <c r="Y30" s="901">
        <f>SUM($Q30:$X30)</f>
        <v>0</v>
      </c>
      <c r="Z30" s="885" cm="1">
        <f t="array" ref="Z30">SUMPRODUCT(Calculation!DQ$11:DQ$189*(Calculation!$BZ$11:$BZ$189=$B30)*IF($B$5=0,1,0))</f>
        <v>0</v>
      </c>
      <c r="AA30" s="885" cm="1">
        <f t="array" ref="AA30">SUMPRODUCT(Calculation!DR$11:DR$189*(Calculation!$BZ$11:$BZ$189=$B30)*IF($B$5=0,1,0))</f>
        <v>0</v>
      </c>
      <c r="AB30" s="885" cm="1">
        <f t="array" ref="AB30">SUMPRODUCT(Calculation!DS$11:DS$189*(Calculation!$BZ$11:$BZ$189=$B30)*IF($B$5=0,1,0))</f>
        <v>0</v>
      </c>
      <c r="AC30" s="885" cm="1">
        <f t="array" ref="AC30">SUMPRODUCT(Calculation!DT$11:DT$189*(Calculation!$BZ$11:$BZ$189=$B30)*IF($B$5=0,1,0))</f>
        <v>0</v>
      </c>
      <c r="AD30" s="885" cm="1">
        <f t="array" ref="AD30">SUMPRODUCT(Calculation!DU$11:DU$189*(Calculation!$BZ$11:$BZ$189=$B30)*IF($B$5=0,1,0))</f>
        <v>0</v>
      </c>
      <c r="AE30" s="901">
        <f>IF(SUM($Z30:$AD30)=0,0,SUM($Y30:$AD30))</f>
        <v>0</v>
      </c>
      <c r="AF30" s="885" cm="1">
        <f t="array" ref="AF30">SUMPRODUCT(Calculation!DW$11:DW$189*(Calculation!$BZ$11:$BZ$189=$B30)*IF($B$5=0,1,0))</f>
        <v>0</v>
      </c>
      <c r="AG30" s="885" cm="1">
        <f t="array" ref="AG30">SUMPRODUCT(Calculation!DX$11:DX$189*(Calculation!$BZ$11:$BZ$189=$B30)*IF($B$5=0,1,0))</f>
        <v>0</v>
      </c>
      <c r="AH30" s="885" cm="1">
        <f t="array" ref="AH30">SUMPRODUCT(Calculation!DY$11:DY$189*(Calculation!$BZ$11:$BZ$189=$B30)*IF($B$5=0,1,0))</f>
        <v>0</v>
      </c>
      <c r="AI30" s="885" cm="1">
        <f t="array" ref="AI30">SUMPRODUCT(Calculation!DZ$11:DZ$189*(Calculation!$BZ$11:$BZ$189=$B30)*IF($B$5=0,1,0))</f>
        <v>0</v>
      </c>
      <c r="AJ30" s="885" cm="1">
        <f t="array" ref="AJ30">SUMPRODUCT(Calculation!EA$11:EA$189*(Calculation!$BZ$11:$BZ$189=$B30)*IF($B$5=0,1,0))</f>
        <v>0</v>
      </c>
      <c r="AK30" s="901">
        <f>IF(SUM(ClusterSupplyChain[[Auss.7]:[Sonstige11]])=0,0,SUM($Y30:$AD30,$AF30:$AJ30))</f>
        <v>0</v>
      </c>
      <c r="AL30" s="295">
        <f>IF($B$5=0,$AK30,$Y30)</f>
        <v>0</v>
      </c>
    </row>
    <row r="32" spans="2:38">
      <c r="D32" s="326"/>
      <c r="F32" s="326"/>
      <c r="H32" s="326"/>
      <c r="J32" s="326"/>
      <c r="L32" s="326"/>
      <c r="N32" s="326"/>
      <c r="P32" s="326"/>
      <c r="R32" s="326"/>
      <c r="S32" s="312"/>
      <c r="T32" s="326"/>
      <c r="U32" s="312"/>
      <c r="V32" s="326"/>
      <c r="W32" s="312"/>
      <c r="X32" s="326"/>
      <c r="Y32" s="312"/>
      <c r="Z32" s="326"/>
      <c r="AA32" s="312"/>
      <c r="AB32" s="326"/>
      <c r="AC32" s="312"/>
      <c r="AD32" s="326"/>
      <c r="AE32" s="312"/>
      <c r="AF32" s="326"/>
      <c r="AG32" s="312"/>
      <c r="AH32" s="326"/>
      <c r="AI32" s="312"/>
      <c r="AJ32" s="326"/>
      <c r="AK32" s="312"/>
    </row>
  </sheetData>
  <mergeCells count="4">
    <mergeCell ref="C4:Y4"/>
    <mergeCell ref="Z4:AE4"/>
    <mergeCell ref="AF4:AK4"/>
    <mergeCell ref="B2:AK2"/>
  </mergeCells>
  <phoneticPr fontId="43" type="noConversion"/>
  <conditionalFormatting sqref="AL8:AL10">
    <cfRule type="dataBar" priority="1677">
      <dataBar showValue="0">
        <cfvo type="min"/>
        <cfvo type="max"/>
        <color theme="8"/>
      </dataBar>
      <extLst>
        <ext xmlns:x14="http://schemas.microsoft.com/office/spreadsheetml/2009/9/main" uri="{B025F937-C7B1-47D3-B67F-A62EFF666E3E}">
          <x14:id>{155F255E-BE83-47CF-A38B-7AF3EDB48214}</x14:id>
        </ext>
      </extLst>
    </cfRule>
  </conditionalFormatting>
  <conditionalFormatting sqref="Z5:AK5 Z4 AF4">
    <cfRule type="expression" dxfId="1283" priority="6">
      <formula>$B$5&gt;0</formula>
    </cfRule>
  </conditionalFormatting>
  <conditionalFormatting sqref="AL13:AL17">
    <cfRule type="dataBar" priority="4">
      <dataBar showValue="0">
        <cfvo type="min"/>
        <cfvo type="max"/>
        <color theme="8"/>
      </dataBar>
      <extLst>
        <ext xmlns:x14="http://schemas.microsoft.com/office/spreadsheetml/2009/9/main" uri="{B025F937-C7B1-47D3-B67F-A62EFF666E3E}">
          <x14:id>{A3CBD2A7-9CCF-4CA7-982D-4F2A164D05B3}</x14:id>
        </ext>
      </extLst>
    </cfRule>
  </conditionalFormatting>
  <conditionalFormatting sqref="AL20:AL22">
    <cfRule type="dataBar" priority="3">
      <dataBar showValue="0">
        <cfvo type="min"/>
        <cfvo type="max"/>
        <color theme="8"/>
      </dataBar>
      <extLst>
        <ext xmlns:x14="http://schemas.microsoft.com/office/spreadsheetml/2009/9/main" uri="{B025F937-C7B1-47D3-B67F-A62EFF666E3E}">
          <x14:id>{8336F426-AE90-47DA-9D47-D5C2F08D0AF0}</x14:id>
        </ext>
      </extLst>
    </cfRule>
  </conditionalFormatting>
  <conditionalFormatting sqref="AL28:AL30">
    <cfRule type="dataBar" priority="2">
      <dataBar showValue="0">
        <cfvo type="min"/>
        <cfvo type="max"/>
        <color theme="8"/>
      </dataBar>
      <extLst>
        <ext xmlns:x14="http://schemas.microsoft.com/office/spreadsheetml/2009/9/main" uri="{B025F937-C7B1-47D3-B67F-A62EFF666E3E}">
          <x14:id>{AFAAA8DA-EC3A-46C2-8FA3-0EBA47DE6C2A}</x14:id>
        </ext>
      </extLst>
    </cfRule>
  </conditionalFormatting>
  <conditionalFormatting sqref="AL27">
    <cfRule type="dataBar" priority="1">
      <dataBar showValue="0">
        <cfvo type="min"/>
        <cfvo type="max"/>
        <color theme="8"/>
      </dataBar>
      <extLst>
        <ext xmlns:x14="http://schemas.microsoft.com/office/spreadsheetml/2009/9/main" uri="{B025F937-C7B1-47D3-B67F-A62EFF666E3E}">
          <x14:id>{6E8BC6E4-7934-4732-A287-617D8BFCF6AD}</x14:id>
        </ext>
      </extLst>
    </cfRule>
  </conditionalFormatting>
  <dataValidations count="1">
    <dataValidation type="list" allowBlank="1" showInputMessage="1" showErrorMessage="1" sqref="B5" xr:uid="{326690F3-2651-40AE-AA69-2684516FF3AB}">
      <formula1>Premises_Dropdown</formula1>
    </dataValidation>
  </dataValidations>
  <pageMargins left="0.7" right="0.7" top="0.78740157499999996" bottom="0.78740157499999996" header="0.3" footer="0.3"/>
  <pageSetup paperSize="9" orientation="landscape" r:id="rId1"/>
  <tableParts count="4">
    <tablePart r:id="rId2"/>
    <tablePart r:id="rId3"/>
    <tablePart r:id="rId4"/>
    <tablePart r:id="rId5"/>
  </tableParts>
  <extLst>
    <ext xmlns:x14="http://schemas.microsoft.com/office/spreadsheetml/2009/9/main" uri="{78C0D931-6437-407d-A8EE-F0AAD7539E65}">
      <x14:conditionalFormattings>
        <x14:conditionalFormatting xmlns:xm="http://schemas.microsoft.com/office/excel/2006/main">
          <x14:cfRule type="dataBar" id="{155F255E-BE83-47CF-A38B-7AF3EDB48214}">
            <x14:dataBar minLength="0" maxLength="100" gradient="0">
              <x14:cfvo type="autoMin"/>
              <x14:cfvo type="autoMax"/>
              <x14:negativeFillColor rgb="FFFF0000"/>
              <x14:axisColor rgb="FF000000"/>
            </x14:dataBar>
          </x14:cfRule>
          <xm:sqref>AL8:AL10</xm:sqref>
        </x14:conditionalFormatting>
        <x14:conditionalFormatting xmlns:xm="http://schemas.microsoft.com/office/excel/2006/main">
          <x14:cfRule type="dataBar" id="{A3CBD2A7-9CCF-4CA7-982D-4F2A164D05B3}">
            <x14:dataBar minLength="0" maxLength="100" gradient="0">
              <x14:cfvo type="autoMin"/>
              <x14:cfvo type="autoMax"/>
              <x14:negativeFillColor rgb="FFFF0000"/>
              <x14:axisColor rgb="FF000000"/>
            </x14:dataBar>
          </x14:cfRule>
          <xm:sqref>AL13:AL17</xm:sqref>
        </x14:conditionalFormatting>
        <x14:conditionalFormatting xmlns:xm="http://schemas.microsoft.com/office/excel/2006/main">
          <x14:cfRule type="dataBar" id="{8336F426-AE90-47DA-9D47-D5C2F08D0AF0}">
            <x14:dataBar minLength="0" maxLength="100" gradient="0">
              <x14:cfvo type="autoMin"/>
              <x14:cfvo type="autoMax"/>
              <x14:negativeFillColor rgb="FFFF0000"/>
              <x14:axisColor rgb="FF000000"/>
            </x14:dataBar>
          </x14:cfRule>
          <xm:sqref>AL20:AL22</xm:sqref>
        </x14:conditionalFormatting>
        <x14:conditionalFormatting xmlns:xm="http://schemas.microsoft.com/office/excel/2006/main">
          <x14:cfRule type="dataBar" id="{AFAAA8DA-EC3A-46C2-8FA3-0EBA47DE6C2A}">
            <x14:dataBar minLength="0" maxLength="100" gradient="0">
              <x14:cfvo type="autoMin"/>
              <x14:cfvo type="autoMax"/>
              <x14:negativeFillColor rgb="FFFF0000"/>
              <x14:axisColor rgb="FF000000"/>
            </x14:dataBar>
          </x14:cfRule>
          <xm:sqref>AL28:AL30</xm:sqref>
        </x14:conditionalFormatting>
        <x14:conditionalFormatting xmlns:xm="http://schemas.microsoft.com/office/excel/2006/main">
          <x14:cfRule type="dataBar" id="{6E8BC6E4-7934-4732-A287-617D8BFCF6AD}">
            <x14:dataBar minLength="0" maxLength="100" gradient="0">
              <x14:cfvo type="autoMin"/>
              <x14:cfvo type="autoMax"/>
              <x14:negativeFillColor rgb="FFFF0000"/>
              <x14:axisColor rgb="FF000000"/>
            </x14:dataBar>
          </x14:cfRule>
          <xm:sqref>AL27</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MHR">
    <outlinePr summaryBelow="0" summaryRight="0"/>
  </sheetPr>
  <dimension ref="B1:AY16"/>
  <sheetViews>
    <sheetView showGridLines="0" showZeros="0" zoomScaleNormal="100" workbookViewId="0">
      <pane xSplit="3" ySplit="6" topLeftCell="J7" activePane="bottomRight" state="frozen"/>
      <selection activeCell="D355" sqref="D355"/>
      <selection pane="topRight" activeCell="D355" sqref="D355"/>
      <selection pane="bottomLeft" activeCell="D355" sqref="D355"/>
      <selection pane="bottomRight" activeCell="J22" sqref="J22"/>
    </sheetView>
  </sheetViews>
  <sheetFormatPr baseColWidth="10" defaultColWidth="8.7109375" defaultRowHeight="12.75" outlineLevelCol="1"/>
  <cols>
    <col min="1" max="1" width="1.7109375" style="5" customWidth="1"/>
    <col min="2" max="2" width="64.7109375" style="5" customWidth="1"/>
    <col min="3" max="3" width="9.7109375" style="5" customWidth="1"/>
    <col min="4" max="4" width="6.7109375" style="175" customWidth="1"/>
    <col min="5" max="5" width="6.7109375" style="5" customWidth="1"/>
    <col min="6" max="6" width="3.7109375" style="4" customWidth="1"/>
    <col min="7" max="7" width="6.7109375" style="4" customWidth="1"/>
    <col min="8" max="8" width="3.7109375" style="4" customWidth="1"/>
    <col min="9" max="9" width="6.7109375" style="175" customWidth="1"/>
    <col min="10" max="11" width="6.7109375" style="176" customWidth="1"/>
    <col min="12" max="13" width="6.7109375" style="4" customWidth="1"/>
    <col min="14" max="14" width="6.7109375" style="5" customWidth="1"/>
    <col min="15" max="15" width="6.7109375" style="175" customWidth="1"/>
    <col min="16" max="16" width="9.7109375" style="175" customWidth="1"/>
    <col min="17" max="17" width="6.7109375" style="175" customWidth="1"/>
    <col min="18" max="18" width="6.5703125" style="175" customWidth="1"/>
    <col min="19" max="20" width="1.7109375" style="175" customWidth="1"/>
    <col min="21" max="21" width="9.7109375" style="175" customWidth="1"/>
    <col min="22" max="23" width="6.7109375" style="177" customWidth="1" outlineLevel="1"/>
    <col min="24" max="24" width="6.7109375" style="175" customWidth="1" outlineLevel="1" collapsed="1"/>
    <col min="25" max="32" width="6.7109375" style="175" customWidth="1" outlineLevel="1"/>
    <col min="33" max="34" width="6.7109375" style="178" customWidth="1" outlineLevel="1"/>
    <col min="35" max="35" width="6.7109375" style="175" customWidth="1" outlineLevel="1"/>
    <col min="36" max="36" width="9.7109375" style="175" customWidth="1" outlineLevel="1"/>
    <col min="37" max="37" width="2.7109375" style="175" customWidth="1" outlineLevel="1"/>
    <col min="38" max="38" width="2.7109375" style="175" hidden="1" customWidth="1"/>
    <col min="39" max="39" width="6.7109375" style="175" customWidth="1" collapsed="1"/>
    <col min="40" max="40" width="6.7109375" style="5" hidden="1" customWidth="1" outlineLevel="1"/>
    <col min="41" max="44" width="6.7109375" style="175" hidden="1" customWidth="1" outlineLevel="1"/>
    <col min="45" max="45" width="6.7109375" style="175" hidden="1" customWidth="1" outlineLevel="1" collapsed="1"/>
    <col min="46" max="48" width="6.7109375" style="5" hidden="1" customWidth="1" outlineLevel="1"/>
    <col min="49" max="49" width="6.7109375" style="179" hidden="1" customWidth="1" outlineLevel="1"/>
    <col min="50" max="50" width="6.7109375" style="179" customWidth="1"/>
    <col min="51" max="51" width="2.7109375" style="5" customWidth="1"/>
    <col min="52" max="52" width="0.140625" style="5" customWidth="1"/>
    <col min="53" max="16384" width="8.7109375" style="5"/>
  </cols>
  <sheetData>
    <row r="1" spans="2:51" ht="5.0999999999999996" customHeight="1"/>
    <row r="2" spans="2:51" ht="25.5" customHeight="1">
      <c r="B2" s="1411" t="s">
        <v>588</v>
      </c>
      <c r="C2" s="1412"/>
      <c r="D2" s="1412"/>
      <c r="E2" s="1412"/>
      <c r="F2" s="1412"/>
      <c r="G2" s="1412"/>
      <c r="H2" s="1412"/>
      <c r="I2" s="1412"/>
      <c r="J2" s="1412"/>
      <c r="K2" s="1412"/>
      <c r="L2" s="1412"/>
      <c r="M2" s="1412"/>
      <c r="N2" s="1412"/>
      <c r="O2" s="1412"/>
      <c r="P2" s="1412"/>
      <c r="Q2" s="1412"/>
      <c r="R2" s="1412"/>
      <c r="S2" s="1412"/>
      <c r="T2" s="1412"/>
      <c r="U2" s="1412"/>
      <c r="V2" s="1412"/>
      <c r="W2" s="1412"/>
      <c r="X2" s="1412"/>
      <c r="Y2" s="1412"/>
      <c r="Z2" s="1412"/>
      <c r="AA2" s="1412"/>
      <c r="AB2" s="1412"/>
      <c r="AC2" s="1412"/>
      <c r="AD2" s="1412"/>
      <c r="AE2" s="1412"/>
      <c r="AF2" s="1412"/>
      <c r="AG2" s="1412"/>
      <c r="AH2" s="1412"/>
      <c r="AI2" s="1412"/>
      <c r="AJ2" s="1412"/>
      <c r="AK2" s="1412"/>
      <c r="AL2" s="1412"/>
      <c r="AM2" s="1412"/>
      <c r="AN2" s="1412"/>
      <c r="AO2" s="1412"/>
      <c r="AP2" s="1412"/>
      <c r="AQ2" s="1412"/>
      <c r="AR2" s="1412"/>
      <c r="AS2" s="1412"/>
      <c r="AT2" s="1412"/>
      <c r="AU2" s="1412"/>
      <c r="AV2" s="1412"/>
      <c r="AW2" s="1412"/>
      <c r="AX2" s="1412"/>
      <c r="AY2" s="1412"/>
    </row>
    <row r="3" spans="2:51" s="180" customFormat="1" ht="4.5" customHeight="1">
      <c r="D3" s="181"/>
      <c r="I3" s="181"/>
      <c r="J3" s="182"/>
      <c r="K3" s="182"/>
      <c r="O3" s="181"/>
      <c r="P3" s="181"/>
      <c r="Q3" s="181"/>
      <c r="R3" s="177"/>
      <c r="S3" s="181"/>
      <c r="T3" s="181"/>
      <c r="U3" s="181"/>
      <c r="V3" s="181"/>
      <c r="W3" s="181"/>
      <c r="X3" s="181"/>
      <c r="Y3" s="181"/>
      <c r="Z3" s="181"/>
      <c r="AA3" s="181"/>
      <c r="AB3" s="181"/>
      <c r="AC3" s="181"/>
      <c r="AD3" s="181"/>
      <c r="AE3" s="181"/>
      <c r="AF3" s="181"/>
      <c r="AG3" s="183"/>
      <c r="AH3" s="183"/>
      <c r="AI3" s="184"/>
      <c r="AJ3" s="184"/>
      <c r="AK3" s="184"/>
      <c r="AL3" s="184"/>
      <c r="AM3" s="185">
        <f>(COLUMN()-COLUMN($AM$3))/12+1</f>
        <v>1</v>
      </c>
      <c r="AN3" s="4"/>
      <c r="AO3" s="987"/>
      <c r="AP3" s="987"/>
      <c r="AQ3" s="987"/>
      <c r="AR3" s="987"/>
      <c r="AS3" s="987"/>
      <c r="AT3" s="987"/>
      <c r="AU3" s="987"/>
      <c r="AV3" s="987"/>
      <c r="AW3" s="987"/>
      <c r="AX3" s="186">
        <f>2+2*AM3</f>
        <v>4</v>
      </c>
    </row>
    <row r="4" spans="2:51" s="13" customFormat="1">
      <c r="B4" s="1415" t="s">
        <v>441</v>
      </c>
      <c r="C4" s="1415"/>
      <c r="D4" s="1415"/>
      <c r="E4" s="1415"/>
      <c r="F4" s="1415"/>
      <c r="G4" s="1415"/>
      <c r="H4" s="1415"/>
      <c r="I4" s="1415"/>
      <c r="J4" s="1415"/>
      <c r="K4" s="1415"/>
      <c r="L4" s="1415"/>
      <c r="M4" s="1415"/>
      <c r="N4" s="1415"/>
      <c r="O4" s="1415"/>
      <c r="P4" s="1415"/>
      <c r="Q4" s="1415"/>
      <c r="R4" s="1415"/>
      <c r="S4" s="1415"/>
      <c r="T4" s="1415"/>
      <c r="U4" s="2"/>
      <c r="V4" s="2"/>
      <c r="W4" s="2"/>
      <c r="X4" s="2"/>
      <c r="Y4" s="2"/>
      <c r="Z4" s="2"/>
      <c r="AA4" s="2"/>
      <c r="AB4" s="2"/>
      <c r="AC4" s="2"/>
      <c r="AD4" s="2"/>
      <c r="AE4" s="2"/>
      <c r="AF4" s="2"/>
      <c r="AG4" s="2"/>
      <c r="AH4" s="2"/>
      <c r="AI4" s="2"/>
      <c r="AJ4" s="2"/>
      <c r="AK4" s="2"/>
      <c r="AL4" s="2"/>
      <c r="AM4" s="1414">
        <f>INDEX(Premises!$A$10:$F$10,1,2+2*AM$3)</f>
        <v>1</v>
      </c>
      <c r="AN4" s="1414"/>
      <c r="AO4" s="1414"/>
      <c r="AP4" s="1414"/>
      <c r="AQ4" s="1414"/>
      <c r="AR4" s="1414"/>
      <c r="AS4" s="1414"/>
      <c r="AT4" s="1414"/>
      <c r="AU4" s="1414"/>
      <c r="AV4" s="1414"/>
      <c r="AW4" s="1414"/>
      <c r="AX4" s="1414"/>
    </row>
    <row r="5" spans="2:51" s="2" customFormat="1" ht="90" customHeight="1">
      <c r="B5" s="698" t="s">
        <v>69</v>
      </c>
      <c r="C5" s="694" t="str">
        <f>"Invest 
["&amp;InputCurrency&amp;"]"</f>
        <v>Invest 
[EUR]</v>
      </c>
      <c r="D5" s="695" t="s">
        <v>562</v>
      </c>
      <c r="E5" s="695" t="s">
        <v>548</v>
      </c>
      <c r="F5" s="695" t="s">
        <v>2076</v>
      </c>
      <c r="G5" s="695" t="s">
        <v>591</v>
      </c>
      <c r="H5" s="695" t="s">
        <v>2077</v>
      </c>
      <c r="I5" s="695" t="s">
        <v>549</v>
      </c>
      <c r="J5" s="696" t="s">
        <v>1562</v>
      </c>
      <c r="K5" s="696" t="s">
        <v>550</v>
      </c>
      <c r="L5" s="695" t="s">
        <v>1381</v>
      </c>
      <c r="M5" s="695" t="s">
        <v>1382</v>
      </c>
      <c r="N5" s="695" t="s">
        <v>551</v>
      </c>
      <c r="O5" s="695" t="str">
        <f>"Auxiliary and test equip.
["&amp;InputCurrency&amp;"/Year]"</f>
        <v>Auxiliary and test equip.
[EUR/Year]</v>
      </c>
      <c r="P5" s="695" t="s">
        <v>1682</v>
      </c>
      <c r="Q5" s="695" t="str">
        <f>"General operating costs
["&amp;InputCurrency&amp;"/Year]"</f>
        <v>General operating costs
[EUR/Year]</v>
      </c>
      <c r="R5" s="695" t="s">
        <v>4022</v>
      </c>
      <c r="S5" s="695"/>
      <c r="T5" s="695"/>
      <c r="U5" s="694" t="str">
        <f>"Invest
["&amp;Currency&amp;"]"</f>
        <v>Invest
[EUR]</v>
      </c>
      <c r="V5" s="695" t="s">
        <v>2078</v>
      </c>
      <c r="W5" s="695" t="s">
        <v>1561</v>
      </c>
      <c r="X5" s="695" t="s">
        <v>1583</v>
      </c>
      <c r="Y5" s="695" t="s">
        <v>565</v>
      </c>
      <c r="Z5" s="695" t="s">
        <v>566</v>
      </c>
      <c r="AA5" s="695" t="s">
        <v>567</v>
      </c>
      <c r="AB5" s="695" t="s">
        <v>568</v>
      </c>
      <c r="AC5" s="695" t="s">
        <v>2444</v>
      </c>
      <c r="AD5" s="697" t="s">
        <v>113</v>
      </c>
      <c r="AE5" s="975" t="s">
        <v>2653</v>
      </c>
      <c r="AF5" s="702" t="s">
        <v>114</v>
      </c>
      <c r="AG5" s="702" t="s">
        <v>115</v>
      </c>
      <c r="AH5" s="702" t="s">
        <v>2316</v>
      </c>
      <c r="AI5" s="697" t="s">
        <v>79</v>
      </c>
      <c r="AJ5" s="698" t="s">
        <v>1223</v>
      </c>
      <c r="AK5" s="698" t="s">
        <v>918</v>
      </c>
      <c r="AL5" s="189" t="s">
        <v>916</v>
      </c>
      <c r="AM5" s="190" t="str">
        <f>"MHR 
["&amp;Currency&amp;"/h]"</f>
        <v>MHR 
[EUR/h]</v>
      </c>
      <c r="AN5" s="695" t="s">
        <v>569</v>
      </c>
      <c r="AO5" s="714" t="str">
        <f>"Rent 
["&amp;Currency&amp;"/m²]"</f>
        <v>Rent 
[EUR/m²]</v>
      </c>
      <c r="AP5" s="714" t="s">
        <v>570</v>
      </c>
      <c r="AQ5" s="695" t="s">
        <v>1583</v>
      </c>
      <c r="AR5" s="714" t="s">
        <v>571</v>
      </c>
      <c r="AS5" s="714" t="s">
        <v>552</v>
      </c>
      <c r="AT5" s="715" t="str">
        <f>"Electricity 
[" &amp; InputCurrency &amp; "/kWh]"</f>
        <v>Electricity 
[EUR/kWh]</v>
      </c>
      <c r="AU5" s="715" t="str">
        <f>"Natural gas 
[" &amp; InputCurrency &amp; "/kWh]"</f>
        <v>Natural gas 
[EUR/kWh]</v>
      </c>
      <c r="AV5" s="714" t="str">
        <f>"Fixed Costs
["&amp;Currency&amp;"/h]"</f>
        <v>Fixed Costs
[EUR/h]</v>
      </c>
      <c r="AW5" s="714" t="str">
        <f>"Variable costs 
["&amp;Currency&amp;"/h]"</f>
        <v>Variable costs 
[EUR/h]</v>
      </c>
      <c r="AX5" s="190" t="str">
        <f>"IMHR IMC
["&amp;Currency&amp;"/h]"</f>
        <v>IMHR IMC
[EUR/h]</v>
      </c>
      <c r="AY5" s="701" t="s">
        <v>38</v>
      </c>
    </row>
    <row r="6" spans="2:51" s="200" customFormat="1" ht="4.5" customHeight="1">
      <c r="B6" s="191" t="s">
        <v>2</v>
      </c>
      <c r="C6" s="192" t="s">
        <v>1166</v>
      </c>
      <c r="D6" s="193" t="s">
        <v>446</v>
      </c>
      <c r="E6" s="193" t="s">
        <v>21</v>
      </c>
      <c r="F6" s="193" t="s">
        <v>5</v>
      </c>
      <c r="G6" s="193" t="s">
        <v>580</v>
      </c>
      <c r="H6" s="193" t="s">
        <v>581</v>
      </c>
      <c r="I6" s="193" t="s">
        <v>447</v>
      </c>
      <c r="J6" s="194" t="s">
        <v>448</v>
      </c>
      <c r="K6" s="194" t="s">
        <v>449</v>
      </c>
      <c r="L6" s="193" t="s">
        <v>576</v>
      </c>
      <c r="M6" s="193" t="s">
        <v>577</v>
      </c>
      <c r="N6" s="193" t="s">
        <v>450</v>
      </c>
      <c r="O6" s="193" t="s">
        <v>451</v>
      </c>
      <c r="P6" s="193" t="s">
        <v>452</v>
      </c>
      <c r="Q6" s="193" t="s">
        <v>1685</v>
      </c>
      <c r="R6" s="1154" t="s">
        <v>36</v>
      </c>
      <c r="S6" s="193" t="s">
        <v>37</v>
      </c>
      <c r="T6" s="193" t="s">
        <v>435</v>
      </c>
      <c r="U6" s="192" t="s">
        <v>438</v>
      </c>
      <c r="V6" s="193" t="s">
        <v>453</v>
      </c>
      <c r="W6" s="193" t="s">
        <v>582</v>
      </c>
      <c r="X6" s="193" t="s">
        <v>1149</v>
      </c>
      <c r="Y6" s="193" t="s">
        <v>117</v>
      </c>
      <c r="Z6" s="193" t="s">
        <v>118</v>
      </c>
      <c r="AA6" s="193" t="s">
        <v>180</v>
      </c>
      <c r="AB6" s="193" t="s">
        <v>181</v>
      </c>
      <c r="AC6" s="193" t="s">
        <v>2439</v>
      </c>
      <c r="AD6" s="195" t="s">
        <v>1119</v>
      </c>
      <c r="AE6" s="195" t="s">
        <v>2594</v>
      </c>
      <c r="AF6" s="196" t="s">
        <v>1121</v>
      </c>
      <c r="AG6" s="196" t="s">
        <v>1120</v>
      </c>
      <c r="AH6" s="196" t="s">
        <v>2315</v>
      </c>
      <c r="AI6" s="195" t="s">
        <v>79</v>
      </c>
      <c r="AJ6" s="197" t="s">
        <v>917</v>
      </c>
      <c r="AK6" s="197" t="s">
        <v>918</v>
      </c>
      <c r="AL6" s="197" t="s">
        <v>916</v>
      </c>
      <c r="AM6" s="198" t="s">
        <v>39</v>
      </c>
      <c r="AN6" s="193" t="s">
        <v>539</v>
      </c>
      <c r="AO6" s="199" t="s">
        <v>1125</v>
      </c>
      <c r="AP6" s="199" t="s">
        <v>1118</v>
      </c>
      <c r="AQ6" s="199" t="s">
        <v>6</v>
      </c>
      <c r="AR6" s="199" t="s">
        <v>1122</v>
      </c>
      <c r="AS6" s="199" t="s">
        <v>1123</v>
      </c>
      <c r="AT6" s="198" t="s">
        <v>1124</v>
      </c>
      <c r="AU6" s="198" t="s">
        <v>1126</v>
      </c>
      <c r="AV6" s="199" t="s">
        <v>1127</v>
      </c>
      <c r="AW6" s="199" t="s">
        <v>1128</v>
      </c>
      <c r="AX6" s="198" t="s">
        <v>63</v>
      </c>
      <c r="AY6" s="200" t="s">
        <v>38</v>
      </c>
    </row>
    <row r="7" spans="2:51">
      <c r="B7" s="1324" t="s">
        <v>4314</v>
      </c>
      <c r="C7" s="201">
        <v>60604</v>
      </c>
      <c r="D7" s="202">
        <v>7</v>
      </c>
      <c r="E7" s="201">
        <v>21.5</v>
      </c>
      <c r="F7" s="203">
        <v>0.5</v>
      </c>
      <c r="G7" s="203"/>
      <c r="H7" s="203"/>
      <c r="I7" s="204">
        <v>25</v>
      </c>
      <c r="J7" s="205">
        <v>1.4E-3</v>
      </c>
      <c r="K7" s="205">
        <v>3.7999999999999999E-2</v>
      </c>
      <c r="L7" s="1325">
        <v>293</v>
      </c>
      <c r="M7" s="204">
        <v>384</v>
      </c>
      <c r="N7" s="204">
        <v>8</v>
      </c>
      <c r="O7" s="204">
        <v>554</v>
      </c>
      <c r="P7" s="206">
        <v>1.5</v>
      </c>
      <c r="Q7" s="204">
        <v>1460</v>
      </c>
      <c r="R7" s="1155">
        <v>0.40500000000000003</v>
      </c>
      <c r="S7" s="204"/>
      <c r="T7" s="204"/>
      <c r="U7" s="703">
        <f>MHR[[#This Row],[Invest (Input)]]*ExchangeRate</f>
        <v>60604</v>
      </c>
      <c r="V7" s="704">
        <f>MHR[[#This Row],[Strom]]*MHR[[#This Row],[Faktor
Strom]]</f>
        <v>10.75</v>
      </c>
      <c r="W7" s="704">
        <f>MHR[[#This Row],[Gas]]*MHR[[#This Row],[Faktor
Gas]]</f>
        <v>0</v>
      </c>
      <c r="X7" s="204"/>
      <c r="Y7" s="204"/>
      <c r="Z7" s="204"/>
      <c r="AA7" s="204"/>
      <c r="AB7" s="204"/>
      <c r="AC7" s="204"/>
      <c r="AD7" s="204"/>
      <c r="AE7" s="204"/>
      <c r="AF7" s="1326">
        <v>1</v>
      </c>
      <c r="AG7" s="1326" t="s">
        <v>4315</v>
      </c>
      <c r="AH7" s="1326" t="s">
        <v>4316</v>
      </c>
      <c r="AI7" s="1327" t="str">
        <f>IF(ISERROR(MATCH(MHR[[#This Row],[Bezeichnung]],MHR_Used,0)),0,"X")</f>
        <v>X</v>
      </c>
      <c r="AJ7" s="203" t="s">
        <v>4229</v>
      </c>
      <c r="AK7" s="1327" t="str">
        <f>IF(AND(MHR[[#This Row],[String]]&lt;&gt;"",_xlfn.CONCAT(MHR[[#This Row],[Bezeichnung]:[   ]])=MHR[[#This Row],[String]]),"X","C")</f>
        <v>X</v>
      </c>
      <c r="AL7" s="1328" t="s">
        <v>4317</v>
      </c>
      <c r="AM7" s="168">
        <f t="shared" ref="AM7:AM12" si="0">AV7+AW7</f>
        <v>3.3950164246031744</v>
      </c>
      <c r="AN7" s="1158" cm="1">
        <f t="array" ref="AN7">IF(OR(AND(MHR[[#This Row],[ProdSpez]]="X",MHR[[#This Row],[X/O]]="X"),AND(MHR[[#This Row],[SpezBeMi]]="X",MHR[[#This Row],[X/O]]="X")),AR7/(AP7*AQ7*8),INDEX(Premises!$A$15:$F$15,1,AX$3)/100)</f>
        <v>0.8</v>
      </c>
      <c r="AO7" s="705" cm="1">
        <f t="array" ref="AO7">INDEX(Premises!$A$23:$F$23,1,AX$3)</f>
        <v>3.03</v>
      </c>
      <c r="AP7" s="716" cm="1">
        <f t="array" ref="AP7">INDEX(Premises!$A$19:$F$19,1,AX$3)</f>
        <v>300</v>
      </c>
      <c r="AQ7" s="716" cm="1">
        <f t="array" ref="AQ7">IF(ISBLANK(MHR[[#This Row],[Schichtmodell]]),INDEX(Premises!$A$20:$F$20,1,AX$3),MHR[[#This Row],[Schichtmodell]])</f>
        <v>3</v>
      </c>
      <c r="AR7" s="716" cm="1">
        <f t="array" ref="AR7">IF(OR(AND(MHR[[#This Row],[ProdSpez]]="X",MHR[[#This Row],[X/O]]="X"),AND(MHR[[#This Row],[SpezBeMi]]="X",MHR[[#This Row],[X/O]]="X")),INDEX(Premises!$A$13:$F$13,1,AX$3)
*INDEX(Calculation!$F$11:$F$189,MATCH(MHR[[#This Row],[Bezeichnung]],MHR_Used,0))/IF(INDEX(Calculation!$G$11:$G$189,MATCH(MHR[[#This Row],[Bezeichnung]],MHR_Used,0))="s",3600,IF(INDEX(Calculation!$G$11:$G$189,MATCH(MHR[[#This Row],[Bezeichnung]],MHR_Used,0))="min",60,1))/INDEX(Calculation!$H$11:$H$189,MATCH(MHR[[#This Row],[Bezeichnung]],MHR_Used,0))/ROUNDUP(INDEX(Premises!$A$13:$F$13,1,AX$3)
*INDEX(Calculation!$F$11:$F$189,MATCH(MHR[[#This Row],[Bezeichnung]],MHR_Used,0))/IF(INDEX(Calculation!$G$11:$G$189,MATCH(MHR[[#This Row],[Bezeichnung]],MHR_Used,0))="s",3600,IF(INDEX(Calculation!$G$11:$G$189,MATCH(MHR[[#This Row],[Bezeichnung]],MHR_Used,0))="min",60,1))/INDEX(Calculation!$H$11:$H$189,MATCH(MHR[[#This Row],[Bezeichnung]],MHR_Used,0))/(AP7*AQ7*8),0),
AP7*8*AQ7*AN7)</f>
        <v>5760</v>
      </c>
      <c r="AS7" s="717" cm="1">
        <f t="array" ref="AS7">INDEX(Premises!$A$26:$F$26,1,AX$3)/100</f>
        <v>7.1599999999999997E-2</v>
      </c>
      <c r="AT7" s="699" cm="1">
        <f t="array" ref="AT7">IF(INDEX(Settings[],MATCH(3011,Settings[ID],0),2)=1,INDEX(Premises!$A$55:$F$55,1,AX$3),
INDEX(Premises!$A$24:$F$24,1,AX$3))</f>
        <v>0.08</v>
      </c>
      <c r="AU7" s="699" cm="1">
        <f t="array" ref="AU7">INDEX(Premises!$A$25:$F$25,1,AX$3)</f>
        <v>0.02</v>
      </c>
      <c r="AV7" s="705">
        <f>IFERROR(IF(MHR[[#This Row],[SpezBeMi]]="X",($I7*AO7*12)/AR7,(($U7/$D7)+($U7*0.5*AS7)+($I7*AO7*12))/AR7),0)</f>
        <v>2.0375585912698413</v>
      </c>
      <c r="AW7" s="705">
        <f t="shared" ref="AW7:AW12" si="1">IFERROR(($V7*AT7)
+($W7*AU7)
+((($J7*$U7)+($K7*$U7))*AR7/4800)/AR7,0)</f>
        <v>1.3574578333333331</v>
      </c>
      <c r="AX7" s="168" cm="1">
        <f t="array" ref="AX7">IFERROR((
(MHR[[#This Row],[Indirektes Personal H]]*INDEX(LOC[High-skilled],MATCH(INDEX(Premises!$A$18:$F$18,1,AX$3),LOC[Standort],0))+MHR[[#This Row],[Indirektes Personal U]]*INDEX(LOC[M3S],MATCH(INDEX(Premises!$A$18:$F$18,1,AX$3),LOC[Standort],0)))*IF(AQ7=3,1,IF(AQ7=2,0.75,IF(AQ7=1,0.5,0)))/AR7
+($N7*AO7*12)/AR7+($N7+$I7)*8*12*AT7/AR7
+ExchangeRate*$O7*(1+0.5*((1+AS7)^8-1))/AR7+($P7*AT7)
+ExchangeRate*$Q7*(AR7/4800)/AR7
),0)</f>
        <v>2.0869376592775613</v>
      </c>
    </row>
    <row r="8" spans="2:51">
      <c r="B8" s="1324" t="s">
        <v>4325</v>
      </c>
      <c r="C8" s="201">
        <v>107500</v>
      </c>
      <c r="D8" s="202">
        <v>7</v>
      </c>
      <c r="E8" s="201">
        <v>5</v>
      </c>
      <c r="F8" s="203">
        <v>0.5</v>
      </c>
      <c r="G8" s="203"/>
      <c r="H8" s="203"/>
      <c r="I8" s="204">
        <v>20</v>
      </c>
      <c r="J8" s="205">
        <v>0.02</v>
      </c>
      <c r="K8" s="205">
        <v>3.7999999999999999E-2</v>
      </c>
      <c r="L8" s="1325">
        <v>144</v>
      </c>
      <c r="M8" s="204">
        <v>538</v>
      </c>
      <c r="N8" s="204">
        <v>9</v>
      </c>
      <c r="O8" s="204">
        <v>145</v>
      </c>
      <c r="P8" s="206">
        <v>0.6</v>
      </c>
      <c r="Q8" s="204">
        <v>900</v>
      </c>
      <c r="R8" s="1155">
        <v>1.1400000000000001</v>
      </c>
      <c r="S8" s="204"/>
      <c r="T8" s="204"/>
      <c r="U8" s="703">
        <f>MHR[[#This Row],[Invest (Input)]]*ExchangeRate</f>
        <v>107500</v>
      </c>
      <c r="V8" s="704">
        <f>MHR[[#This Row],[Strom]]*MHR[[#This Row],[Faktor
Strom]]</f>
        <v>2.5</v>
      </c>
      <c r="W8" s="704">
        <f>MHR[[#This Row],[Gas]]*MHR[[#This Row],[Faktor
Gas]]</f>
        <v>0</v>
      </c>
      <c r="X8" s="204"/>
      <c r="Y8" s="204"/>
      <c r="Z8" s="204"/>
      <c r="AA8" s="204"/>
      <c r="AB8" s="204"/>
      <c r="AC8" s="204"/>
      <c r="AD8" s="204"/>
      <c r="AE8" s="204"/>
      <c r="AF8" s="1326">
        <v>628</v>
      </c>
      <c r="AG8" s="1326"/>
      <c r="AH8" s="1326"/>
      <c r="AI8" s="1327" t="str">
        <f>IF(ISERROR(MATCH(MHR[[#This Row],[Bezeichnung]],MHR_Used,0)),0,"X")</f>
        <v>X</v>
      </c>
      <c r="AJ8" s="203" t="s">
        <v>4229</v>
      </c>
      <c r="AK8" s="1327" t="str">
        <f>IF(AND(MHR[[#This Row],[String]]&lt;&gt;"",_xlfn.CONCAT(MHR[[#This Row],[Bezeichnung]:[   ]])=MHR[[#This Row],[String]]),"X","C")</f>
        <v>X</v>
      </c>
      <c r="AL8" s="1328" t="s">
        <v>4326</v>
      </c>
      <c r="AM8" s="168">
        <f t="shared" si="0"/>
        <v>4.9595213293650797</v>
      </c>
      <c r="AN8" s="1158" cm="1">
        <f t="array" ref="AN8">IF(OR(AND(MHR[[#This Row],[ProdSpez]]="X",MHR[[#This Row],[X/O]]="X"),AND(MHR[[#This Row],[SpezBeMi]]="X",MHR[[#This Row],[X/O]]="X")),AR8/(AP8*AQ8*8),INDEX(Premises!$A$15:$F$15,1,AX$3)/100)</f>
        <v>0.8</v>
      </c>
      <c r="AO8" s="705" cm="1">
        <f t="array" ref="AO8">INDEX(Premises!$A$23:$F$23,1,AX$3)</f>
        <v>3.03</v>
      </c>
      <c r="AP8" s="716" cm="1">
        <f t="array" ref="AP8">INDEX(Premises!$A$19:$F$19,1,AX$3)</f>
        <v>300</v>
      </c>
      <c r="AQ8" s="716" cm="1">
        <f t="array" ref="AQ8">IF(ISBLANK(MHR[[#This Row],[Schichtmodell]]),INDEX(Premises!$A$20:$F$20,1,AX$3),MHR[[#This Row],[Schichtmodell]])</f>
        <v>3</v>
      </c>
      <c r="AR8" s="716" cm="1">
        <f t="array" ref="AR8">IF(OR(AND(MHR[[#This Row],[ProdSpez]]="X",MHR[[#This Row],[X/O]]="X"),AND(MHR[[#This Row],[SpezBeMi]]="X",MHR[[#This Row],[X/O]]="X")),INDEX(Premises!$A$13:$F$13,1,AX$3)
*INDEX(Calculation!$F$11:$F$189,MATCH(MHR[[#This Row],[Bezeichnung]],MHR_Used,0))/IF(INDEX(Calculation!$G$11:$G$189,MATCH(MHR[[#This Row],[Bezeichnung]],MHR_Used,0))="s",3600,IF(INDEX(Calculation!$G$11:$G$189,MATCH(MHR[[#This Row],[Bezeichnung]],MHR_Used,0))="min",60,1))/INDEX(Calculation!$H$11:$H$189,MATCH(MHR[[#This Row],[Bezeichnung]],MHR_Used,0))/ROUNDUP(INDEX(Premises!$A$13:$F$13,1,AX$3)
*INDEX(Calculation!$F$11:$F$189,MATCH(MHR[[#This Row],[Bezeichnung]],MHR_Used,0))/IF(INDEX(Calculation!$G$11:$G$189,MATCH(MHR[[#This Row],[Bezeichnung]],MHR_Used,0))="s",3600,IF(INDEX(Calculation!$G$11:$G$189,MATCH(MHR[[#This Row],[Bezeichnung]],MHR_Used,0))="min",60,1))/INDEX(Calculation!$H$11:$H$189,MATCH(MHR[[#This Row],[Bezeichnung]],MHR_Used,0))/(AP8*AQ8*8),0),
AP8*8*AQ8*AN8)</f>
        <v>5760</v>
      </c>
      <c r="AS8" s="717" cm="1">
        <f t="array" ref="AS8">INDEX(Premises!$A$26:$F$26,1,AX$3)/100</f>
        <v>7.1599999999999997E-2</v>
      </c>
      <c r="AT8" s="699" cm="1">
        <f t="array" ref="AT8">IF(INDEX(Settings[],MATCH(3011,Settings[ID],0),2)=1,INDEX(Premises!$A$55:$F$55,1,AX$3),
INDEX(Premises!$A$24:$F$24,1,AX$3))</f>
        <v>0.08</v>
      </c>
      <c r="AU8" s="699" cm="1">
        <f t="array" ref="AU8">INDEX(Premises!$A$25:$F$25,1,AX$3)</f>
        <v>0.02</v>
      </c>
      <c r="AV8" s="705">
        <f>IFERROR(IF(MHR[[#This Row],[SpezBeMi]]="X",($I8*AO8*12)/AR8,(($U8/$D8)+($U8*0.5*AS8)+($I8*AO8*12))/AR8),0)</f>
        <v>3.4605629960317459</v>
      </c>
      <c r="AW8" s="705">
        <f t="shared" si="1"/>
        <v>1.4989583333333334</v>
      </c>
      <c r="AX8" s="168" cm="1">
        <f t="array" ref="AX8">IFERROR((
(MHR[[#This Row],[Indirektes Personal H]]*INDEX(LOC[High-skilled],MATCH(INDEX(Premises!$A$18:$F$18,1,AX$3),LOC[Standort],0))+MHR[[#This Row],[Indirektes Personal U]]*INDEX(LOC[M3S],MATCH(INDEX(Premises!$A$18:$F$18,1,AX$3),LOC[Standort],0)))*IF(AQ8=3,1,IF(AQ8=2,0.75,IF(AQ8=1,0.5,0)))/AR8
+($N8*AO8*12)/AR8+($N8+$I8)*8*12*AT8/AR8
+ExchangeRate*$O8*(1+0.5*((1+AS8)^8-1))/AR8+($P8*AT8)
+ExchangeRate*$Q8*(AR8/4800)/AR8
),0)</f>
        <v>1.6554212648630602</v>
      </c>
    </row>
    <row r="9" spans="2:51">
      <c r="B9" s="1324" t="s">
        <v>4328</v>
      </c>
      <c r="C9" s="201">
        <v>180000</v>
      </c>
      <c r="D9" s="202">
        <v>7</v>
      </c>
      <c r="E9" s="201">
        <v>25</v>
      </c>
      <c r="F9" s="203">
        <v>0.5</v>
      </c>
      <c r="G9" s="203"/>
      <c r="H9" s="203"/>
      <c r="I9" s="204">
        <v>5</v>
      </c>
      <c r="J9" s="205">
        <v>0.03</v>
      </c>
      <c r="K9" s="205">
        <v>0.03</v>
      </c>
      <c r="L9" s="1325">
        <v>480</v>
      </c>
      <c r="M9" s="204">
        <v>500</v>
      </c>
      <c r="N9" s="204">
        <v>4</v>
      </c>
      <c r="O9" s="204">
        <v>145</v>
      </c>
      <c r="P9" s="206">
        <v>0.2</v>
      </c>
      <c r="Q9" s="204">
        <v>1200</v>
      </c>
      <c r="R9" s="1155">
        <v>5.9000000000000004E-2</v>
      </c>
      <c r="S9" s="204"/>
      <c r="T9" s="204"/>
      <c r="U9" s="703">
        <f>MHR[[#This Row],[Invest (Input)]]*ExchangeRate</f>
        <v>180000</v>
      </c>
      <c r="V9" s="704">
        <f>MHR[[#This Row],[Strom]]*MHR[[#This Row],[Faktor
Strom]]</f>
        <v>12.5</v>
      </c>
      <c r="W9" s="704">
        <f>MHR[[#This Row],[Gas]]*MHR[[#This Row],[Faktor
Gas]]</f>
        <v>0</v>
      </c>
      <c r="X9" s="204"/>
      <c r="Y9" s="204"/>
      <c r="Z9" s="204"/>
      <c r="AA9" s="204"/>
      <c r="AB9" s="204"/>
      <c r="AC9" s="204"/>
      <c r="AD9" s="204"/>
      <c r="AE9" s="204"/>
      <c r="AF9" s="1326">
        <v>1117</v>
      </c>
      <c r="AG9" s="1326"/>
      <c r="AH9" s="1326"/>
      <c r="AI9" s="1327" t="str">
        <f>IF(ISERROR(MATCH(MHR[[#This Row],[Bezeichnung]],MHR_Used,0)),0,"X")</f>
        <v>X</v>
      </c>
      <c r="AJ9" s="203" t="s">
        <v>4327</v>
      </c>
      <c r="AK9" s="1327" t="str">
        <f>IF(AND(MHR[[#This Row],[String]]&lt;&gt;"",_xlfn.CONCAT(MHR[[#This Row],[Bezeichnung]:[   ]])=MHR[[#This Row],[String]]),"X","C")</f>
        <v>X</v>
      </c>
      <c r="AL9" s="1328" t="s">
        <v>4329</v>
      </c>
      <c r="AM9" s="168">
        <f t="shared" si="0"/>
        <v>8.8645982142857136</v>
      </c>
      <c r="AN9" s="1158" cm="1">
        <f t="array" ref="AN9">IF(OR(AND(MHR[[#This Row],[ProdSpez]]="X",MHR[[#This Row],[X/O]]="X"),AND(MHR[[#This Row],[SpezBeMi]]="X",MHR[[#This Row],[X/O]]="X")),AR9/(AP9*AQ9*8),INDEX(Premises!$A$15:$F$15,1,AX$3)/100)</f>
        <v>0.8</v>
      </c>
      <c r="AO9" s="705" cm="1">
        <f t="array" ref="AO9">INDEX(Premises!$A$23:$F$23,1,AX$3)</f>
        <v>3.03</v>
      </c>
      <c r="AP9" s="716" cm="1">
        <f t="array" ref="AP9">INDEX(Premises!$A$19:$F$19,1,AX$3)</f>
        <v>300</v>
      </c>
      <c r="AQ9" s="716" cm="1">
        <f t="array" ref="AQ9">IF(ISBLANK(MHR[[#This Row],[Schichtmodell]]),INDEX(Premises!$A$20:$F$20,1,AX$3),MHR[[#This Row],[Schichtmodell]])</f>
        <v>3</v>
      </c>
      <c r="AR9" s="716" cm="1">
        <f t="array" ref="AR9">IF(OR(AND(MHR[[#This Row],[ProdSpez]]="X",MHR[[#This Row],[X/O]]="X"),AND(MHR[[#This Row],[SpezBeMi]]="X",MHR[[#This Row],[X/O]]="X")),INDEX(Premises!$A$13:$F$13,1,AX$3)
*INDEX(Calculation!$F$11:$F$189,MATCH(MHR[[#This Row],[Bezeichnung]],MHR_Used,0))/IF(INDEX(Calculation!$G$11:$G$189,MATCH(MHR[[#This Row],[Bezeichnung]],MHR_Used,0))="s",3600,IF(INDEX(Calculation!$G$11:$G$189,MATCH(MHR[[#This Row],[Bezeichnung]],MHR_Used,0))="min",60,1))/INDEX(Calculation!$H$11:$H$189,MATCH(MHR[[#This Row],[Bezeichnung]],MHR_Used,0))/ROUNDUP(INDEX(Premises!$A$13:$F$13,1,AX$3)
*INDEX(Calculation!$F$11:$F$189,MATCH(MHR[[#This Row],[Bezeichnung]],MHR_Used,0))/IF(INDEX(Calculation!$G$11:$G$189,MATCH(MHR[[#This Row],[Bezeichnung]],MHR_Used,0))="s",3600,IF(INDEX(Calculation!$G$11:$G$189,MATCH(MHR[[#This Row],[Bezeichnung]],MHR_Used,0))="min",60,1))/INDEX(Calculation!$H$11:$H$189,MATCH(MHR[[#This Row],[Bezeichnung]],MHR_Used,0))/(AP9*AQ9*8),0),
AP9*8*AQ9*AN9)</f>
        <v>5760</v>
      </c>
      <c r="AS9" s="717" cm="1">
        <f t="array" ref="AS9">INDEX(Premises!$A$26:$F$26,1,AX$3)/100</f>
        <v>7.1599999999999997E-2</v>
      </c>
      <c r="AT9" s="699" cm="1">
        <f t="array" ref="AT9">IF(INDEX(Settings[],MATCH(3011,Settings[ID],0),2)=1,INDEX(Premises!$A$55:$F$55,1,AX$3),
INDEX(Premises!$A$24:$F$24,1,AX$3))</f>
        <v>0.08</v>
      </c>
      <c r="AU9" s="699" cm="1">
        <f t="array" ref="AU9">INDEX(Premises!$A$25:$F$25,1,AX$3)</f>
        <v>0.02</v>
      </c>
      <c r="AV9" s="705">
        <f>IFERROR(IF(MHR[[#This Row],[SpezBeMi]]="X",($I9*AO9*12)/AR9,(($U9/$D9)+($U9*0.5*AS9)+($I9*AO9*12))/AR9),0)</f>
        <v>5.6145982142857145</v>
      </c>
      <c r="AW9" s="705">
        <f t="shared" si="1"/>
        <v>3.25</v>
      </c>
      <c r="AX9" s="168" cm="1">
        <f t="array" ref="AX9">IFERROR((
(MHR[[#This Row],[Indirektes Personal H]]*INDEX(LOC[High-skilled],MATCH(INDEX(Premises!$A$18:$F$18,1,AX$3),LOC[Standort],0))+MHR[[#This Row],[Indirektes Personal U]]*INDEX(LOC[M3S],MATCH(INDEX(Premises!$A$18:$F$18,1,AX$3),LOC[Standort],0)))*IF(AQ9=3,1,IF(AQ9=2,0.75,IF(AQ9=1,0.5,0)))/AR9
+($N9*AO9*12)/AR9+($N9+$I9)*8*12*AT9/AR9
+ExchangeRate*$O9*(1+0.5*((1+AS9)^8-1))/AR9+($P9*AT9)
+ExchangeRate*$Q9*(AR9/4800)/AR9
),0)</f>
        <v>2.4753275148630598</v>
      </c>
    </row>
    <row r="10" spans="2:51">
      <c r="B10" s="1324" t="s">
        <v>4331</v>
      </c>
      <c r="C10" s="201">
        <v>1378900</v>
      </c>
      <c r="D10" s="202">
        <v>10</v>
      </c>
      <c r="E10" s="201">
        <v>69.099999999999994</v>
      </c>
      <c r="F10" s="203">
        <v>0.5</v>
      </c>
      <c r="G10" s="203"/>
      <c r="H10" s="203"/>
      <c r="I10" s="204">
        <v>133.67999999999998</v>
      </c>
      <c r="J10" s="205">
        <v>2.1899999999999999E-2</v>
      </c>
      <c r="K10" s="205">
        <v>3.7999999999999999E-2</v>
      </c>
      <c r="L10" s="1325">
        <v>1648</v>
      </c>
      <c r="M10" s="204">
        <v>2256</v>
      </c>
      <c r="N10" s="204">
        <v>37</v>
      </c>
      <c r="O10" s="204">
        <v>2121</v>
      </c>
      <c r="P10" s="206">
        <v>5.3</v>
      </c>
      <c r="Q10" s="204">
        <v>3720</v>
      </c>
      <c r="R10" s="1155">
        <v>0.48199999999999998</v>
      </c>
      <c r="S10" s="204"/>
      <c r="T10" s="204"/>
      <c r="U10" s="703">
        <f>MHR[[#This Row],[Invest (Input)]]*ExchangeRate</f>
        <v>1378900</v>
      </c>
      <c r="V10" s="704">
        <f>MHR[[#This Row],[Strom]]*MHR[[#This Row],[Faktor
Strom]]</f>
        <v>34.549999999999997</v>
      </c>
      <c r="W10" s="704">
        <f>MHR[[#This Row],[Gas]]*MHR[[#This Row],[Faktor
Gas]]</f>
        <v>0</v>
      </c>
      <c r="X10" s="204"/>
      <c r="Y10" s="204"/>
      <c r="Z10" s="204"/>
      <c r="AA10" s="204"/>
      <c r="AB10" s="204"/>
      <c r="AC10" s="204"/>
      <c r="AD10" s="204"/>
      <c r="AE10" s="204"/>
      <c r="AF10" s="1326">
        <v>924</v>
      </c>
      <c r="AG10" s="1326" t="s">
        <v>4332</v>
      </c>
      <c r="AH10" s="1326" t="s">
        <v>4069</v>
      </c>
      <c r="AI10" s="1327" t="str">
        <f>IF(ISERROR(MATCH(MHR[[#This Row],[Bezeichnung]],MHR_Used,0)),0,"X")</f>
        <v>X</v>
      </c>
      <c r="AJ10" s="203" t="s">
        <v>4327</v>
      </c>
      <c r="AK10" s="1327" t="str">
        <f>IF(AND(MHR[[#This Row],[String]]&lt;&gt;"",_xlfn.CONCAT(MHR[[#This Row],[Bezeichnung]:[   ]])=MHR[[#This Row],[String]]),"X","C")</f>
        <v>X</v>
      </c>
      <c r="AL10" s="1328" t="s">
        <v>4333</v>
      </c>
      <c r="AM10" s="168">
        <f t="shared" si="0"/>
        <v>53.32486055555556</v>
      </c>
      <c r="AN10" s="1158" cm="1">
        <f t="array" ref="AN10">IF(OR(AND(MHR[[#This Row],[ProdSpez]]="X",MHR[[#This Row],[X/O]]="X"),AND(MHR[[#This Row],[SpezBeMi]]="X",MHR[[#This Row],[X/O]]="X")),AR10/(AP10*AQ10*8),INDEX(Premises!$A$15:$F$15,1,AX$3)/100)</f>
        <v>0.8</v>
      </c>
      <c r="AO10" s="705" cm="1">
        <f t="array" ref="AO10">INDEX(Premises!$A$23:$F$23,1,AX$3)</f>
        <v>3.03</v>
      </c>
      <c r="AP10" s="716" cm="1">
        <f t="array" ref="AP10">INDEX(Premises!$A$19:$F$19,1,AX$3)</f>
        <v>300</v>
      </c>
      <c r="AQ10" s="716" cm="1">
        <f t="array" ref="AQ10">IF(ISBLANK(MHR[[#This Row],[Schichtmodell]]),INDEX(Premises!$A$20:$F$20,1,AX$3),MHR[[#This Row],[Schichtmodell]])</f>
        <v>3</v>
      </c>
      <c r="AR10" s="716" cm="1">
        <f t="array" ref="AR10">IF(OR(AND(MHR[[#This Row],[ProdSpez]]="X",MHR[[#This Row],[X/O]]="X"),AND(MHR[[#This Row],[SpezBeMi]]="X",MHR[[#This Row],[X/O]]="X")),INDEX(Premises!$A$13:$F$13,1,AX$3)
*INDEX(Calculation!$F$11:$F$189,MATCH(MHR[[#This Row],[Bezeichnung]],MHR_Used,0))/IF(INDEX(Calculation!$G$11:$G$189,MATCH(MHR[[#This Row],[Bezeichnung]],MHR_Used,0))="s",3600,IF(INDEX(Calculation!$G$11:$G$189,MATCH(MHR[[#This Row],[Bezeichnung]],MHR_Used,0))="min",60,1))/INDEX(Calculation!$H$11:$H$189,MATCH(MHR[[#This Row],[Bezeichnung]],MHR_Used,0))/ROUNDUP(INDEX(Premises!$A$13:$F$13,1,AX$3)
*INDEX(Calculation!$F$11:$F$189,MATCH(MHR[[#This Row],[Bezeichnung]],MHR_Used,0))/IF(INDEX(Calculation!$G$11:$G$189,MATCH(MHR[[#This Row],[Bezeichnung]],MHR_Used,0))="s",3600,IF(INDEX(Calculation!$G$11:$G$189,MATCH(MHR[[#This Row],[Bezeichnung]],MHR_Used,0))="min",60,1))/INDEX(Calculation!$H$11:$H$189,MATCH(MHR[[#This Row],[Bezeichnung]],MHR_Used,0))/(AP10*AQ10*8),0),
AP10*8*AQ10*AN10)</f>
        <v>5760</v>
      </c>
      <c r="AS10" s="717" cm="1">
        <f t="array" ref="AS10">INDEX(Premises!$A$26:$F$26,1,AX$3)/100</f>
        <v>7.1599999999999997E-2</v>
      </c>
      <c r="AT10" s="699" cm="1">
        <f t="array" ref="AT10">IF(INDEX(Settings[],MATCH(3011,Settings[ID],0),2)=1,INDEX(Premises!$A$55:$F$55,1,AX$3),
INDEX(Premises!$A$24:$F$24,1,AX$3))</f>
        <v>0.08</v>
      </c>
      <c r="AU10" s="699" cm="1">
        <f t="array" ref="AU10">INDEX(Premises!$A$25:$F$25,1,AX$3)</f>
        <v>0.02</v>
      </c>
      <c r="AV10" s="705">
        <f>IFERROR(IF(MHR[[#This Row],[SpezBeMi]]="X",($I10*AO10*12)/AR10,(($U10/$D10)+($U10*0.5*AS10)+($I10*AO10*12))/AR10),0)</f>
        <v>33.353337638888888</v>
      </c>
      <c r="AW10" s="705">
        <f t="shared" si="1"/>
        <v>19.971522916666668</v>
      </c>
      <c r="AX10" s="168" cm="1">
        <f t="array" ref="AX10">IFERROR((
(MHR[[#This Row],[Indirektes Personal H]]*INDEX(LOC[High-skilled],MATCH(INDEX(Premises!$A$18:$F$18,1,AX$3),LOC[Standort],0))+MHR[[#This Row],[Indirektes Personal U]]*INDEX(LOC[M3S],MATCH(INDEX(Premises!$A$18:$F$18,1,AX$3),LOC[Standort],0)))*IF(AQ10=3,1,IF(AQ10=2,0.75,IF(AQ10=1,0.5,0)))/AR10
+($N10*AO10*12)/AR10+($N10+$I10)*8*12*AT10/AR10
+ExchangeRate*$O10*(1+0.5*((1+AS10)^8-1))/AR10+($P10*AT10)
+ExchangeRate*$Q10*(AR10/4800)/AR10
),0)</f>
        <v>10.405203261471994</v>
      </c>
    </row>
    <row r="11" spans="2:51">
      <c r="B11" s="1324" t="s">
        <v>4343</v>
      </c>
      <c r="C11" s="201">
        <v>380000</v>
      </c>
      <c r="D11" s="202">
        <v>10</v>
      </c>
      <c r="E11" s="201">
        <v>150</v>
      </c>
      <c r="F11" s="203">
        <v>0.5</v>
      </c>
      <c r="G11" s="203"/>
      <c r="H11" s="203"/>
      <c r="I11" s="204">
        <v>58</v>
      </c>
      <c r="J11" s="205">
        <v>0.02</v>
      </c>
      <c r="K11" s="205">
        <v>3.7999999999999999E-2</v>
      </c>
      <c r="L11" s="1325">
        <v>528</v>
      </c>
      <c r="M11" s="204">
        <v>629</v>
      </c>
      <c r="N11" s="204">
        <v>17</v>
      </c>
      <c r="O11" s="204">
        <v>1483</v>
      </c>
      <c r="P11" s="206">
        <v>3.8</v>
      </c>
      <c r="Q11" s="204">
        <v>1740</v>
      </c>
      <c r="R11" s="1155">
        <v>0.13400000000000001</v>
      </c>
      <c r="S11" s="204"/>
      <c r="T11" s="204"/>
      <c r="U11" s="703">
        <f>MHR[[#This Row],[Invest (Input)]]*ExchangeRate</f>
        <v>380000</v>
      </c>
      <c r="V11" s="704">
        <f>MHR[[#This Row],[Strom]]*MHR[[#This Row],[Faktor
Strom]]</f>
        <v>75</v>
      </c>
      <c r="W11" s="704">
        <f>MHR[[#This Row],[Gas]]*MHR[[#This Row],[Faktor
Gas]]</f>
        <v>0</v>
      </c>
      <c r="X11" s="204"/>
      <c r="Y11" s="204"/>
      <c r="Z11" s="204"/>
      <c r="AA11" s="204"/>
      <c r="AB11" s="204"/>
      <c r="AC11" s="204"/>
      <c r="AD11" s="204"/>
      <c r="AE11" s="204"/>
      <c r="AF11" s="1326">
        <v>855</v>
      </c>
      <c r="AG11" s="1326"/>
      <c r="AH11" s="1326" t="s">
        <v>918</v>
      </c>
      <c r="AI11" s="1327" t="str">
        <f>IF(ISERROR(MATCH(MHR[[#This Row],[Bezeichnung]],MHR_Used,0)),0,"X")</f>
        <v>X</v>
      </c>
      <c r="AJ11" s="203" t="s">
        <v>4327</v>
      </c>
      <c r="AK11" s="1327" t="str">
        <f>IF(AND(MHR[[#This Row],[String]]&lt;&gt;"",_xlfn.CONCAT(MHR[[#This Row],[Bezeichnung]:[   ]])=MHR[[#This Row],[String]]),"X","C")</f>
        <v>X</v>
      </c>
      <c r="AL11" s="1328" t="s">
        <v>4344</v>
      </c>
      <c r="AM11" s="168">
        <f t="shared" si="0"/>
        <v>19.916819444444442</v>
      </c>
      <c r="AN11" s="1158" cm="1">
        <f t="array" ref="AN11">IF(OR(AND(MHR[[#This Row],[ProdSpez]]="X",MHR[[#This Row],[X/O]]="X"),AND(MHR[[#This Row],[SpezBeMi]]="X",MHR[[#This Row],[X/O]]="X")),AR11/(AP11*AQ11*8),INDEX(Premises!$A$15:$F$15,1,AX$3)/100)</f>
        <v>0.8</v>
      </c>
      <c r="AO11" s="705" cm="1">
        <f t="array" ref="AO11">INDEX(Premises!$A$23:$F$23,1,AX$3)</f>
        <v>3.03</v>
      </c>
      <c r="AP11" s="716" cm="1">
        <f t="array" ref="AP11">INDEX(Premises!$A$19:$F$19,1,AX$3)</f>
        <v>300</v>
      </c>
      <c r="AQ11" s="716" cm="1">
        <f t="array" ref="AQ11">IF(ISBLANK(MHR[[#This Row],[Schichtmodell]]),INDEX(Premises!$A$20:$F$20,1,AX$3),MHR[[#This Row],[Schichtmodell]])</f>
        <v>3</v>
      </c>
      <c r="AR11" s="716" cm="1">
        <f t="array" ref="AR11">IF(OR(AND(MHR[[#This Row],[ProdSpez]]="X",MHR[[#This Row],[X/O]]="X"),AND(MHR[[#This Row],[SpezBeMi]]="X",MHR[[#This Row],[X/O]]="X")),INDEX(Premises!$A$13:$F$13,1,AX$3)
*INDEX(Calculation!$F$11:$F$189,MATCH(MHR[[#This Row],[Bezeichnung]],MHR_Used,0))/IF(INDEX(Calculation!$G$11:$G$189,MATCH(MHR[[#This Row],[Bezeichnung]],MHR_Used,0))="s",3600,IF(INDEX(Calculation!$G$11:$G$189,MATCH(MHR[[#This Row],[Bezeichnung]],MHR_Used,0))="min",60,1))/INDEX(Calculation!$H$11:$H$189,MATCH(MHR[[#This Row],[Bezeichnung]],MHR_Used,0))/ROUNDUP(INDEX(Premises!$A$13:$F$13,1,AX$3)
*INDEX(Calculation!$F$11:$F$189,MATCH(MHR[[#This Row],[Bezeichnung]],MHR_Used,0))/IF(INDEX(Calculation!$G$11:$G$189,MATCH(MHR[[#This Row],[Bezeichnung]],MHR_Used,0))="s",3600,IF(INDEX(Calculation!$G$11:$G$189,MATCH(MHR[[#This Row],[Bezeichnung]],MHR_Used,0))="min",60,1))/INDEX(Calculation!$H$11:$H$189,MATCH(MHR[[#This Row],[Bezeichnung]],MHR_Used,0))/(AP11*AQ11*8),0),
AP11*8*AQ11*AN11)</f>
        <v>5760</v>
      </c>
      <c r="AS11" s="717" cm="1">
        <f t="array" ref="AS11">INDEX(Premises!$A$26:$F$26,1,AX$3)/100</f>
        <v>7.1599999999999997E-2</v>
      </c>
      <c r="AT11" s="699" cm="1">
        <f t="array" ref="AT11">IF(INDEX(Settings[],MATCH(3011,Settings[ID],0),2)=1,INDEX(Premises!$A$55:$F$55,1,AX$3),
INDEX(Premises!$A$24:$F$24,1,AX$3))</f>
        <v>0.08</v>
      </c>
      <c r="AU11" s="699" cm="1">
        <f t="array" ref="AU11">INDEX(Premises!$A$25:$F$25,1,AX$3)</f>
        <v>0.02</v>
      </c>
      <c r="AV11" s="705">
        <f>IFERROR(IF(MHR[[#This Row],[SpezBeMi]]="X",($I11*AO11*12)/AR11,(($U11/$D11)+($U11*0.5*AS11)+($I11*AO11*12))/AR11),0)</f>
        <v>9.3251527777777774</v>
      </c>
      <c r="AW11" s="705">
        <f t="shared" si="1"/>
        <v>10.591666666666667</v>
      </c>
      <c r="AX11" s="168" cm="1">
        <f t="array" ref="AX11">IFERROR((
(MHR[[#This Row],[Indirektes Personal H]]*INDEX(LOC[High-skilled],MATCH(INDEX(Premises!$A$18:$F$18,1,AX$3),LOC[Standort],0))+MHR[[#This Row],[Indirektes Personal U]]*INDEX(LOC[M3S],MATCH(INDEX(Premises!$A$18:$F$18,1,AX$3),LOC[Standort],0)))*IF(AQ11=3,1,IF(AQ11=2,0.75,IF(AQ11=1,0.5,0)))/AR11
+($N11*AO11*12)/AR11+($N11+$I11)*8*12*AT11/AR11
+ExchangeRate*$O11*(1+0.5*((1+AS11)^8-1))/AR11+($P11*AT11)
+ExchangeRate*$Q11*(AR11/4800)/AR11
),0)</f>
        <v>3.7098343488523082</v>
      </c>
    </row>
    <row r="12" spans="2:51">
      <c r="B12" s="1324" t="s">
        <v>4345</v>
      </c>
      <c r="C12" s="201">
        <v>1237500</v>
      </c>
      <c r="D12" s="202">
        <v>10</v>
      </c>
      <c r="E12" s="201">
        <v>150</v>
      </c>
      <c r="F12" s="203">
        <v>0.5</v>
      </c>
      <c r="G12" s="203"/>
      <c r="H12" s="203"/>
      <c r="I12" s="204">
        <v>120</v>
      </c>
      <c r="J12" s="205">
        <v>0.02</v>
      </c>
      <c r="K12" s="205">
        <v>3.7999999999999999E-2</v>
      </c>
      <c r="L12" s="1325">
        <v>528</v>
      </c>
      <c r="M12" s="204">
        <v>773</v>
      </c>
      <c r="N12" s="204">
        <v>29</v>
      </c>
      <c r="O12" s="204">
        <v>1483</v>
      </c>
      <c r="P12" s="206">
        <v>5.3</v>
      </c>
      <c r="Q12" s="204">
        <v>1740</v>
      </c>
      <c r="R12" s="1155">
        <v>0.16699999999999998</v>
      </c>
      <c r="S12" s="204"/>
      <c r="T12" s="204"/>
      <c r="U12" s="703">
        <f>MHR[[#This Row],[Invest (Input)]]*ExchangeRate</f>
        <v>1237500</v>
      </c>
      <c r="V12" s="704">
        <f>MHR[[#This Row],[Strom]]*MHR[[#This Row],[Faktor
Strom]]</f>
        <v>75</v>
      </c>
      <c r="W12" s="704">
        <f>MHR[[#This Row],[Gas]]*MHR[[#This Row],[Faktor
Gas]]</f>
        <v>0</v>
      </c>
      <c r="X12" s="204"/>
      <c r="Y12" s="204"/>
      <c r="Z12" s="204"/>
      <c r="AA12" s="204"/>
      <c r="AB12" s="204"/>
      <c r="AC12" s="204"/>
      <c r="AD12" s="204"/>
      <c r="AE12" s="204"/>
      <c r="AF12" s="1326">
        <v>853</v>
      </c>
      <c r="AG12" s="1326"/>
      <c r="AH12" s="1326" t="s">
        <v>918</v>
      </c>
      <c r="AI12" s="1327" t="str">
        <f>IF(ISERROR(MATCH(MHR[[#This Row],[Bezeichnung]],MHR_Used,0)),0,"X")</f>
        <v>X</v>
      </c>
      <c r="AJ12" s="203" t="s">
        <v>4327</v>
      </c>
      <c r="AK12" s="1327" t="str">
        <f>IF(AND(MHR[[#This Row],[String]]&lt;&gt;"",_xlfn.CONCAT(MHR[[#This Row],[Bezeichnung]:[   ]])=MHR[[#This Row],[String]]),"X","C")</f>
        <v>X</v>
      </c>
      <c r="AL12" s="1328" t="s">
        <v>4346</v>
      </c>
      <c r="AM12" s="168">
        <f t="shared" si="0"/>
        <v>50.88640625</v>
      </c>
      <c r="AN12" s="1158" cm="1">
        <f t="array" ref="AN12">IF(OR(AND(MHR[[#This Row],[ProdSpez]]="X",MHR[[#This Row],[X/O]]="X"),AND(MHR[[#This Row],[SpezBeMi]]="X",MHR[[#This Row],[X/O]]="X")),AR12/(AP12*AQ12*8),INDEX(Premises!$A$15:$F$15,1,AX$3)/100)</f>
        <v>0.8</v>
      </c>
      <c r="AO12" s="705" cm="1">
        <f t="array" ref="AO12">INDEX(Premises!$A$23:$F$23,1,AX$3)</f>
        <v>3.03</v>
      </c>
      <c r="AP12" s="716" cm="1">
        <f t="array" ref="AP12">INDEX(Premises!$A$19:$F$19,1,AX$3)</f>
        <v>300</v>
      </c>
      <c r="AQ12" s="716" cm="1">
        <f t="array" ref="AQ12">IF(ISBLANK(MHR[[#This Row],[Schichtmodell]]),INDEX(Premises!$A$20:$F$20,1,AX$3),MHR[[#This Row],[Schichtmodell]])</f>
        <v>3</v>
      </c>
      <c r="AR12" s="716" cm="1">
        <f t="array" ref="AR12">IF(OR(AND(MHR[[#This Row],[ProdSpez]]="X",MHR[[#This Row],[X/O]]="X"),AND(MHR[[#This Row],[SpezBeMi]]="X",MHR[[#This Row],[X/O]]="X")),INDEX(Premises!$A$13:$F$13,1,AX$3)
*INDEX(Calculation!$F$11:$F$189,MATCH(MHR[[#This Row],[Bezeichnung]],MHR_Used,0))/IF(INDEX(Calculation!$G$11:$G$189,MATCH(MHR[[#This Row],[Bezeichnung]],MHR_Used,0))="s",3600,IF(INDEX(Calculation!$G$11:$G$189,MATCH(MHR[[#This Row],[Bezeichnung]],MHR_Used,0))="min",60,1))/INDEX(Calculation!$H$11:$H$189,MATCH(MHR[[#This Row],[Bezeichnung]],MHR_Used,0))/ROUNDUP(INDEX(Premises!$A$13:$F$13,1,AX$3)
*INDEX(Calculation!$F$11:$F$189,MATCH(MHR[[#This Row],[Bezeichnung]],MHR_Used,0))/IF(INDEX(Calculation!$G$11:$G$189,MATCH(MHR[[#This Row],[Bezeichnung]],MHR_Used,0))="s",3600,IF(INDEX(Calculation!$G$11:$G$189,MATCH(MHR[[#This Row],[Bezeichnung]],MHR_Used,0))="min",60,1))/INDEX(Calculation!$H$11:$H$189,MATCH(MHR[[#This Row],[Bezeichnung]],MHR_Used,0))/(AP12*AQ12*8),0),
AP12*8*AQ12*AN12)</f>
        <v>5760</v>
      </c>
      <c r="AS12" s="717" cm="1">
        <f t="array" ref="AS12">INDEX(Premises!$A$26:$F$26,1,AX$3)/100</f>
        <v>7.1599999999999997E-2</v>
      </c>
      <c r="AT12" s="699" cm="1">
        <f t="array" ref="AT12">IF(INDEX(Settings[],MATCH(3011,Settings[ID],0),2)=1,INDEX(Premises!$A$55:$F$55,1,AX$3),
INDEX(Premises!$A$24:$F$24,1,AX$3))</f>
        <v>0.08</v>
      </c>
      <c r="AU12" s="699" cm="1">
        <f t="array" ref="AU12">INDEX(Premises!$A$25:$F$25,1,AX$3)</f>
        <v>0.02</v>
      </c>
      <c r="AV12" s="705">
        <f>IFERROR(IF(MHR[[#This Row],[SpezBeMi]]="X",($I12*AO12*12)/AR12,(($U12/$D12)+($U12*0.5*AS12)+($I12*AO12*12))/AR12),0)</f>
        <v>29.93328125</v>
      </c>
      <c r="AW12" s="705">
        <f t="shared" si="1"/>
        <v>20.953125</v>
      </c>
      <c r="AX12" s="168" cm="1">
        <f t="array" ref="AX12">IFERROR((
(MHR[[#This Row],[Indirektes Personal H]]*INDEX(LOC[High-skilled],MATCH(INDEX(Premises!$A$18:$F$18,1,AX$3),LOC[Standort],0))+MHR[[#This Row],[Indirektes Personal U]]*INDEX(LOC[M3S],MATCH(INDEX(Premises!$A$18:$F$18,1,AX$3),LOC[Standort],0)))*IF(AQ12=3,1,IF(AQ12=2,0.75,IF(AQ12=1,0.5,0)))/AR12
+($N12*AO12*12)/AR12+($N12+$I12)*8*12*AT12/AR12
+ExchangeRate*$O12*(1+0.5*((1+AS12)^8-1))/AR12+($P12*AT12)
+ExchangeRate*$Q12*(AR12/4800)/AR12
),0)</f>
        <v>4.2450010155189757</v>
      </c>
    </row>
    <row r="13" spans="2:51">
      <c r="B13" s="1324" t="s">
        <v>4349</v>
      </c>
      <c r="C13" s="201">
        <v>184670.98898237289</v>
      </c>
      <c r="D13" s="202">
        <v>7</v>
      </c>
      <c r="E13" s="201">
        <v>8.5999999999999979</v>
      </c>
      <c r="F13" s="203">
        <v>0.5</v>
      </c>
      <c r="G13" s="203">
        <v>0</v>
      </c>
      <c r="H13" s="203">
        <v>0</v>
      </c>
      <c r="I13" s="204">
        <v>25</v>
      </c>
      <c r="J13" s="205">
        <v>0.02</v>
      </c>
      <c r="K13" s="205">
        <v>3.7999999999999999E-2</v>
      </c>
      <c r="L13" s="1325">
        <v>715.7879187326937</v>
      </c>
      <c r="M13" s="204">
        <v>354.56829884615593</v>
      </c>
      <c r="N13" s="204">
        <v>5</v>
      </c>
      <c r="O13" s="204">
        <v>462</v>
      </c>
      <c r="P13" s="206">
        <v>1.5</v>
      </c>
      <c r="Q13" s="204">
        <v>443.21037355769488</v>
      </c>
      <c r="R13" s="1155">
        <v>0.72500000000000009</v>
      </c>
      <c r="S13" s="204"/>
      <c r="T13" s="204"/>
      <c r="U13" s="703">
        <f>MHR[[#This Row],[Invest (Input)]]*ExchangeRate</f>
        <v>184670.98898237289</v>
      </c>
      <c r="V13" s="704">
        <f>MHR[[#This Row],[Strom]]*MHR[[#This Row],[Faktor
Strom]]</f>
        <v>4.2999999999999989</v>
      </c>
      <c r="W13" s="704">
        <f>MHR[[#This Row],[Gas]]*MHR[[#This Row],[Faktor
Gas]]</f>
        <v>0</v>
      </c>
      <c r="X13" s="204"/>
      <c r="Y13" s="204"/>
      <c r="Z13" s="204"/>
      <c r="AA13" s="204"/>
      <c r="AB13" s="204"/>
      <c r="AC13" s="204"/>
      <c r="AD13" s="204"/>
      <c r="AE13" s="204"/>
      <c r="AF13" s="1326">
        <v>1040</v>
      </c>
      <c r="AG13" s="1326"/>
      <c r="AH13" s="1326" t="s">
        <v>353</v>
      </c>
      <c r="AI13" s="1327" t="str">
        <f>IF(ISERROR(MATCH(MHR[[#This Row],[Bezeichnung]],MHR_Used,0)),0,"X")</f>
        <v>X</v>
      </c>
      <c r="AJ13" s="203" t="s">
        <v>4327</v>
      </c>
      <c r="AK13" s="1327" t="str">
        <f>IF(AND(MHR[[#This Row],[String]]&lt;&gt;"",_xlfn.CONCAT(MHR[[#This Row],[Bezeichnung]:[   ]])=MHR[[#This Row],[String]]),"X","C")</f>
        <v>X</v>
      </c>
      <c r="AL13" s="1328" t="s">
        <v>4350</v>
      </c>
      <c r="AM13" s="168">
        <f>AV13+AW13</f>
        <v>8.4611687662095143</v>
      </c>
      <c r="AN13" s="1158" cm="1">
        <f t="array" ref="AN13">IF(OR(AND(MHR[[#This Row],[ProdSpez]]="X",MHR[[#This Row],[X/O]]="X"),AND(MHR[[#This Row],[SpezBeMi]]="X",MHR[[#This Row],[X/O]]="X")),AR13/(AP13*AQ13*8),INDEX(Premises!$A$15:$F$15,1,AX$3)/100)</f>
        <v>0.8</v>
      </c>
      <c r="AO13" s="705" cm="1">
        <f t="array" ref="AO13">INDEX(Premises!$A$23:$F$23,1,AX$3)</f>
        <v>3.03</v>
      </c>
      <c r="AP13" s="716" cm="1">
        <f t="array" ref="AP13">INDEX(Premises!$A$19:$F$19,1,AX$3)</f>
        <v>300</v>
      </c>
      <c r="AQ13" s="716" cm="1">
        <f t="array" ref="AQ13">IF(ISBLANK(MHR[[#This Row],[Schichtmodell]]),INDEX(Premises!$A$20:$F$20,1,AX$3),MHR[[#This Row],[Schichtmodell]])</f>
        <v>3</v>
      </c>
      <c r="AR13" s="716" cm="1">
        <f t="array" ref="AR13">IF(OR(AND(MHR[[#This Row],[ProdSpez]]="X",MHR[[#This Row],[X/O]]="X"),AND(MHR[[#This Row],[SpezBeMi]]="X",MHR[[#This Row],[X/O]]="X")),INDEX(Premises!$A$13:$F$13,1,AX$3)
*INDEX(Calculation!$F$11:$F$189,MATCH(MHR[[#This Row],[Bezeichnung]],MHR_Used,0))/IF(INDEX(Calculation!$G$11:$G$189,MATCH(MHR[[#This Row],[Bezeichnung]],MHR_Used,0))="s",3600,IF(INDEX(Calculation!$G$11:$G$189,MATCH(MHR[[#This Row],[Bezeichnung]],MHR_Used,0))="min",60,1))/INDEX(Calculation!$H$11:$H$189,MATCH(MHR[[#This Row],[Bezeichnung]],MHR_Used,0))/ROUNDUP(INDEX(Premises!$A$13:$F$13,1,AX$3)
*INDEX(Calculation!$F$11:$F$189,MATCH(MHR[[#This Row],[Bezeichnung]],MHR_Used,0))/IF(INDEX(Calculation!$G$11:$G$189,MATCH(MHR[[#This Row],[Bezeichnung]],MHR_Used,0))="s",3600,IF(INDEX(Calculation!$G$11:$G$189,MATCH(MHR[[#This Row],[Bezeichnung]],MHR_Used,0))="min",60,1))/INDEX(Calculation!$H$11:$H$189,MATCH(MHR[[#This Row],[Bezeichnung]],MHR_Used,0))/(AP13*AQ13*8),0),
AP13*8*AQ13*AN13)</f>
        <v>5760</v>
      </c>
      <c r="AS13" s="717" cm="1">
        <f t="array" ref="AS13">INDEX(Premises!$A$26:$F$26,1,AX$3)/100</f>
        <v>7.1599999999999997E-2</v>
      </c>
      <c r="AT13" s="699" cm="1">
        <f t="array" ref="AT13">IF(INDEX(Settings[],MATCH(3011,Settings[ID],0),2)=1,INDEX(Premises!$A$55:$F$55,1,AX$3),
INDEX(Premises!$A$24:$F$24,1,AX$3))</f>
        <v>0.08</v>
      </c>
      <c r="AU13" s="699" cm="1">
        <f t="array" ref="AU13">INDEX(Premises!$A$25:$F$25,1,AX$3)</f>
        <v>0.02</v>
      </c>
      <c r="AV13" s="705">
        <f>IFERROR(IF(MHR[[#This Row],[SpezBeMi]]="X",($I13*AO13*12)/AR13,(($U13/$D13)+($U13*0.5*AS13)+($I13*AO13*12))/AR13),0)</f>
        <v>5.8857276493391746</v>
      </c>
      <c r="AW13" s="705">
        <f>IFERROR(($V13*AT13)
+($W13*AU13)
+((($J13*$U13)+($K13*$U13))*AR13/4800)/AR13,0)</f>
        <v>2.5754411168703388</v>
      </c>
      <c r="AX13" s="168" cm="1">
        <f t="array" ref="AX13">IFERROR((
(MHR[[#This Row],[Indirektes Personal H]]*INDEX(LOC[High-skilled],MATCH(INDEX(Premises!$A$18:$F$18,1,AX$3),LOC[Standort],0))+MHR[[#This Row],[Indirektes Personal U]]*INDEX(LOC[M3S],MATCH(INDEX(Premises!$A$18:$F$18,1,AX$3),LOC[Standort],0)))*IF(AQ13=3,1,IF(AQ13=2,0.75,IF(AQ13=1,0.5,0)))/AR13
+($N13*AO13*12)/AR13+($N13+$I13)*8*12*AT13/AR13
+ExchangeRate*$O13*(1+0.5*((1+AS13)^8-1))/AR13+($P13*AT13)
+ExchangeRate*$Q13*(AR13/4800)/AR13
),0)</f>
        <v>2.9276087435140492</v>
      </c>
    </row>
    <row r="14" spans="2:51">
      <c r="B14" s="1324" t="s">
        <v>4351</v>
      </c>
      <c r="C14" s="201">
        <v>419500</v>
      </c>
      <c r="D14" s="202">
        <v>12</v>
      </c>
      <c r="E14" s="201">
        <v>56</v>
      </c>
      <c r="F14" s="203">
        <v>0.5</v>
      </c>
      <c r="G14" s="203"/>
      <c r="H14" s="203"/>
      <c r="I14" s="204">
        <v>52</v>
      </c>
      <c r="J14" s="205">
        <v>0.02</v>
      </c>
      <c r="K14" s="205">
        <v>3.7999999999999999E-2</v>
      </c>
      <c r="L14" s="1325">
        <v>287</v>
      </c>
      <c r="M14" s="204">
        <v>528</v>
      </c>
      <c r="N14" s="204">
        <v>13</v>
      </c>
      <c r="O14" s="204">
        <v>633</v>
      </c>
      <c r="P14" s="206">
        <v>2.2000000000000002</v>
      </c>
      <c r="Q14" s="204">
        <v>500</v>
      </c>
      <c r="R14" s="1155">
        <v>0.13500000000000001</v>
      </c>
      <c r="S14" s="204"/>
      <c r="T14" s="204"/>
      <c r="U14" s="703">
        <f>MHR[[#This Row],[Invest (Input)]]*ExchangeRate</f>
        <v>419500</v>
      </c>
      <c r="V14" s="704">
        <f>MHR[[#This Row],[Strom]]*MHR[[#This Row],[Faktor
Strom]]</f>
        <v>28</v>
      </c>
      <c r="W14" s="704">
        <f>MHR[[#This Row],[Gas]]*MHR[[#This Row],[Faktor
Gas]]</f>
        <v>0</v>
      </c>
      <c r="X14" s="204"/>
      <c r="Y14" s="204"/>
      <c r="Z14" s="204"/>
      <c r="AA14" s="204"/>
      <c r="AB14" s="204"/>
      <c r="AC14" s="204"/>
      <c r="AD14" s="204"/>
      <c r="AE14" s="204"/>
      <c r="AF14" s="1326">
        <v>268</v>
      </c>
      <c r="AG14" s="1326"/>
      <c r="AH14" s="1326" t="s">
        <v>918</v>
      </c>
      <c r="AI14" s="1327" t="str">
        <f>IF(ISERROR(MATCH(MHR[[#This Row],[Bezeichnung]],MHR_Used,0)),0,"X")</f>
        <v>X</v>
      </c>
      <c r="AJ14" s="203" t="s">
        <v>4327</v>
      </c>
      <c r="AK14" s="1327" t="str">
        <f>IF(AND(MHR[[#This Row],[String]]&lt;&gt;"",_xlfn.CONCAT(MHR[[#This Row],[Bezeichnung]:[   ]])=MHR[[#This Row],[String]]),"X","C")</f>
        <v>X</v>
      </c>
      <c r="AL14" s="1328" t="s">
        <v>4352</v>
      </c>
      <c r="AM14" s="168">
        <f>AV14+AW14</f>
        <v>16.313672453703706</v>
      </c>
      <c r="AN14" s="1158" cm="1">
        <f t="array" ref="AN14">IF(OR(AND(MHR[[#This Row],[ProdSpez]]="X",MHR[[#This Row],[X/O]]="X"),AND(MHR[[#This Row],[SpezBeMi]]="X",MHR[[#This Row],[X/O]]="X")),AR14/(AP14*AQ14*8),INDEX(Premises!$A$15:$F$15,1,AX$3)/100)</f>
        <v>0.8</v>
      </c>
      <c r="AO14" s="705" cm="1">
        <f t="array" ref="AO14">INDEX(Premises!$A$23:$F$23,1,AX$3)</f>
        <v>3.03</v>
      </c>
      <c r="AP14" s="716" cm="1">
        <f t="array" ref="AP14">INDEX(Premises!$A$19:$F$19,1,AX$3)</f>
        <v>300</v>
      </c>
      <c r="AQ14" s="716" cm="1">
        <f t="array" ref="AQ14">IF(ISBLANK(MHR[[#This Row],[Schichtmodell]]),INDEX(Premises!$A$20:$F$20,1,AX$3),MHR[[#This Row],[Schichtmodell]])</f>
        <v>3</v>
      </c>
      <c r="AR14" s="716" cm="1">
        <f t="array" ref="AR14">IF(OR(AND(MHR[[#This Row],[ProdSpez]]="X",MHR[[#This Row],[X/O]]="X"),AND(MHR[[#This Row],[SpezBeMi]]="X",MHR[[#This Row],[X/O]]="X")),INDEX(Premises!$A$13:$F$13,1,AX$3)
*INDEX(Calculation!$F$11:$F$189,MATCH(MHR[[#This Row],[Bezeichnung]],MHR_Used,0))/IF(INDEX(Calculation!$G$11:$G$189,MATCH(MHR[[#This Row],[Bezeichnung]],MHR_Used,0))="s",3600,IF(INDEX(Calculation!$G$11:$G$189,MATCH(MHR[[#This Row],[Bezeichnung]],MHR_Used,0))="min",60,1))/INDEX(Calculation!$H$11:$H$189,MATCH(MHR[[#This Row],[Bezeichnung]],MHR_Used,0))/ROUNDUP(INDEX(Premises!$A$13:$F$13,1,AX$3)
*INDEX(Calculation!$F$11:$F$189,MATCH(MHR[[#This Row],[Bezeichnung]],MHR_Used,0))/IF(INDEX(Calculation!$G$11:$G$189,MATCH(MHR[[#This Row],[Bezeichnung]],MHR_Used,0))="s",3600,IF(INDEX(Calculation!$G$11:$G$189,MATCH(MHR[[#This Row],[Bezeichnung]],MHR_Used,0))="min",60,1))/INDEX(Calculation!$H$11:$H$189,MATCH(MHR[[#This Row],[Bezeichnung]],MHR_Used,0))/(AP14*AQ14*8),0),
AP14*8*AQ14*AN14)</f>
        <v>5760</v>
      </c>
      <c r="AS14" s="717" cm="1">
        <f t="array" ref="AS14">INDEX(Premises!$A$26:$F$26,1,AX$3)/100</f>
        <v>7.1599999999999997E-2</v>
      </c>
      <c r="AT14" s="699" cm="1">
        <f t="array" ref="AT14">IF(INDEX(Settings[],MATCH(3011,Settings[ID],0),2)=1,INDEX(Premises!$A$55:$F$55,1,AX$3),
INDEX(Premises!$A$24:$F$24,1,AX$3))</f>
        <v>0.08</v>
      </c>
      <c r="AU14" s="699" cm="1">
        <f t="array" ref="AU14">INDEX(Premises!$A$25:$F$25,1,AX$3)</f>
        <v>0.02</v>
      </c>
      <c r="AV14" s="705">
        <f>IFERROR(IF(MHR[[#This Row],[SpezBeMi]]="X",($I14*AO14*12)/AR14,(($U14/$D14)+($U14*0.5*AS14)+($I14*AO14*12))/AR14),0)</f>
        <v>9.0047141203703713</v>
      </c>
      <c r="AW14" s="705">
        <f>IFERROR(($V14*AT14)
+($W14*AU14)
+((($J14*$U14)+($K14*$U14))*AR14/4800)/AR14,0)</f>
        <v>7.3089583333333339</v>
      </c>
      <c r="AX14" s="168" cm="1">
        <f t="array" ref="AX14">IFERROR((
(MHR[[#This Row],[Indirektes Personal H]]*INDEX(LOC[High-skilled],MATCH(INDEX(Premises!$A$18:$F$18,1,AX$3),LOC[Standort],0))+MHR[[#This Row],[Indirektes Personal U]]*INDEX(LOC[M3S],MATCH(INDEX(Premises!$A$18:$F$18,1,AX$3),LOC[Standort],0)))*IF(AQ14=3,1,IF(AQ14=2,0.75,IF(AQ14=1,0.5,0)))/AR14
+($N14*AO14*12)/AR14+($N14+$I14)*8*12*AT14/AR14
+ExchangeRate*$O14*(1+0.5*((1+AS14)^8-1))/AR14+($P14*AT14)
+ExchangeRate*$Q14*(AR14/4800)/AR14
),0)</f>
        <v>2.2604280236972052</v>
      </c>
    </row>
    <row r="15" spans="2:51">
      <c r="B15" s="1349" t="s">
        <v>4370</v>
      </c>
      <c r="C15" s="1350">
        <v>196709.33266951438</v>
      </c>
      <c r="D15" s="1351">
        <v>7</v>
      </c>
      <c r="E15" s="1350">
        <v>8.6871428571428595</v>
      </c>
      <c r="F15" s="1352">
        <v>0.5</v>
      </c>
      <c r="G15" s="1352">
        <v>0</v>
      </c>
      <c r="H15" s="1352">
        <v>0</v>
      </c>
      <c r="I15" s="1353">
        <v>9</v>
      </c>
      <c r="J15" s="1354">
        <v>0.02</v>
      </c>
      <c r="K15" s="1354">
        <v>3.7999999999999999E-2</v>
      </c>
      <c r="L15" s="1355">
        <v>491.15847595243599</v>
      </c>
      <c r="M15" s="1353">
        <v>377.6819187254676</v>
      </c>
      <c r="N15" s="1353">
        <v>1.8</v>
      </c>
      <c r="O15" s="1353">
        <v>0</v>
      </c>
      <c r="P15" s="1356">
        <v>0</v>
      </c>
      <c r="Q15" s="1353">
        <v>472.10239840683448</v>
      </c>
      <c r="R15" s="1356"/>
      <c r="S15" s="1353"/>
      <c r="T15" s="1353"/>
      <c r="U15" s="1357">
        <f>MHR[[#This Row],[Invest (Input)]]*ExchangeRate</f>
        <v>196709.33266951438</v>
      </c>
      <c r="V15" s="1358">
        <f>MHR[[#This Row],[Strom]]*MHR[[#This Row],[Faktor
Strom]]</f>
        <v>4.3435714285714297</v>
      </c>
      <c r="W15" s="1358">
        <f>MHR[[#This Row],[Gas]]*MHR[[#This Row],[Faktor
Gas]]</f>
        <v>0</v>
      </c>
      <c r="X15" s="1353"/>
      <c r="Y15" s="1353"/>
      <c r="Z15" s="1353"/>
      <c r="AA15" s="1353"/>
      <c r="AB15" s="1353"/>
      <c r="AC15" s="1353"/>
      <c r="AD15" s="1353"/>
      <c r="AE15" s="1353"/>
      <c r="AF15" s="1359"/>
      <c r="AG15" s="1359"/>
      <c r="AH15" s="1359"/>
      <c r="AI15" s="1360" t="str">
        <f>IF(ISERROR(MATCH(MHR[[#This Row],[Bezeichnung]],MHR_Used,0)),0,"X")</f>
        <v>X</v>
      </c>
      <c r="AJ15" s="1352" t="s">
        <v>4327</v>
      </c>
      <c r="AK15" s="1360" t="str">
        <f>IF(AND(MHR[[#This Row],[String]]&lt;&gt;"",_xlfn.CONCAT(MHR[[#This Row],[Bezeichnung]:[   ]])=MHR[[#This Row],[String]]),"X","C")</f>
        <v>C</v>
      </c>
      <c r="AL15" s="1361"/>
      <c r="AM15" s="1362">
        <f>AV15+AW15</f>
        <v>8.8825094819712813</v>
      </c>
      <c r="AN15" s="1363" cm="1">
        <f t="array" ref="AN15">IF(OR(AND(MHR[[#This Row],[ProdSpez]]="X",MHR[[#This Row],[X/O]]="X"),AND(MHR[[#This Row],[SpezBeMi]]="X",MHR[[#This Row],[X/O]]="X")),AR15/(AP15*AQ15*8),INDEX(Premises!$A$15:$F$15,1,AX$3)/100)</f>
        <v>0.8</v>
      </c>
      <c r="AO15" s="1364" cm="1">
        <f t="array" ref="AO15">INDEX(Premises!$A$23:$F$23,1,AX$3)</f>
        <v>3.03</v>
      </c>
      <c r="AP15" s="1365" cm="1">
        <f t="array" ref="AP15">INDEX(Premises!$A$19:$F$19,1,AX$3)</f>
        <v>300</v>
      </c>
      <c r="AQ15" s="1365" cm="1">
        <f t="array" ref="AQ15">IF(ISBLANK(MHR[[#This Row],[Schichtmodell]]),INDEX(Premises!$A$20:$F$20,1,AX$3),MHR[[#This Row],[Schichtmodell]])</f>
        <v>3</v>
      </c>
      <c r="AR15" s="1365" cm="1">
        <f t="array" ref="AR15">IF(OR(AND(MHR[[#This Row],[ProdSpez]]="X",MHR[[#This Row],[X/O]]="X"),AND(MHR[[#This Row],[SpezBeMi]]="X",MHR[[#This Row],[X/O]]="X")),INDEX(Premises!$A$13:$F$13,1,AX$3)
*INDEX(Calculation!$F$11:$F$189,MATCH(MHR[[#This Row],[Bezeichnung]],MHR_Used,0))/IF(INDEX(Calculation!$G$11:$G$189,MATCH(MHR[[#This Row],[Bezeichnung]],MHR_Used,0))="s",3600,IF(INDEX(Calculation!$G$11:$G$189,MATCH(MHR[[#This Row],[Bezeichnung]],MHR_Used,0))="min",60,1))/INDEX(Calculation!$H$11:$H$189,MATCH(MHR[[#This Row],[Bezeichnung]],MHR_Used,0))/ROUNDUP(INDEX(Premises!$A$13:$F$13,1,AX$3)
*INDEX(Calculation!$F$11:$F$189,MATCH(MHR[[#This Row],[Bezeichnung]],MHR_Used,0))/IF(INDEX(Calculation!$G$11:$G$189,MATCH(MHR[[#This Row],[Bezeichnung]],MHR_Used,0))="s",3600,IF(INDEX(Calculation!$G$11:$G$189,MATCH(MHR[[#This Row],[Bezeichnung]],MHR_Used,0))="min",60,1))/INDEX(Calculation!$H$11:$H$189,MATCH(MHR[[#This Row],[Bezeichnung]],MHR_Used,0))/(AP15*AQ15*8),0),
AP15*8*AQ15*AN15)</f>
        <v>5760</v>
      </c>
      <c r="AS15" s="1366" cm="1">
        <f t="array" ref="AS15">INDEX(Premises!$A$26:$F$26,1,AX$3)/100</f>
        <v>7.1599999999999997E-2</v>
      </c>
      <c r="AT15" s="1367" cm="1">
        <f t="array" ref="AT15">IF(INDEX(Settings[],MATCH(3011,Settings[ID],0),2)=1,INDEX(Premises!$A$55:$F$55,1,AX$3),
INDEX(Premises!$A$24:$F$24,1,AX$3))</f>
        <v>0.08</v>
      </c>
      <c r="AU15" s="1367" cm="1">
        <f t="array" ref="AU15">INDEX(Premises!$A$25:$F$25,1,AX$3)</f>
        <v>0.02</v>
      </c>
      <c r="AV15" s="1364">
        <f>IFERROR(IF(MHR[[#This Row],[SpezBeMi]]="X",($I15*AO15*12)/AR15,(($U15/$D15)+($U15*0.5*AS15)+($I15*AO15*12))/AR15),0)</f>
        <v>6.1581193312622684</v>
      </c>
      <c r="AW15" s="1364">
        <f>IFERROR(($V15*AT15)
+($W15*AU15)
+((($J15*$U15)+($K15*$U15))*AR15/4800)/AR15,0)</f>
        <v>2.7243901507090129</v>
      </c>
      <c r="AX15" s="1362" cm="1">
        <f t="array" ref="AX15">IFERROR((
(MHR[[#This Row],[Indirektes Personal H]]*INDEX(LOC[High-skilled],MATCH(INDEX(Premises!$A$18:$F$18,1,AX$3),LOC[Standort],0))+MHR[[#This Row],[Indirektes Personal U]]*INDEX(LOC[M3S],MATCH(INDEX(Premises!$A$18:$F$18,1,AX$3),LOC[Standort],0)))*IF(AQ15=3,1,IF(AQ15=2,0.75,IF(AQ15=1,0.5,0)))/AR15
+($N15*AO15*12)/AR15+($N15+$I15)*8*12*AT15/AR15
+ExchangeRate*$O15*(1+0.5*((1+AS15)^8-1))/AR15+($P15*AT15)
+ExchangeRate*$Q15*(AR15/4800)/AR15
),0)</f>
        <v>2.0874804079499141</v>
      </c>
    </row>
    <row r="16" spans="2:51">
      <c r="B16" s="1349" t="s">
        <v>4375</v>
      </c>
      <c r="C16" s="1350">
        <v>70383.453189691019</v>
      </c>
      <c r="D16" s="1351">
        <v>7</v>
      </c>
      <c r="E16" s="1350">
        <v>3.5100000000000002</v>
      </c>
      <c r="F16" s="1352">
        <v>0.5</v>
      </c>
      <c r="G16" s="1352">
        <v>0</v>
      </c>
      <c r="H16" s="1352">
        <v>0</v>
      </c>
      <c r="I16" s="1353">
        <v>25</v>
      </c>
      <c r="J16" s="1354">
        <v>0.02</v>
      </c>
      <c r="K16" s="1354">
        <v>3.7999999999999999E-2</v>
      </c>
      <c r="L16" s="1355">
        <v>569.86559303259753</v>
      </c>
      <c r="M16" s="1353">
        <v>135.13623012420675</v>
      </c>
      <c r="N16" s="1353">
        <v>5</v>
      </c>
      <c r="O16" s="1353">
        <v>0</v>
      </c>
      <c r="P16" s="1356">
        <v>0</v>
      </c>
      <c r="Q16" s="1353">
        <v>168.92028765525842</v>
      </c>
      <c r="R16" s="1356"/>
      <c r="S16" s="1353"/>
      <c r="T16" s="1353"/>
      <c r="U16" s="1357">
        <f>MHR[[#This Row],[Invest (Input)]]*ExchangeRate</f>
        <v>70383.453189691019</v>
      </c>
      <c r="V16" s="1358">
        <f>MHR[[#This Row],[Strom]]*MHR[[#This Row],[Faktor
Strom]]</f>
        <v>1.7550000000000001</v>
      </c>
      <c r="W16" s="1358">
        <f>MHR[[#This Row],[Gas]]*MHR[[#This Row],[Faktor
Gas]]</f>
        <v>0</v>
      </c>
      <c r="X16" s="1353"/>
      <c r="Y16" s="1353"/>
      <c r="Z16" s="1353"/>
      <c r="AA16" s="1353"/>
      <c r="AB16" s="1353"/>
      <c r="AC16" s="1353"/>
      <c r="AD16" s="1353"/>
      <c r="AE16" s="1353"/>
      <c r="AF16" s="1359"/>
      <c r="AG16" s="1359"/>
      <c r="AH16" s="1359"/>
      <c r="AI16" s="1360" t="str">
        <f>IF(ISERROR(MATCH(MHR[[#This Row],[Bezeichnung]],MHR_Used,0)),0,"X")</f>
        <v>X</v>
      </c>
      <c r="AJ16" s="1352" t="s">
        <v>4327</v>
      </c>
      <c r="AK16" s="1360" t="str">
        <f>IF(AND(MHR[[#This Row],[String]]&lt;&gt;"",_xlfn.CONCAT(MHR[[#This Row],[Bezeichnung]:[   ]])=MHR[[#This Row],[String]]),"X","C")</f>
        <v>C</v>
      </c>
      <c r="AL16" s="1361"/>
      <c r="AM16" s="1362">
        <f>AV16+AW16</f>
        <v>3.331753297446554</v>
      </c>
      <c r="AN16" s="1363" cm="1">
        <f t="array" ref="AN16">IF(OR(AND(MHR[[#This Row],[ProdSpez]]="X",MHR[[#This Row],[X/O]]="X"),AND(MHR[[#This Row],[SpezBeMi]]="X",MHR[[#This Row],[X/O]]="X")),AR16/(AP16*AQ16*8),INDEX(Premises!$A$15:$F$15,1,AX$3)/100)</f>
        <v>0.8</v>
      </c>
      <c r="AO16" s="1364" cm="1">
        <f t="array" ref="AO16">INDEX(Premises!$A$23:$F$23,1,AX$3)</f>
        <v>3.03</v>
      </c>
      <c r="AP16" s="1365" cm="1">
        <f t="array" ref="AP16">INDEX(Premises!$A$19:$F$19,1,AX$3)</f>
        <v>300</v>
      </c>
      <c r="AQ16" s="1365" cm="1">
        <f t="array" ref="AQ16">IF(ISBLANK(MHR[[#This Row],[Schichtmodell]]),INDEX(Premises!$A$20:$F$20,1,AX$3),MHR[[#This Row],[Schichtmodell]])</f>
        <v>3</v>
      </c>
      <c r="AR16" s="1365" cm="1">
        <f t="array" ref="AR16">IF(OR(AND(MHR[[#This Row],[ProdSpez]]="X",MHR[[#This Row],[X/O]]="X"),AND(MHR[[#This Row],[SpezBeMi]]="X",MHR[[#This Row],[X/O]]="X")),INDEX(Premises!$A$13:$F$13,1,AX$3)
*INDEX(Calculation!$F$11:$F$189,MATCH(MHR[[#This Row],[Bezeichnung]],MHR_Used,0))/IF(INDEX(Calculation!$G$11:$G$189,MATCH(MHR[[#This Row],[Bezeichnung]],MHR_Used,0))="s",3600,IF(INDEX(Calculation!$G$11:$G$189,MATCH(MHR[[#This Row],[Bezeichnung]],MHR_Used,0))="min",60,1))/INDEX(Calculation!$H$11:$H$189,MATCH(MHR[[#This Row],[Bezeichnung]],MHR_Used,0))/ROUNDUP(INDEX(Premises!$A$13:$F$13,1,AX$3)
*INDEX(Calculation!$F$11:$F$189,MATCH(MHR[[#This Row],[Bezeichnung]],MHR_Used,0))/IF(INDEX(Calculation!$G$11:$G$189,MATCH(MHR[[#This Row],[Bezeichnung]],MHR_Used,0))="s",3600,IF(INDEX(Calculation!$G$11:$G$189,MATCH(MHR[[#This Row],[Bezeichnung]],MHR_Used,0))="min",60,1))/INDEX(Calculation!$H$11:$H$189,MATCH(MHR[[#This Row],[Bezeichnung]],MHR_Used,0))/(AP16*AQ16*8),0),
AP16*8*AQ16*AN16)</f>
        <v>5760</v>
      </c>
      <c r="AS16" s="1366" cm="1">
        <f t="array" ref="AS16">INDEX(Premises!$A$26:$F$26,1,AX$3)/100</f>
        <v>7.1599999999999997E-2</v>
      </c>
      <c r="AT16" s="1367" cm="1">
        <f t="array" ref="AT16">IF(INDEX(Settings[],MATCH(3011,Settings[ID],0),2)=1,INDEX(Premises!$A$55:$F$55,1,AX$3),
INDEX(Premises!$A$24:$F$24,1,AX$3))</f>
        <v>0.08</v>
      </c>
      <c r="AU16" s="1367" cm="1">
        <f t="array" ref="AU16">INDEX(Premises!$A$25:$F$25,1,AX$3)</f>
        <v>0.02</v>
      </c>
      <c r="AV16" s="1364">
        <f>IFERROR(IF(MHR[[#This Row],[SpezBeMi]]="X",($I16*AO16*12)/AR16,(($U16/$D16)+($U16*0.5*AS16)+($I16*AO16*12))/AR16),0)</f>
        <v>2.3408865714044542</v>
      </c>
      <c r="AW16" s="1364">
        <f>IFERROR(($V16*AT16)
+($W16*AU16)
+((($J16*$U16)+($K16*$U16))*AR16/4800)/AR16,0)</f>
        <v>0.9908667260420998</v>
      </c>
      <c r="AX16" s="1362" cm="1">
        <f t="array" ref="AX16">IFERROR((
(MHR[[#This Row],[Indirektes Personal H]]*INDEX(LOC[High-skilled],MATCH(INDEX(Premises!$A$18:$F$18,1,AX$3),LOC[Standort],0))+MHR[[#This Row],[Indirektes Personal U]]*INDEX(LOC[M3S],MATCH(INDEX(Premises!$A$18:$F$18,1,AX$3),LOC[Standort],0)))*IF(AQ16=3,1,IF(AQ16=2,0.75,IF(AQ16=1,0.5,0)))/AR16
+($N16*AO16*12)/AR16+($N16+$I16)*8*12*AT16/AR16
+ExchangeRate*$O16*(1+0.5*((1+AS16)^8-1))/AR16+($P16*AT16)
+ExchangeRate*$Q16*(AR16/4800)/AR16
),0)</f>
        <v>1.878049792439513</v>
      </c>
    </row>
  </sheetData>
  <mergeCells count="3">
    <mergeCell ref="AM4:AX4"/>
    <mergeCell ref="B4:T4"/>
    <mergeCell ref="B2:AY2"/>
  </mergeCells>
  <phoneticPr fontId="39" type="noConversion"/>
  <dataValidations count="1">
    <dataValidation type="list" allowBlank="1" showInputMessage="1" showErrorMessage="1" sqref="AC7:AE16" xr:uid="{95BDC2D4-4A79-416C-A8D0-AC4CFA8C57D6}">
      <formula1>"X, "</formula1>
    </dataValidation>
  </dataValidations>
  <pageMargins left="0.39370078740157483" right="0.39370078740157483" top="0.98425196850393704" bottom="0.82677165354330717" header="0.51181102362204722" footer="0.51181102362204722"/>
  <pageSetup paperSize="9" fitToHeight="3" orientation="portrait" horizontalDpi="4294967293" verticalDpi="360" r:id="rId1"/>
  <headerFooter alignWithMargins="0">
    <oddFooter>&amp;CAWS Systemtechnik GmbH&amp;R&amp;9Seite &amp;P von &amp;N</oddFooter>
  </headerFooter>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MAT">
    <outlinePr summaryBelow="0" summaryRight="0"/>
  </sheetPr>
  <dimension ref="A1:AE24"/>
  <sheetViews>
    <sheetView showGridLines="0" showZeros="0" zoomScaleNormal="100" workbookViewId="0">
      <pane xSplit="2" ySplit="6" topLeftCell="C7" activePane="bottomRight" state="frozen"/>
      <selection activeCell="D355" sqref="D355"/>
      <selection pane="topRight" activeCell="D355" sqref="D355"/>
      <selection pane="bottomLeft" activeCell="D355" sqref="D355"/>
      <selection pane="bottomRight" activeCell="F24" sqref="F24"/>
    </sheetView>
  </sheetViews>
  <sheetFormatPr baseColWidth="10" defaultColWidth="11.42578125" defaultRowHeight="12.75" outlineLevelCol="2"/>
  <cols>
    <col min="1" max="1" width="1.7109375" style="5" customWidth="1"/>
    <col min="2" max="2" width="48.7109375" style="5" customWidth="1"/>
    <col min="3" max="3" width="30.7109375" style="5" customWidth="1"/>
    <col min="4" max="4" width="6.7109375" style="5" customWidth="1"/>
    <col min="5" max="5" width="12.7109375" style="4" customWidth="1"/>
    <col min="6" max="8" width="1.7109375" style="4" customWidth="1"/>
    <col min="9" max="9" width="12.7109375" style="4" customWidth="1" collapsed="1"/>
    <col min="10" max="11" width="9.7109375" style="178" hidden="1" customWidth="1" outlineLevel="2"/>
    <col min="12" max="12" width="9.7109375" style="5" hidden="1" customWidth="1" outlineLevel="1"/>
    <col min="13" max="13" width="9.7109375" style="42" hidden="1" customWidth="1" outlineLevel="1"/>
    <col min="14" max="14" width="9.7109375" style="41" hidden="1" customWidth="1" outlineLevel="1"/>
    <col min="15" max="15" width="10.140625" style="41" hidden="1" customWidth="1" outlineLevel="1"/>
    <col min="16" max="16" width="6.7109375" style="42" hidden="1" customWidth="1" outlineLevel="1"/>
    <col min="17" max="18" width="12.7109375" style="42" hidden="1" customWidth="1" outlineLevel="1"/>
    <col min="19" max="19" width="6.7109375" style="4" hidden="1" customWidth="1" outlineLevel="1"/>
    <col min="20" max="20" width="9.7109375" style="4" hidden="1" customWidth="1" outlineLevel="1"/>
    <col min="21" max="21" width="2.7109375" style="4" hidden="1" customWidth="1" outlineLevel="1"/>
    <col min="22" max="22" width="2.7109375" style="4" customWidth="1"/>
    <col min="23" max="23" width="12.7109375" style="42" customWidth="1" collapsed="1"/>
    <col min="24" max="29" width="12.7109375" style="42" hidden="1" customWidth="1" outlineLevel="1"/>
    <col min="30" max="30" width="12.7109375" style="5" customWidth="1"/>
    <col min="31" max="31" width="2.7109375" style="5" customWidth="1"/>
    <col min="32" max="16384" width="11.42578125" style="5"/>
  </cols>
  <sheetData>
    <row r="1" spans="1:31" ht="5.0999999999999996" customHeight="1">
      <c r="A1" s="209"/>
      <c r="B1" s="1416"/>
      <c r="C1" s="1416"/>
      <c r="D1" s="1416"/>
      <c r="E1" s="1416"/>
      <c r="F1" s="210"/>
      <c r="G1" s="210"/>
      <c r="H1" s="210"/>
      <c r="I1" s="210"/>
      <c r="J1" s="5"/>
      <c r="K1" s="5"/>
      <c r="M1" s="210"/>
      <c r="N1" s="211"/>
      <c r="O1" s="211"/>
      <c r="P1" s="210"/>
      <c r="Q1" s="210"/>
      <c r="R1" s="210"/>
      <c r="W1" s="4"/>
      <c r="X1" s="4"/>
      <c r="Y1" s="4"/>
      <c r="Z1" s="4"/>
      <c r="AA1" s="4"/>
      <c r="AB1" s="4"/>
      <c r="AC1" s="4"/>
      <c r="AD1" s="4"/>
    </row>
    <row r="2" spans="1:31" ht="25.5" customHeight="1">
      <c r="A2" s="209"/>
      <c r="B2" s="1420" t="s">
        <v>589</v>
      </c>
      <c r="C2" s="1420"/>
      <c r="D2" s="1420"/>
      <c r="E2" s="1420"/>
      <c r="F2" s="1420"/>
      <c r="G2" s="1420"/>
      <c r="H2" s="1420"/>
      <c r="I2" s="1420"/>
      <c r="J2" s="1420"/>
      <c r="K2" s="1420"/>
      <c r="L2" s="1420"/>
      <c r="M2" s="1420"/>
      <c r="N2" s="1420"/>
      <c r="O2" s="1420"/>
      <c r="P2" s="1420"/>
      <c r="Q2" s="1420"/>
      <c r="R2" s="1420"/>
      <c r="S2" s="1420"/>
      <c r="T2" s="1420"/>
      <c r="U2" s="1420"/>
      <c r="V2" s="1420"/>
      <c r="W2" s="1420"/>
      <c r="X2" s="1420"/>
      <c r="Y2" s="1420"/>
      <c r="Z2" s="1420"/>
      <c r="AA2" s="1420"/>
      <c r="AB2" s="1420"/>
      <c r="AC2" s="1420"/>
      <c r="AD2" s="1420"/>
      <c r="AE2" s="1420"/>
    </row>
    <row r="3" spans="1:31" s="216" customFormat="1" ht="4.5" customHeight="1">
      <c r="A3" s="212"/>
      <c r="B3" s="213"/>
      <c r="C3" s="213"/>
      <c r="D3" s="213"/>
      <c r="E3" s="213"/>
      <c r="F3" s="213"/>
      <c r="G3" s="213"/>
      <c r="H3" s="213"/>
      <c r="I3" s="213"/>
      <c r="J3" s="185"/>
      <c r="K3" s="185"/>
      <c r="L3" s="185"/>
      <c r="M3" s="213"/>
      <c r="N3" s="214"/>
      <c r="O3" s="214"/>
      <c r="P3" s="213"/>
      <c r="Q3" s="213"/>
      <c r="R3" s="213"/>
      <c r="S3" s="215"/>
      <c r="T3" s="215"/>
      <c r="U3" s="215"/>
      <c r="V3" s="215"/>
      <c r="W3" s="185">
        <f>(COLUMN()-COLUMN($W$3))/8+1</f>
        <v>1</v>
      </c>
      <c r="X3" s="185"/>
      <c r="Y3" s="185"/>
      <c r="Z3" s="185"/>
      <c r="AA3" s="185"/>
      <c r="AB3" s="185"/>
      <c r="AC3" s="185"/>
      <c r="AD3" s="185">
        <f>2+2*W3</f>
        <v>4</v>
      </c>
    </row>
    <row r="4" spans="1:31" s="221" customFormat="1" ht="13.5" customHeight="1">
      <c r="A4" s="217"/>
      <c r="B4" s="1415" t="s">
        <v>441</v>
      </c>
      <c r="C4" s="1415"/>
      <c r="D4" s="1415"/>
      <c r="E4" s="1415"/>
      <c r="F4" s="1415"/>
      <c r="G4" s="1415"/>
      <c r="H4" s="1415"/>
      <c r="I4" s="218"/>
      <c r="J4" s="1417" t="s">
        <v>1044</v>
      </c>
      <c r="K4" s="1418"/>
      <c r="L4" s="1419"/>
      <c r="M4" s="219"/>
      <c r="N4" s="220"/>
      <c r="O4" s="220"/>
      <c r="P4" s="219"/>
      <c r="Q4" s="219"/>
      <c r="R4" s="219"/>
      <c r="W4" s="1421">
        <f>INDEX(Premises!$10:$10,1,2+2*W$3)</f>
        <v>1</v>
      </c>
      <c r="X4" s="1422"/>
      <c r="Y4" s="1422"/>
      <c r="Z4" s="1422"/>
      <c r="AA4" s="1422"/>
      <c r="AB4" s="1422"/>
      <c r="AC4" s="1422"/>
      <c r="AD4" s="1423"/>
    </row>
    <row r="5" spans="1:31" s="2" customFormat="1" ht="25.5">
      <c r="A5" s="222"/>
      <c r="B5" s="705" t="s">
        <v>69</v>
      </c>
      <c r="C5" s="700" t="s">
        <v>2167</v>
      </c>
      <c r="D5" s="705" t="s">
        <v>71</v>
      </c>
      <c r="E5" s="706" t="str">
        <f>"Price 
["&amp;InputCurrency&amp;"/Unit] "</f>
        <v xml:space="preserve">Price 
[EUR/Unit] </v>
      </c>
      <c r="F5" s="701"/>
      <c r="G5" s="701"/>
      <c r="H5" s="701"/>
      <c r="I5" s="706" t="str">
        <f>"Price
["&amp;Currency&amp;"/Unit]"</f>
        <v>Price
[EUR/Unit]</v>
      </c>
      <c r="J5" s="705" t="s">
        <v>1220</v>
      </c>
      <c r="K5" s="705" t="s">
        <v>1221</v>
      </c>
      <c r="L5" s="675" t="s">
        <v>1222</v>
      </c>
      <c r="M5" s="699" t="s">
        <v>563</v>
      </c>
      <c r="N5" s="708" t="s">
        <v>2231</v>
      </c>
      <c r="O5" s="1055" t="s">
        <v>3243</v>
      </c>
      <c r="P5" s="709" t="s">
        <v>2229</v>
      </c>
      <c r="Q5" s="709" t="s">
        <v>2230</v>
      </c>
      <c r="R5" s="992" t="str">
        <f>"Preis X
["&amp;InputCurrency&amp;"/Einheit] "</f>
        <v xml:space="preserve">Preis X
[EUR/Einheit] </v>
      </c>
      <c r="S5" s="698" t="s">
        <v>79</v>
      </c>
      <c r="T5" s="698" t="s">
        <v>1223</v>
      </c>
      <c r="U5" s="698" t="s">
        <v>918</v>
      </c>
      <c r="V5" s="1051" t="s">
        <v>916</v>
      </c>
      <c r="W5" s="223" t="str">
        <f>"Annual costs
[" &amp; Currency &amp; "/Year]"</f>
        <v>Annual costs
[EUR/Year]</v>
      </c>
      <c r="X5" s="675" t="str">
        <f>"Purchasing
[" &amp; Currency &amp; "/Year]"</f>
        <v>Purchasing
[EUR/Year]</v>
      </c>
      <c r="Y5" s="675" t="str">
        <f>"Quality
[" &amp; Currency &amp; "/Year]"</f>
        <v>Quality
[EUR/Year]</v>
      </c>
      <c r="Z5" s="710" t="str">
        <f>"Stock movement
[" &amp; Currency &amp; "/Year]"</f>
        <v>Stock movement
[EUR/Year]</v>
      </c>
      <c r="AA5" s="711" t="str">
        <f>"Capital lockup
[" &amp; Currency &amp; "/Unit]"</f>
        <v>Capital lockup
[EUR/Unit]</v>
      </c>
      <c r="AB5" s="675" t="str">
        <f>"Insurance
[" &amp; Currency &amp; "/Unit]"</f>
        <v>Insurance
[EUR/Unit]</v>
      </c>
      <c r="AC5" s="675" t="str">
        <f>"Storage costs
[" &amp; Currency &amp; "/Unit]"</f>
        <v>Storage costs
[EUR/Unit]</v>
      </c>
      <c r="AD5" s="223" t="str">
        <f>"Costs per unit
[" &amp; Currency &amp; "/Unit]"</f>
        <v>Costs per unit
[EUR/Unit]</v>
      </c>
      <c r="AE5" s="701" t="s">
        <v>38</v>
      </c>
    </row>
    <row r="6" spans="1:31" s="200" customFormat="1" ht="4.5" customHeight="1">
      <c r="B6" s="224" t="s">
        <v>2</v>
      </c>
      <c r="C6" s="225" t="s">
        <v>2170</v>
      </c>
      <c r="D6" s="226" t="s">
        <v>59</v>
      </c>
      <c r="E6" s="227" t="s">
        <v>1263</v>
      </c>
      <c r="F6" s="227" t="s">
        <v>36</v>
      </c>
      <c r="G6" s="227" t="s">
        <v>37</v>
      </c>
      <c r="H6" s="227" t="s">
        <v>435</v>
      </c>
      <c r="I6" s="227" t="s">
        <v>11</v>
      </c>
      <c r="J6" s="226" t="s">
        <v>1034</v>
      </c>
      <c r="K6" s="226" t="s">
        <v>1035</v>
      </c>
      <c r="L6" s="226" t="s">
        <v>1037</v>
      </c>
      <c r="M6" s="228" t="s">
        <v>135</v>
      </c>
      <c r="N6" s="229" t="s">
        <v>1525</v>
      </c>
      <c r="O6" s="229" t="s">
        <v>3357</v>
      </c>
      <c r="P6" s="228" t="s">
        <v>2161</v>
      </c>
      <c r="Q6" s="228" t="s">
        <v>2160</v>
      </c>
      <c r="R6" s="228" t="s">
        <v>2594</v>
      </c>
      <c r="S6" s="197" t="s">
        <v>79</v>
      </c>
      <c r="T6" s="197" t="s">
        <v>917</v>
      </c>
      <c r="U6" s="197" t="s">
        <v>918</v>
      </c>
      <c r="V6" s="197" t="s">
        <v>916</v>
      </c>
      <c r="W6" s="226" t="s">
        <v>1155</v>
      </c>
      <c r="X6" s="230" t="s">
        <v>1042</v>
      </c>
      <c r="Y6" s="230" t="s">
        <v>1043</v>
      </c>
      <c r="Z6" s="231" t="s">
        <v>1151</v>
      </c>
      <c r="AA6" s="232" t="s">
        <v>1152</v>
      </c>
      <c r="AB6" s="230" t="s">
        <v>1153</v>
      </c>
      <c r="AC6" s="230" t="s">
        <v>1154</v>
      </c>
      <c r="AD6" s="230" t="s">
        <v>1156</v>
      </c>
      <c r="AE6" s="233" t="s">
        <v>38</v>
      </c>
    </row>
    <row r="7" spans="1:31" ht="13.5" customHeight="1">
      <c r="B7" s="234" t="s">
        <v>89</v>
      </c>
      <c r="C7" s="235" t="s">
        <v>1254</v>
      </c>
      <c r="D7" s="235" t="s">
        <v>1238</v>
      </c>
      <c r="E7" s="236">
        <v>2.19</v>
      </c>
      <c r="F7" s="236"/>
      <c r="G7" s="236"/>
      <c r="H7" s="236"/>
      <c r="I7" s="707">
        <f>MAT[[#This Row],[Preis (Input)]]*ExchangeRate</f>
        <v>2.19</v>
      </c>
      <c r="J7" s="688">
        <f>IFERROR(IF(MAT[[#This Row],[Preis]]&lt;0,0,INDEX(MGK[EK],MATCH(MAT[[#This Row],[Materialklasse]],MGK[ID],0))),0)</f>
        <v>3.25</v>
      </c>
      <c r="K7" s="688">
        <f>IFERROR(IF(MAT[[#This Row],[Preis]]&lt;0,0,INDEX(MGK[PI],MATCH(MAT[[#This Row],[Materialklasse]],MGK[ID],0))),0)</f>
        <v>3.375</v>
      </c>
      <c r="L7" s="688">
        <f>IFERROR(INDEX(MGK[LA],MATCH(MAT[[#This Row],[Materialklasse]],MGK[ID],0)),0)</f>
        <v>5</v>
      </c>
      <c r="M7" s="237">
        <v>0.92</v>
      </c>
      <c r="N7" s="238">
        <v>2.87</v>
      </c>
      <c r="O7" s="238"/>
      <c r="P7" s="239">
        <v>3</v>
      </c>
      <c r="Q7" s="237" t="s">
        <v>2162</v>
      </c>
      <c r="R7" s="237"/>
      <c r="S7" s="677">
        <f>IF(ISERROR(MATCH(MAT[[#This Row],[Bezeichnung]],MAT_Used,0)),0,"X")</f>
        <v>0</v>
      </c>
      <c r="T7" s="240" t="s">
        <v>1535</v>
      </c>
      <c r="U7" s="677" t="str">
        <f>IF(AND(MAT[[#This Row],[String]]&lt;&gt;"",CONCATENATE(B7,C7,D7,ROUND(E7,3),F7,G7,H7,MAT[[#This Row],[Dichte]],MAT[[#This Row],[CO2]])=MAT[[#This Row],[String]]),"X","C")</f>
        <v>C</v>
      </c>
      <c r="V7" s="1052"/>
      <c r="W7" s="241">
        <f t="shared" ref="W7" si="0">X7+Y7+Z7</f>
        <v>221.52127127976189</v>
      </c>
      <c r="X7" s="712" cm="1">
        <f t="array" ref="X7">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7" s="712" cm="1">
        <f t="array" ref="Y7">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78.454844196428567</v>
      </c>
      <c r="Z7" s="712" cm="1">
        <f t="array" ref="Z7">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89.908749999999998</v>
      </c>
      <c r="AA7" s="713" cm="1">
        <f t="array" ref="AA7">IFERROR(MAX(0,INDEX(Premises!$26:$26,1,2+2*W$3)/100*INDEX(MGK[Lagerreichweite],MATCH(MAT[[#This Row],[Materialklasse]],MGK[ID],0))/52*MAT[[#This Row],[Preis]]),0)</f>
        <v>1.2061846153846152E-2</v>
      </c>
      <c r="AB7" s="713">
        <f>IFERROR(MAX(0,INDEX(MGK[Lagerreichweite],MATCH(MAT[[#This Row],[Materialklasse]],MGK[ID],0))/52*12*0.26/1000*MAT[[#This Row],[Preis]]),0)</f>
        <v>5.2559999999999998E-4</v>
      </c>
      <c r="AC7" s="712" cm="1">
        <f t="array" ref="AC7">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7,MGK[ID],0))+INDEX(Premises!$26:$26,1,2+2*W$3)/100*INDEX(MGK[L-Invest],MATCH($C7,MGK[ID],0))*0.5/(365*24)+INDEX(Premises!$24:$24,1,2+2*W$3)*INDEX(MGK[L-kWh],MATCH($C7,MGK[ID],0))+INDEX(Premises!$23:$23,1,2+2*W$3)*INDEX(MGK[L-m²],MATCH($C7,MGK[ID],0))*12/(365*24))),0)</f>
        <v>6.4735897435897437E-3</v>
      </c>
      <c r="AD7" s="242">
        <f t="shared" ref="AD7" si="1">AA7+AB7+AC7</f>
        <v>1.9061035897435893E-2</v>
      </c>
    </row>
    <row r="8" spans="1:31">
      <c r="B8" s="1165" t="s">
        <v>4029</v>
      </c>
      <c r="C8" s="1166" t="s">
        <v>1262</v>
      </c>
      <c r="D8" s="1166" t="s">
        <v>2319</v>
      </c>
      <c r="E8" s="1167">
        <v>1.5740000000000001</v>
      </c>
      <c r="F8" s="1167"/>
      <c r="G8" s="1167"/>
      <c r="H8" s="1167"/>
      <c r="I8" s="1168">
        <f>MAT[[#This Row],[Preis (Input)]]*ExchangeRate</f>
        <v>1.5740000000000001</v>
      </c>
      <c r="J8" s="1169">
        <f>IFERROR(IF(MAT[[#This Row],[Preis]]&lt;0,0,INDEX(MGK[EK],MATCH(MAT[[#This Row],[Materialklasse]],MGK[ID],0))),0)</f>
        <v>3.25</v>
      </c>
      <c r="K8" s="1169">
        <f>IFERROR(IF(MAT[[#This Row],[Preis]]&lt;0,0,INDEX(MGK[PI],MATCH(MAT[[#This Row],[Materialklasse]],MGK[ID],0))),0)</f>
        <v>6.75</v>
      </c>
      <c r="L8" s="1169">
        <f>IFERROR(INDEX(MGK[LA],MATCH(MAT[[#This Row],[Materialklasse]],MGK[ID],0)),0)</f>
        <v>5</v>
      </c>
      <c r="M8" s="1170"/>
      <c r="N8" s="1171"/>
      <c r="O8" s="1171"/>
      <c r="P8" s="1172"/>
      <c r="Q8" s="1170"/>
      <c r="R8" s="237"/>
      <c r="S8" s="1173">
        <f>IF(ISERROR(MATCH(MAT[[#This Row],[Bezeichnung]],MAT_Used,0)),0,"X")</f>
        <v>0</v>
      </c>
      <c r="T8" s="1174" t="s">
        <v>4028</v>
      </c>
      <c r="U8" s="1173" t="str">
        <f>IF(AND(MAT[[#This Row],[String]]&lt;&gt;"",CONCATENATE(B8,C8,D8,ROUND(E8,3),F8,G8,H8,MAT[[#This Row],[Dichte]],MAT[[#This Row],[CO2]])=MAT[[#This Row],[String]]),"X","C")</f>
        <v>X</v>
      </c>
      <c r="V8" s="1175" t="s">
        <v>4030</v>
      </c>
      <c r="W8" s="1176">
        <f t="shared" ref="W8:W15" si="2">X8+Y8+Z8</f>
        <v>299.97611547619044</v>
      </c>
      <c r="X8" s="1177" cm="1">
        <f t="array" ref="X8">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8" s="1177" cm="1">
        <f t="array" ref="Y8">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156.90968839285713</v>
      </c>
      <c r="Z8" s="1177" cm="1">
        <f t="array" ref="Z8">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89.908749999999998</v>
      </c>
      <c r="AA8" s="1178" cm="1">
        <f t="array" ref="AA8">IFERROR(MAX(0,INDEX(Premises!$26:$26,1,2+2*W$3)/100*INDEX(MGK[Lagerreichweite],MATCH(MAT[[#This Row],[Materialklasse]],MGK[ID],0))/52*MAT[[#This Row],[Preis]]),0)</f>
        <v>8.6691076923076926E-3</v>
      </c>
      <c r="AB8" s="1178">
        <f>IFERROR(MAX(0,INDEX(MGK[Lagerreichweite],MATCH(MAT[[#This Row],[Materialklasse]],MGK[ID],0))/52*12*0.26/1000*MAT[[#This Row],[Preis]]),0)</f>
        <v>3.7776000000000004E-4</v>
      </c>
      <c r="AC8" s="1177" cm="1">
        <f t="array" ref="AC8">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8,MGK[ID],0))+INDEX(Premises!$26:$26,1,2+2*W$3)/100*INDEX(MGK[L-Invest],MATCH($C8,MGK[ID],0))*0.5/(365*24)+INDEX(Premises!$24:$24,1,2+2*W$3)*INDEX(MGK[L-kWh],MATCH($C8,MGK[ID],0))+INDEX(Premises!$23:$23,1,2+2*W$3)*INDEX(MGK[L-m²],MATCH($C8,MGK[ID],0))*12/(365*24))),0)</f>
        <v>0</v>
      </c>
      <c r="AD8" s="1179">
        <f t="shared" ref="AD8:AD15" si="3">AA8+AB8+AC8</f>
        <v>9.0468676923076922E-3</v>
      </c>
    </row>
    <row r="9" spans="1:31">
      <c r="B9" s="1165" t="s">
        <v>4031</v>
      </c>
      <c r="C9" s="1166" t="s">
        <v>1262</v>
      </c>
      <c r="D9" s="1166" t="s">
        <v>2319</v>
      </c>
      <c r="E9" s="1167">
        <v>0.746</v>
      </c>
      <c r="F9" s="1167"/>
      <c r="G9" s="1167"/>
      <c r="H9" s="1167"/>
      <c r="I9" s="1168">
        <f>MAT[[#This Row],[Preis (Input)]]*ExchangeRate</f>
        <v>0.746</v>
      </c>
      <c r="J9" s="1169">
        <f>IFERROR(IF(MAT[[#This Row],[Preis]]&lt;0,0,INDEX(MGK[EK],MATCH(MAT[[#This Row],[Materialklasse]],MGK[ID],0))),0)</f>
        <v>3.25</v>
      </c>
      <c r="K9" s="1169">
        <f>IFERROR(IF(MAT[[#This Row],[Preis]]&lt;0,0,INDEX(MGK[PI],MATCH(MAT[[#This Row],[Materialklasse]],MGK[ID],0))),0)</f>
        <v>6.75</v>
      </c>
      <c r="L9" s="1169">
        <f>IFERROR(INDEX(MGK[LA],MATCH(MAT[[#This Row],[Materialklasse]],MGK[ID],0)),0)</f>
        <v>5</v>
      </c>
      <c r="M9" s="1170"/>
      <c r="N9" s="1171"/>
      <c r="O9" s="1171"/>
      <c r="P9" s="1172"/>
      <c r="Q9" s="1170"/>
      <c r="R9" s="237"/>
      <c r="S9" s="1173">
        <f>IF(ISERROR(MATCH(MAT[[#This Row],[Bezeichnung]],MAT_Used,0)),0,"X")</f>
        <v>0</v>
      </c>
      <c r="T9" s="1174" t="s">
        <v>4028</v>
      </c>
      <c r="U9" s="1173" t="str">
        <f>IF(AND(MAT[[#This Row],[String]]&lt;&gt;"",CONCATENATE(B9,C9,D9,ROUND(E9,3),F9,G9,H9,MAT[[#This Row],[Dichte]],MAT[[#This Row],[CO2]])=MAT[[#This Row],[String]]),"X","C")</f>
        <v>X</v>
      </c>
      <c r="V9" s="1175" t="s">
        <v>4032</v>
      </c>
      <c r="W9" s="1176">
        <f t="shared" si="2"/>
        <v>299.97611547619044</v>
      </c>
      <c r="X9" s="1177" cm="1">
        <f t="array" ref="X9">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9" s="1177" cm="1">
        <f t="array" ref="Y9">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156.90968839285713</v>
      </c>
      <c r="Z9" s="1177" cm="1">
        <f t="array" ref="Z9">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89.908749999999998</v>
      </c>
      <c r="AA9" s="1178" cm="1">
        <f t="array" ref="AA9">IFERROR(MAX(0,INDEX(Premises!$26:$26,1,2+2*W$3)/100*INDEX(MGK[Lagerreichweite],MATCH(MAT[[#This Row],[Materialklasse]],MGK[ID],0))/52*MAT[[#This Row],[Preis]]),0)</f>
        <v>4.1087384615384609E-3</v>
      </c>
      <c r="AB9" s="1178">
        <f>IFERROR(MAX(0,INDEX(MGK[Lagerreichweite],MATCH(MAT[[#This Row],[Materialklasse]],MGK[ID],0))/52*12*0.26/1000*MAT[[#This Row],[Preis]]),0)</f>
        <v>1.7903999999999999E-4</v>
      </c>
      <c r="AC9" s="1177" cm="1">
        <f t="array" ref="AC9">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9,MGK[ID],0))+INDEX(Premises!$26:$26,1,2+2*W$3)/100*INDEX(MGK[L-Invest],MATCH($C9,MGK[ID],0))*0.5/(365*24)+INDEX(Premises!$24:$24,1,2+2*W$3)*INDEX(MGK[L-kWh],MATCH($C9,MGK[ID],0))+INDEX(Premises!$23:$23,1,2+2*W$3)*INDEX(MGK[L-m²],MATCH($C9,MGK[ID],0))*12/(365*24))),0)</f>
        <v>0</v>
      </c>
      <c r="AD9" s="1179">
        <f t="shared" si="3"/>
        <v>4.287778461538461E-3</v>
      </c>
    </row>
    <row r="10" spans="1:31">
      <c r="B10" s="1302" t="s">
        <v>4094</v>
      </c>
      <c r="C10" s="1166" t="s">
        <v>1262</v>
      </c>
      <c r="D10" s="1166" t="s">
        <v>2319</v>
      </c>
      <c r="E10" s="1303">
        <v>3.28</v>
      </c>
      <c r="F10" s="1304"/>
      <c r="G10" s="1304"/>
      <c r="H10" s="1304"/>
      <c r="I10" s="1305">
        <f>MAT[[#This Row],[Preis (Input)]]*ExchangeRate</f>
        <v>3.28</v>
      </c>
      <c r="J10" s="1306">
        <f>IFERROR(IF(MAT[[#This Row],[Preis]]&lt;0,0,INDEX(MGK[EK],MATCH(MAT[[#This Row],[Materialklasse]],MGK[ID],0))),0)</f>
        <v>3.25</v>
      </c>
      <c r="K10" s="1306">
        <f>IFERROR(IF(MAT[[#This Row],[Preis]]&lt;0,0,INDEX(MGK[PI],MATCH(MAT[[#This Row],[Materialklasse]],MGK[ID],0))),0)</f>
        <v>6.75</v>
      </c>
      <c r="L10" s="1306">
        <f>IFERROR(INDEX(MGK[LA],MATCH(MAT[[#This Row],[Materialklasse]],MGK[ID],0)),0)</f>
        <v>5</v>
      </c>
      <c r="M10" s="1307"/>
      <c r="N10" s="1308"/>
      <c r="O10" s="1308"/>
      <c r="P10" s="1309"/>
      <c r="Q10" s="1307"/>
      <c r="R10" s="532"/>
      <c r="S10" s="1310">
        <f>IF(ISERROR(MATCH(MAT[[#This Row],[Bezeichnung]],MAT_Used,0)),0,"X")</f>
        <v>0</v>
      </c>
      <c r="T10" s="1311" t="s">
        <v>4028</v>
      </c>
      <c r="U10" s="1310" t="str">
        <f>IF(AND(MAT[[#This Row],[String]]&lt;&gt;"",CONCATENATE(B10,C10,D10,ROUND(E10,3),F10,G10,H10,MAT[[#This Row],[Dichte]],MAT[[#This Row],[CO2]])=MAT[[#This Row],[String]]),"X","C")</f>
        <v>C</v>
      </c>
      <c r="V10" s="1312"/>
      <c r="W10" s="1313">
        <f t="shared" si="2"/>
        <v>299.97611547619044</v>
      </c>
      <c r="X10" s="1314" cm="1">
        <f t="array" ref="X10">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10" s="1314" cm="1">
        <f t="array" ref="Y10">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156.90968839285713</v>
      </c>
      <c r="Z10" s="1314" cm="1">
        <f t="array" ref="Z10">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89.908749999999998</v>
      </c>
      <c r="AA10" s="1315" cm="1">
        <f t="array" ref="AA10">IFERROR(MAX(0,INDEX(Premises!$26:$26,1,2+2*W$3)/100*INDEX(MGK[Lagerreichweite],MATCH(MAT[[#This Row],[Materialklasse]],MGK[ID],0))/52*MAT[[#This Row],[Preis]]),0)</f>
        <v>1.8065230769230767E-2</v>
      </c>
      <c r="AB10" s="1315">
        <f>IFERROR(MAX(0,INDEX(MGK[Lagerreichweite],MATCH(MAT[[#This Row],[Materialklasse]],MGK[ID],0))/52*12*0.26/1000*MAT[[#This Row],[Preis]]),0)</f>
        <v>7.8719999999999994E-4</v>
      </c>
      <c r="AC10" s="1314" cm="1">
        <f t="array" ref="AC10">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10,MGK[ID],0))+INDEX(Premises!$26:$26,1,2+2*W$3)/100*INDEX(MGK[L-Invest],MATCH($C10,MGK[ID],0))*0.5/(365*24)+INDEX(Premises!$24:$24,1,2+2*W$3)*INDEX(MGK[L-kWh],MATCH($C10,MGK[ID],0))+INDEX(Premises!$23:$23,1,2+2*W$3)*INDEX(MGK[L-m²],MATCH($C10,MGK[ID],0))*12/(365*24))),0)</f>
        <v>0</v>
      </c>
      <c r="AD10" s="1316">
        <f t="shared" si="3"/>
        <v>1.8852430769230766E-2</v>
      </c>
    </row>
    <row r="11" spans="1:31">
      <c r="B11" s="234" t="s">
        <v>4124</v>
      </c>
      <c r="C11" s="235" t="s">
        <v>1103</v>
      </c>
      <c r="D11" s="235" t="s">
        <v>1528</v>
      </c>
      <c r="E11" s="236">
        <v>5.6639999999999998E-3</v>
      </c>
      <c r="F11" s="235"/>
      <c r="G11" s="235"/>
      <c r="H11" s="235"/>
      <c r="I11" s="707">
        <f>MAT[[#This Row],[Preis (Input)]]*ExchangeRate</f>
        <v>5.6639999999999998E-3</v>
      </c>
      <c r="J11" s="688">
        <f>IFERROR(IF(MAT[[#This Row],[Preis]]&lt;0,0,INDEX(MGK[EK],MATCH(MAT[[#This Row],[Materialklasse]],MGK[ID],0))),0)</f>
        <v>0</v>
      </c>
      <c r="K11" s="688">
        <f>IFERROR(IF(MAT[[#This Row],[Preis]]&lt;0,0,INDEX(MGK[PI],MATCH(MAT[[#This Row],[Materialklasse]],MGK[ID],0))),0)</f>
        <v>0</v>
      </c>
      <c r="L11" s="688">
        <f>IFERROR(INDEX(MGK[LA],MATCH(MAT[[#This Row],[Materialklasse]],MGK[ID],0)),0)</f>
        <v>0</v>
      </c>
      <c r="M11" s="237"/>
      <c r="N11" s="238">
        <v>7.3000000000000001E-3</v>
      </c>
      <c r="O11" s="238"/>
      <c r="P11" s="239">
        <v>6</v>
      </c>
      <c r="Q11" s="237"/>
      <c r="R11" s="237"/>
      <c r="S11" s="677" t="str">
        <f>IF(ISERROR(MATCH(MAT[[#This Row],[Bezeichnung]],MAT_Used,0)),0,"X")</f>
        <v>X</v>
      </c>
      <c r="T11" s="1318" t="s">
        <v>4123</v>
      </c>
      <c r="U11" s="677" t="str">
        <f>IF(AND(MAT[[#This Row],[String]]&lt;&gt;"",CONCATENATE(B11,C11,D11,ROUND(E11,3),F11,G11,H11,MAT[[#This Row],[Dichte]],MAT[[#This Row],[CO2]])=MAT[[#This Row],[String]]),"X","C")</f>
        <v>C</v>
      </c>
      <c r="V11" s="1052" t="s">
        <v>4125</v>
      </c>
      <c r="W11" s="241">
        <f t="shared" si="2"/>
        <v>0</v>
      </c>
      <c r="X11" s="712" cm="1">
        <f t="array" ref="X11">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0</v>
      </c>
      <c r="Y11" s="712" cm="1">
        <f t="array" ref="Y11">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0</v>
      </c>
      <c r="Z11" s="712" cm="1">
        <f t="array" ref="Z11">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0</v>
      </c>
      <c r="AA11" s="713" cm="1">
        <f t="array" ref="AA11">IFERROR(MAX(0,INDEX(Premises!$26:$26,1,2+2*W$3)/100*INDEX(MGK[Lagerreichweite],MATCH(MAT[[#This Row],[Materialklasse]],MGK[ID],0))/52*MAT[[#This Row],[Preis]]),0)</f>
        <v>0</v>
      </c>
      <c r="AB11" s="713">
        <f>IFERROR(MAX(0,INDEX(MGK[Lagerreichweite],MATCH(MAT[[#This Row],[Materialklasse]],MGK[ID],0))/52*12*0.26/1000*MAT[[#This Row],[Preis]]),0)</f>
        <v>0</v>
      </c>
      <c r="AC11" s="712" cm="1">
        <f t="array" ref="AC11">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11,MGK[ID],0))+INDEX(Premises!$26:$26,1,2+2*W$3)/100*INDEX(MGK[L-Invest],MATCH($C11,MGK[ID],0))*0.5/(365*24)+INDEX(Premises!$24:$24,1,2+2*W$3)*INDEX(MGK[L-kWh],MATCH($C11,MGK[ID],0))+INDEX(Premises!$23:$23,1,2+2*W$3)*INDEX(MGK[L-m²],MATCH($C11,MGK[ID],0))*12/(365*24))),0)</f>
        <v>0</v>
      </c>
      <c r="AD11" s="1319">
        <f t="shared" si="3"/>
        <v>0</v>
      </c>
    </row>
    <row r="12" spans="1:31">
      <c r="B12" s="1165" t="s">
        <v>4126</v>
      </c>
      <c r="C12" s="1166" t="s">
        <v>1257</v>
      </c>
      <c r="D12" s="1166" t="s">
        <v>1238</v>
      </c>
      <c r="E12" s="1167">
        <v>2.0960000000000001</v>
      </c>
      <c r="F12" s="1166"/>
      <c r="G12" s="1166"/>
      <c r="H12" s="1166"/>
      <c r="I12" s="1168">
        <f>MAT[[#This Row],[Preis (Input)]]*ExchangeRate</f>
        <v>2.0960000000000001</v>
      </c>
      <c r="J12" s="1169">
        <f>IFERROR(IF(MAT[[#This Row],[Preis]]&lt;0,0,INDEX(MGK[EK],MATCH(MAT[[#This Row],[Materialklasse]],MGK[ID],0))),0)</f>
        <v>3.25</v>
      </c>
      <c r="K12" s="1169">
        <f>IFERROR(IF(MAT[[#This Row],[Preis]]&lt;0,0,INDEX(MGK[PI],MATCH(MAT[[#This Row],[Materialklasse]],MGK[ID],0))),0)</f>
        <v>3.375</v>
      </c>
      <c r="L12" s="1169">
        <f>IFERROR(INDEX(MGK[LA],MATCH(MAT[[#This Row],[Materialklasse]],MGK[ID],0)),0)</f>
        <v>5</v>
      </c>
      <c r="M12" s="1170">
        <v>2.7</v>
      </c>
      <c r="N12" s="1171">
        <v>10.6</v>
      </c>
      <c r="O12" s="1171"/>
      <c r="P12" s="1172"/>
      <c r="Q12" s="1170" t="s">
        <v>4127</v>
      </c>
      <c r="R12" s="237"/>
      <c r="S12" s="1173" t="str">
        <f>IF(ISERROR(MATCH(MAT[[#This Row],[Bezeichnung]],MAT_Used,0)),0,"X")</f>
        <v>X</v>
      </c>
      <c r="T12" s="1174" t="s">
        <v>4123</v>
      </c>
      <c r="U12" s="1173" t="str">
        <f>IF(AND(MAT[[#This Row],[String]]&lt;&gt;"",CONCATENATE(B12,C12,D12,ROUND(E12,3),F12,G12,H12,MAT[[#This Row],[Dichte]],MAT[[#This Row],[CO2]])=MAT[[#This Row],[String]]),"X","C")</f>
        <v>C</v>
      </c>
      <c r="V12" s="1175" t="s">
        <v>4128</v>
      </c>
      <c r="W12" s="1176">
        <f t="shared" si="2"/>
        <v>205.07533377976188</v>
      </c>
      <c r="X12" s="1177" cm="1">
        <f t="array" ref="X12">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12" s="1177" cm="1">
        <f t="array" ref="Y12">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78.454844196428567</v>
      </c>
      <c r="Z12" s="1177" cm="1">
        <f t="array" ref="Z12">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73.462812499999998</v>
      </c>
      <c r="AA12" s="1178" cm="1">
        <f t="array" ref="AA12">IFERROR(MAX(0,INDEX(Premises!$26:$26,1,2+2*W$3)/100*INDEX(MGK[Lagerreichweite],MATCH(MAT[[#This Row],[Materialklasse]],MGK[ID],0))/52*MAT[[#This Row],[Preis]]),0)</f>
        <v>1.1544123076923077E-2</v>
      </c>
      <c r="AB12" s="1178">
        <f>IFERROR(MAX(0,INDEX(MGK[Lagerreichweite],MATCH(MAT[[#This Row],[Materialklasse]],MGK[ID],0))/52*12*0.26/1000*MAT[[#This Row],[Preis]]),0)</f>
        <v>5.0304000000000006E-4</v>
      </c>
      <c r="AC12" s="1177" cm="1">
        <f t="array" ref="AC12">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12,MGK[ID],0))+INDEX(Premises!$26:$26,1,2+2*W$3)/100*INDEX(MGK[L-Invest],MATCH($C12,MGK[ID],0))*0.5/(365*24)+INDEX(Premises!$24:$24,1,2+2*W$3)*INDEX(MGK[L-kWh],MATCH($C12,MGK[ID],0))+INDEX(Premises!$23:$23,1,2+2*W$3)*INDEX(MGK[L-m²],MATCH($C12,MGK[ID],0))*12/(365*24))),0)</f>
        <v>9.7767343589743607E-4</v>
      </c>
      <c r="AD12" s="1320">
        <f t="shared" si="3"/>
        <v>1.3024836512820513E-2</v>
      </c>
    </row>
    <row r="13" spans="1:31">
      <c r="B13" s="1302" t="s">
        <v>4218</v>
      </c>
      <c r="C13" s="1304" t="s">
        <v>962</v>
      </c>
      <c r="D13" s="1304" t="s">
        <v>2091</v>
      </c>
      <c r="E13" s="1303">
        <f>'E-BOM Big PCB'!C3</f>
        <v>5.303179842893095</v>
      </c>
      <c r="F13" s="1304"/>
      <c r="G13" s="1304"/>
      <c r="H13" s="1304"/>
      <c r="I13" s="1305">
        <f>MAT[[#This Row],[Preis (Input)]]*ExchangeRate</f>
        <v>5.303179842893095</v>
      </c>
      <c r="J13" s="1306">
        <f>IFERROR(IF(MAT[[#This Row],[Preis]]&lt;0,0,INDEX(MGK[EK],MATCH(MAT[[#This Row],[Materialklasse]],MGK[ID],0))),0)</f>
        <v>3.25</v>
      </c>
      <c r="K13" s="1306">
        <f>IFERROR(IF(MAT[[#This Row],[Preis]]&lt;0,0,INDEX(MGK[PI],MATCH(MAT[[#This Row],[Materialklasse]],MGK[ID],0))),0)</f>
        <v>1.7999999999999998</v>
      </c>
      <c r="L13" s="1306">
        <f>IFERROR(INDEX(MGK[LA],MATCH(MAT[[#This Row],[Materialklasse]],MGK[ID],0)),0)</f>
        <v>0.10416666666666667</v>
      </c>
      <c r="M13" s="1307"/>
      <c r="N13" s="1308"/>
      <c r="O13" s="1308"/>
      <c r="P13" s="1309"/>
      <c r="Q13" s="1307"/>
      <c r="R13" s="532"/>
      <c r="S13" s="1310" t="str">
        <f>IF(ISERROR(MATCH(MAT[[#This Row],[Bezeichnung]],MAT_Used,0)),0,"X")</f>
        <v>X</v>
      </c>
      <c r="T13" s="1311" t="s">
        <v>4221</v>
      </c>
      <c r="U13" s="1310" t="str">
        <f>IF(AND(MAT[[#This Row],[String]]&lt;&gt;"",CONCATENATE(B13,C13,D13,ROUND(E13,3),F13,G13,H13,MAT[[#This Row],[Dichte]],MAT[[#This Row],[CO2]])=MAT[[#This Row],[String]]),"X","C")</f>
        <v>C</v>
      </c>
      <c r="V13" s="1312"/>
      <c r="W13" s="1313">
        <f t="shared" si="2"/>
        <v>193.32891197916663</v>
      </c>
      <c r="X13" s="1314" cm="1">
        <f t="array" ref="X13">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13" s="1314" cm="1">
        <f t="array" ref="Y13">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138.97754999999998</v>
      </c>
      <c r="Z13" s="1314" cm="1">
        <f t="array" ref="Z13">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1.1936848958333333</v>
      </c>
      <c r="AA13" s="1315" cm="1">
        <f t="array" ref="AA13">IFERROR(MAX(0,INDEX(Premises!$26:$26,1,2+2*W$3)/100*INDEX(MGK[Lagerreichweite],MATCH(MAT[[#This Row],[Materialklasse]],MGK[ID],0))/52*MAT[[#This Row],[Preis]]),0)</f>
        <v>2.9208282827011198E-2</v>
      </c>
      <c r="AB13" s="1315">
        <f>IFERROR(MAX(0,INDEX(MGK[Lagerreichweite],MATCH(MAT[[#This Row],[Materialklasse]],MGK[ID],0))/52*12*0.26/1000*MAT[[#This Row],[Preis]]),0)</f>
        <v>1.2727631622943428E-3</v>
      </c>
      <c r="AC13" s="1314" cm="1">
        <f t="array" ref="AC13">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13,MGK[ID],0))+INDEX(Premises!$26:$26,1,2+2*W$3)/100*INDEX(MGK[L-Invest],MATCH($C13,MGK[ID],0))*0.5/(365*24)+INDEX(Premises!$24:$24,1,2+2*W$3)*INDEX(MGK[L-kWh],MATCH($C13,MGK[ID],0))+INDEX(Premises!$23:$23,1,2+2*W$3)*INDEX(MGK[L-m²],MATCH($C13,MGK[ID],0))*12/(365*24))),0)</f>
        <v>1.4863958974358974E-4</v>
      </c>
      <c r="AD13" s="1316">
        <f t="shared" si="3"/>
        <v>3.0629685579049132E-2</v>
      </c>
    </row>
    <row r="14" spans="1:31">
      <c r="B14" s="1302" t="s">
        <v>4219</v>
      </c>
      <c r="C14" s="1304" t="s">
        <v>962</v>
      </c>
      <c r="D14" s="1304" t="s">
        <v>2091</v>
      </c>
      <c r="E14" s="1303">
        <f>'E-BOM Small PCB'!C3</f>
        <v>10.024187102699948</v>
      </c>
      <c r="F14" s="1304"/>
      <c r="G14" s="1304"/>
      <c r="H14" s="1304"/>
      <c r="I14" s="1305">
        <f>MAT[[#This Row],[Preis (Input)]]*ExchangeRate</f>
        <v>10.024187102699948</v>
      </c>
      <c r="J14" s="1306">
        <f>IFERROR(IF(MAT[[#This Row],[Preis]]&lt;0,0,INDEX(MGK[EK],MATCH(MAT[[#This Row],[Materialklasse]],MGK[ID],0))),0)</f>
        <v>3.25</v>
      </c>
      <c r="K14" s="1306">
        <f>IFERROR(IF(MAT[[#This Row],[Preis]]&lt;0,0,INDEX(MGK[PI],MATCH(MAT[[#This Row],[Materialklasse]],MGK[ID],0))),0)</f>
        <v>1.7999999999999998</v>
      </c>
      <c r="L14" s="1306">
        <f>IFERROR(INDEX(MGK[LA],MATCH(MAT[[#This Row],[Materialklasse]],MGK[ID],0)),0)</f>
        <v>0.10416666666666667</v>
      </c>
      <c r="M14" s="1307"/>
      <c r="N14" s="1308"/>
      <c r="O14" s="1308"/>
      <c r="P14" s="1309"/>
      <c r="Q14" s="1307"/>
      <c r="R14" s="532"/>
      <c r="S14" s="1310" t="str">
        <f>IF(ISERROR(MATCH(MAT[[#This Row],[Bezeichnung]],MAT_Used,0)),0,"X")</f>
        <v>X</v>
      </c>
      <c r="T14" s="1311" t="s">
        <v>4221</v>
      </c>
      <c r="U14" s="1310" t="str">
        <f>IF(AND(MAT[[#This Row],[String]]&lt;&gt;"",CONCATENATE(B14,C14,D14,ROUND(E14,3),F14,G14,H14,MAT[[#This Row],[Dichte]],MAT[[#This Row],[CO2]])=MAT[[#This Row],[String]]),"X","C")</f>
        <v>C</v>
      </c>
      <c r="V14" s="1312"/>
      <c r="W14" s="1313">
        <f t="shared" si="2"/>
        <v>193.32891197916663</v>
      </c>
      <c r="X14" s="1314" cm="1">
        <f t="array" ref="X14">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14" s="1314" cm="1">
        <f t="array" ref="Y14">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138.97754999999998</v>
      </c>
      <c r="Z14" s="1314" cm="1">
        <f t="array" ref="Z14">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1.1936848958333333</v>
      </c>
      <c r="AA14" s="1315" cm="1">
        <f t="array" ref="AA14">IFERROR(MAX(0,INDEX(Premises!$26:$26,1,2+2*W$3)/100*INDEX(MGK[Lagerreichweite],MATCH(MAT[[#This Row],[Materialklasse]],MGK[ID],0))/52*MAT[[#This Row],[Preis]]),0)</f>
        <v>5.5210138196408937E-2</v>
      </c>
      <c r="AB14" s="1315">
        <f>IFERROR(MAX(0,INDEX(MGK[Lagerreichweite],MATCH(MAT[[#This Row],[Materialklasse]],MGK[ID],0))/52*12*0.26/1000*MAT[[#This Row],[Preis]]),0)</f>
        <v>2.4058049046479877E-3</v>
      </c>
      <c r="AC14" s="1314" cm="1">
        <f t="array" ref="AC14">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14,MGK[ID],0))+INDEX(Premises!$26:$26,1,2+2*W$3)/100*INDEX(MGK[L-Invest],MATCH($C14,MGK[ID],0))*0.5/(365*24)+INDEX(Premises!$24:$24,1,2+2*W$3)*INDEX(MGK[L-kWh],MATCH($C14,MGK[ID],0))+INDEX(Premises!$23:$23,1,2+2*W$3)*INDEX(MGK[L-m²],MATCH($C14,MGK[ID],0))*12/(365*24))),0)</f>
        <v>1.4863958974358974E-4</v>
      </c>
      <c r="AD14" s="1316">
        <f t="shared" si="3"/>
        <v>5.7764582690800509E-2</v>
      </c>
    </row>
    <row r="15" spans="1:31">
      <c r="B15" s="1302" t="s">
        <v>4220</v>
      </c>
      <c r="C15" s="1304" t="s">
        <v>962</v>
      </c>
      <c r="D15" s="1304" t="s">
        <v>2091</v>
      </c>
      <c r="E15" s="1303">
        <f>'E-BOM Flex PCB'!C3</f>
        <v>2.5832849718895403</v>
      </c>
      <c r="F15" s="1304"/>
      <c r="G15" s="1304"/>
      <c r="H15" s="1304"/>
      <c r="I15" s="1305">
        <f>MAT[[#This Row],[Preis (Input)]]*ExchangeRate</f>
        <v>2.5832849718895403</v>
      </c>
      <c r="J15" s="1306">
        <f>IFERROR(IF(MAT[[#This Row],[Preis]]&lt;0,0,INDEX(MGK[EK],MATCH(MAT[[#This Row],[Materialklasse]],MGK[ID],0))),0)</f>
        <v>3.25</v>
      </c>
      <c r="K15" s="1306">
        <f>IFERROR(IF(MAT[[#This Row],[Preis]]&lt;0,0,INDEX(MGK[PI],MATCH(MAT[[#This Row],[Materialklasse]],MGK[ID],0))),0)</f>
        <v>1.7999999999999998</v>
      </c>
      <c r="L15" s="1306">
        <f>IFERROR(INDEX(MGK[LA],MATCH(MAT[[#This Row],[Materialklasse]],MGK[ID],0)),0)</f>
        <v>0.10416666666666667</v>
      </c>
      <c r="M15" s="1307"/>
      <c r="N15" s="1308"/>
      <c r="O15" s="1308"/>
      <c r="P15" s="1309"/>
      <c r="Q15" s="1307"/>
      <c r="R15" s="532"/>
      <c r="S15" s="1310" t="str">
        <f>IF(ISERROR(MATCH(MAT[[#This Row],[Bezeichnung]],MAT_Used,0)),0,"X")</f>
        <v>X</v>
      </c>
      <c r="T15" s="1311" t="s">
        <v>4221</v>
      </c>
      <c r="U15" s="1310" t="str">
        <f>IF(AND(MAT[[#This Row],[String]]&lt;&gt;"",CONCATENATE(B15,C15,D15,ROUND(E15,3),F15,G15,H15,MAT[[#This Row],[Dichte]],MAT[[#This Row],[CO2]])=MAT[[#This Row],[String]]),"X","C")</f>
        <v>C</v>
      </c>
      <c r="V15" s="1312"/>
      <c r="W15" s="1313">
        <f t="shared" si="2"/>
        <v>193.32891197916663</v>
      </c>
      <c r="X15" s="1314" cm="1">
        <f t="array" ref="X15">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15" s="1314" cm="1">
        <f t="array" ref="Y15">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138.97754999999998</v>
      </c>
      <c r="Z15" s="1314" cm="1">
        <f t="array" ref="Z15">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1.1936848958333333</v>
      </c>
      <c r="AA15" s="1315" cm="1">
        <f t="array" ref="AA15">IFERROR(MAX(0,INDEX(Premises!$26:$26,1,2+2*W$3)/100*INDEX(MGK[Lagerreichweite],MATCH(MAT[[#This Row],[Materialklasse]],MGK[ID],0))/52*MAT[[#This Row],[Preis]]),0)</f>
        <v>1.422793876825316E-2</v>
      </c>
      <c r="AB15" s="1315">
        <f>IFERROR(MAX(0,INDEX(MGK[Lagerreichweite],MATCH(MAT[[#This Row],[Materialklasse]],MGK[ID],0))/52*12*0.26/1000*MAT[[#This Row],[Preis]]),0)</f>
        <v>6.199883932534897E-4</v>
      </c>
      <c r="AC15" s="1314" cm="1">
        <f t="array" ref="AC15">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15,MGK[ID],0))+INDEX(Premises!$26:$26,1,2+2*W$3)/100*INDEX(MGK[L-Invest],MATCH($C15,MGK[ID],0))*0.5/(365*24)+INDEX(Premises!$24:$24,1,2+2*W$3)*INDEX(MGK[L-kWh],MATCH($C15,MGK[ID],0))+INDEX(Premises!$23:$23,1,2+2*W$3)*INDEX(MGK[L-m²],MATCH($C15,MGK[ID],0))*12/(365*24))),0)</f>
        <v>1.4863958974358974E-4</v>
      </c>
      <c r="AD15" s="1316">
        <f t="shared" si="3"/>
        <v>1.4996566751250238E-2</v>
      </c>
    </row>
    <row r="16" spans="1:31">
      <c r="B16" s="234" t="s">
        <v>4227</v>
      </c>
      <c r="C16" s="235" t="s">
        <v>1254</v>
      </c>
      <c r="D16" s="235" t="s">
        <v>1238</v>
      </c>
      <c r="E16" s="236">
        <v>1.58</v>
      </c>
      <c r="F16" s="235"/>
      <c r="G16" s="235"/>
      <c r="H16" s="235"/>
      <c r="I16" s="707">
        <f>MAT[[#This Row],[Preis (Input)]]*ExchangeRate</f>
        <v>1.58</v>
      </c>
      <c r="J16" s="688">
        <f>IFERROR(IF(MAT[[#This Row],[Preis]]&lt;0,0,INDEX(MGK[EK],MATCH(MAT[[#This Row],[Materialklasse]],MGK[ID],0))),0)</f>
        <v>3.25</v>
      </c>
      <c r="K16" s="688">
        <f>IFERROR(IF(MAT[[#This Row],[Preis]]&lt;0,0,INDEX(MGK[PI],MATCH(MAT[[#This Row],[Materialklasse]],MGK[ID],0))),0)</f>
        <v>3.375</v>
      </c>
      <c r="L16" s="688">
        <f>IFERROR(INDEX(MGK[LA],MATCH(MAT[[#This Row],[Materialklasse]],MGK[ID],0)),0)</f>
        <v>5</v>
      </c>
      <c r="M16" s="237">
        <v>0.95</v>
      </c>
      <c r="N16" s="238">
        <v>2.4</v>
      </c>
      <c r="O16" s="238"/>
      <c r="P16" s="239"/>
      <c r="Q16" s="237" t="s">
        <v>4227</v>
      </c>
      <c r="R16" s="237"/>
      <c r="S16" s="677" t="str">
        <f>IF(ISERROR(MATCH(MAT[[#This Row],[Bezeichnung]],MAT_Used,0)),0,"X")</f>
        <v>X</v>
      </c>
      <c r="T16" s="1318" t="s">
        <v>4229</v>
      </c>
      <c r="U16" s="677" t="str">
        <f>IF(AND(MAT[[#This Row],[String]]&lt;&gt;"",CONCATENATE(B16,C16,D16,ROUND(E16,3),F16,G16,H16,MAT[[#This Row],[Dichte]],MAT[[#This Row],[CO2]])=MAT[[#This Row],[String]]),"X","C")</f>
        <v>C</v>
      </c>
      <c r="V16" s="1052" t="s">
        <v>4228</v>
      </c>
      <c r="W16" s="241">
        <f t="shared" ref="W16:W21" si="4">X16+Y16+Z16</f>
        <v>221.52127127976189</v>
      </c>
      <c r="X16" s="712" cm="1">
        <f t="array" ref="X16">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16" s="712" cm="1">
        <f t="array" ref="Y16">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78.454844196428567</v>
      </c>
      <c r="Z16" s="712" cm="1">
        <f t="array" ref="Z16">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89.908749999999998</v>
      </c>
      <c r="AA16" s="713" cm="1">
        <f t="array" ref="AA16">IFERROR(MAX(0,INDEX(Premises!$26:$26,1,2+2*W$3)/100*INDEX(MGK[Lagerreichweite],MATCH(MAT[[#This Row],[Materialklasse]],MGK[ID],0))/52*MAT[[#This Row],[Preis]]),0)</f>
        <v>8.7021538461538456E-3</v>
      </c>
      <c r="AB16" s="713">
        <f>IFERROR(MAX(0,INDEX(MGK[Lagerreichweite],MATCH(MAT[[#This Row],[Materialklasse]],MGK[ID],0))/52*12*0.26/1000*MAT[[#This Row],[Preis]]),0)</f>
        <v>3.792E-4</v>
      </c>
      <c r="AC16" s="712" cm="1">
        <f t="array" ref="AC16">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16,MGK[ID],0))+INDEX(Premises!$26:$26,1,2+2*W$3)/100*INDEX(MGK[L-Invest],MATCH($C16,MGK[ID],0))*0.5/(365*24)+INDEX(Premises!$24:$24,1,2+2*W$3)*INDEX(MGK[L-kWh],MATCH($C16,MGK[ID],0))+INDEX(Premises!$23:$23,1,2+2*W$3)*INDEX(MGK[L-m²],MATCH($C16,MGK[ID],0))*12/(365*24))),0)</f>
        <v>6.4735897435897437E-3</v>
      </c>
      <c r="AD16" s="1319">
        <f t="shared" ref="AD16:AD21" si="5">AA16+AB16+AC16</f>
        <v>1.5554943589743589E-2</v>
      </c>
    </row>
    <row r="17" spans="2:30">
      <c r="B17" s="234" t="s">
        <v>4230</v>
      </c>
      <c r="C17" s="235" t="s">
        <v>1004</v>
      </c>
      <c r="D17" s="235" t="s">
        <v>1238</v>
      </c>
      <c r="E17" s="236">
        <v>3.8639999999999999</v>
      </c>
      <c r="F17" s="235"/>
      <c r="G17" s="235"/>
      <c r="H17" s="235"/>
      <c r="I17" s="707">
        <f>MAT[[#This Row],[Preis (Input)]]*ExchangeRate</f>
        <v>3.8639999999999999</v>
      </c>
      <c r="J17" s="688">
        <f>IFERROR(IF(MAT[[#This Row],[Preis]]&lt;0,0,INDEX(MGK[EK],MATCH(MAT[[#This Row],[Materialklasse]],MGK[ID],0))),0)</f>
        <v>0</v>
      </c>
      <c r="K17" s="688">
        <f>IFERROR(IF(MAT[[#This Row],[Preis]]&lt;0,0,INDEX(MGK[PI],MATCH(MAT[[#This Row],[Materialklasse]],MGK[ID],0))),0)</f>
        <v>0</v>
      </c>
      <c r="L17" s="688">
        <f>IFERROR(INDEX(MGK[LA],MATCH(MAT[[#This Row],[Materialklasse]],MGK[ID],0)),0)</f>
        <v>0</v>
      </c>
      <c r="M17" s="237">
        <v>1.1399999999999999</v>
      </c>
      <c r="N17" s="238">
        <v>5.5</v>
      </c>
      <c r="O17" s="238"/>
      <c r="P17" s="239">
        <v>3</v>
      </c>
      <c r="Q17" s="237" t="s">
        <v>4231</v>
      </c>
      <c r="R17" s="237"/>
      <c r="S17" s="677">
        <f>IF(ISERROR(MATCH(MAT[[#This Row],[Bezeichnung]],MAT_Used,0)),0,"X")</f>
        <v>0</v>
      </c>
      <c r="T17" s="1318" t="s">
        <v>4229</v>
      </c>
      <c r="U17" s="677" t="str">
        <f>IF(AND(MAT[[#This Row],[String]]&lt;&gt;"",CONCATENATE(B17,C17,D17,ROUND(E17,3),F17,G17,H17,MAT[[#This Row],[Dichte]],MAT[[#This Row],[CO2]])=MAT[[#This Row],[String]]),"X","C")</f>
        <v>C</v>
      </c>
      <c r="V17" s="1052" t="s">
        <v>4232</v>
      </c>
      <c r="W17" s="241">
        <f t="shared" si="4"/>
        <v>0</v>
      </c>
      <c r="X17" s="712" cm="1">
        <f t="array" ref="X17">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0</v>
      </c>
      <c r="Y17" s="712" cm="1">
        <f t="array" ref="Y17">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0</v>
      </c>
      <c r="Z17" s="712" cm="1">
        <f t="array" ref="Z17">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0</v>
      </c>
      <c r="AA17" s="713" cm="1">
        <f t="array" ref="AA17">IFERROR(MAX(0,INDEX(Premises!$26:$26,1,2+2*W$3)/100*INDEX(MGK[Lagerreichweite],MATCH(MAT[[#This Row],[Materialklasse]],MGK[ID],0))/52*MAT[[#This Row],[Preis]]),0)</f>
        <v>0</v>
      </c>
      <c r="AB17" s="713">
        <f>IFERROR(MAX(0,INDEX(MGK[Lagerreichweite],MATCH(MAT[[#This Row],[Materialklasse]],MGK[ID],0))/52*12*0.26/1000*MAT[[#This Row],[Preis]]),0)</f>
        <v>0</v>
      </c>
      <c r="AC17" s="712" cm="1">
        <f t="array" ref="AC17">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17,MGK[ID],0))+INDEX(Premises!$26:$26,1,2+2*W$3)/100*INDEX(MGK[L-Invest],MATCH($C17,MGK[ID],0))*0.5/(365*24)+INDEX(Premises!$24:$24,1,2+2*W$3)*INDEX(MGK[L-kWh],MATCH($C17,MGK[ID],0))+INDEX(Premises!$23:$23,1,2+2*W$3)*INDEX(MGK[L-m²],MATCH($C17,MGK[ID],0))*12/(365*24))),0)</f>
        <v>0</v>
      </c>
      <c r="AD17" s="1319">
        <f t="shared" si="5"/>
        <v>0</v>
      </c>
    </row>
    <row r="18" spans="2:30">
      <c r="B18" s="234" t="s">
        <v>4233</v>
      </c>
      <c r="C18" s="235" t="s">
        <v>1004</v>
      </c>
      <c r="D18" s="235" t="s">
        <v>1238</v>
      </c>
      <c r="E18" s="236">
        <v>3.84</v>
      </c>
      <c r="F18" s="235"/>
      <c r="G18" s="235"/>
      <c r="H18" s="235"/>
      <c r="I18" s="707">
        <f>MAT[[#This Row],[Preis (Input)]]*ExchangeRate</f>
        <v>3.84</v>
      </c>
      <c r="J18" s="688">
        <f>IFERROR(IF(MAT[[#This Row],[Preis]]&lt;0,0,INDEX(MGK[EK],MATCH(MAT[[#This Row],[Materialklasse]],MGK[ID],0))),0)</f>
        <v>0</v>
      </c>
      <c r="K18" s="688">
        <f>IFERROR(IF(MAT[[#This Row],[Preis]]&lt;0,0,INDEX(MGK[PI],MATCH(MAT[[#This Row],[Materialklasse]],MGK[ID],0))),0)</f>
        <v>0</v>
      </c>
      <c r="L18" s="688">
        <f>IFERROR(INDEX(MGK[LA],MATCH(MAT[[#This Row],[Materialklasse]],MGK[ID],0)),0)</f>
        <v>0</v>
      </c>
      <c r="M18" s="237">
        <v>1.2</v>
      </c>
      <c r="N18" s="238">
        <v>6.3</v>
      </c>
      <c r="O18" s="238"/>
      <c r="P18" s="239">
        <v>3</v>
      </c>
      <c r="Q18" s="237" t="s">
        <v>4234</v>
      </c>
      <c r="R18" s="237"/>
      <c r="S18" s="677" t="str">
        <f>IF(ISERROR(MATCH(MAT[[#This Row],[Bezeichnung]],MAT_Used,0)),0,"X")</f>
        <v>X</v>
      </c>
      <c r="T18" s="1318" t="s">
        <v>4229</v>
      </c>
      <c r="U18" s="677" t="str">
        <f>IF(AND(MAT[[#This Row],[String]]&lt;&gt;"",CONCATENATE(B18,C18,D18,ROUND(E18,3),F18,G18,H18,MAT[[#This Row],[Dichte]],MAT[[#This Row],[CO2]])=MAT[[#This Row],[String]]),"X","C")</f>
        <v>C</v>
      </c>
      <c r="V18" s="1052" t="s">
        <v>4235</v>
      </c>
      <c r="W18" s="241">
        <f t="shared" si="4"/>
        <v>0</v>
      </c>
      <c r="X18" s="712" cm="1">
        <f t="array" ref="X18">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0</v>
      </c>
      <c r="Y18" s="712" cm="1">
        <f t="array" ref="Y18">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0</v>
      </c>
      <c r="Z18" s="712" cm="1">
        <f t="array" ref="Z18">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0</v>
      </c>
      <c r="AA18" s="713" cm="1">
        <f t="array" ref="AA18">IFERROR(MAX(0,INDEX(Premises!$26:$26,1,2+2*W$3)/100*INDEX(MGK[Lagerreichweite],MATCH(MAT[[#This Row],[Materialklasse]],MGK[ID],0))/52*MAT[[#This Row],[Preis]]),0)</f>
        <v>0</v>
      </c>
      <c r="AB18" s="713">
        <f>IFERROR(MAX(0,INDEX(MGK[Lagerreichweite],MATCH(MAT[[#This Row],[Materialklasse]],MGK[ID],0))/52*12*0.26/1000*MAT[[#This Row],[Preis]]),0)</f>
        <v>0</v>
      </c>
      <c r="AC18" s="712" cm="1">
        <f t="array" ref="AC18">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18,MGK[ID],0))+INDEX(Premises!$26:$26,1,2+2*W$3)/100*INDEX(MGK[L-Invest],MATCH($C18,MGK[ID],0))*0.5/(365*24)+INDEX(Premises!$24:$24,1,2+2*W$3)*INDEX(MGK[L-kWh],MATCH($C18,MGK[ID],0))+INDEX(Premises!$23:$23,1,2+2*W$3)*INDEX(MGK[L-m²],MATCH($C18,MGK[ID],0))*12/(365*24))),0)</f>
        <v>0</v>
      </c>
      <c r="AD18" s="1319">
        <f t="shared" si="5"/>
        <v>0</v>
      </c>
    </row>
    <row r="19" spans="2:30">
      <c r="B19" s="1165" t="s">
        <v>4262</v>
      </c>
      <c r="C19" s="1166" t="s">
        <v>4263</v>
      </c>
      <c r="D19" s="1166" t="s">
        <v>1238</v>
      </c>
      <c r="E19" s="1167">
        <v>2</v>
      </c>
      <c r="F19" s="1166"/>
      <c r="G19" s="1166"/>
      <c r="H19" s="1166"/>
      <c r="I19" s="1168">
        <f>MAT[[#This Row],[Preis (Input)]]*ExchangeRate</f>
        <v>2</v>
      </c>
      <c r="J19" s="1169">
        <f>IFERROR(IF(MAT[[#This Row],[Preis]]&lt;0,0,INDEX(MGK[EK],MATCH(MAT[[#This Row],[Materialklasse]],MGK[ID],0))),0)</f>
        <v>0</v>
      </c>
      <c r="K19" s="1169">
        <f>IFERROR(IF(MAT[[#This Row],[Preis]]&lt;0,0,INDEX(MGK[PI],MATCH(MAT[[#This Row],[Materialklasse]],MGK[ID],0))),0)</f>
        <v>0</v>
      </c>
      <c r="L19" s="1169">
        <f>IFERROR(INDEX(MGK[LA],MATCH(MAT[[#This Row],[Materialklasse]],MGK[ID],0)),0)</f>
        <v>0</v>
      </c>
      <c r="M19" s="1170"/>
      <c r="N19" s="1171"/>
      <c r="O19" s="1171"/>
      <c r="P19" s="1172"/>
      <c r="Q19" s="1170"/>
      <c r="R19" s="237"/>
      <c r="S19" s="1173">
        <f>IF(ISERROR(MATCH(MAT[[#This Row],[Bezeichnung]],MAT_Used,0)),0,"X")</f>
        <v>0</v>
      </c>
      <c r="T19" s="1174" t="s">
        <v>4229</v>
      </c>
      <c r="U19" s="1173" t="str">
        <f>IF(AND(MAT[[#This Row],[String]]&lt;&gt;"",CONCATENATE(B19,C19,D19,ROUND(E19,3),F19,G19,H19,MAT[[#This Row],[Dichte]],MAT[[#This Row],[CO2]])=MAT[[#This Row],[String]]),"X","C")</f>
        <v>X</v>
      </c>
      <c r="V19" s="1175" t="s">
        <v>4264</v>
      </c>
      <c r="W19" s="1176">
        <f t="shared" si="4"/>
        <v>0</v>
      </c>
      <c r="X19" s="1177" cm="1">
        <f t="array" ref="X19">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0</v>
      </c>
      <c r="Y19" s="1177" cm="1">
        <f t="array" ref="Y19">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0</v>
      </c>
      <c r="Z19" s="1177" cm="1">
        <f t="array" ref="Z19">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0</v>
      </c>
      <c r="AA19" s="1178" cm="1">
        <f t="array" ref="AA19">IFERROR(MAX(0,INDEX(Premises!$26:$26,1,2+2*W$3)/100*INDEX(MGK[Lagerreichweite],MATCH(MAT[[#This Row],[Materialklasse]],MGK[ID],0))/52*MAT[[#This Row],[Preis]]),0)</f>
        <v>0</v>
      </c>
      <c r="AB19" s="1178">
        <f>IFERROR(MAX(0,INDEX(MGK[Lagerreichweite],MATCH(MAT[[#This Row],[Materialklasse]],MGK[ID],0))/52*12*0.26/1000*MAT[[#This Row],[Preis]]),0)</f>
        <v>0</v>
      </c>
      <c r="AC19" s="1177" cm="1">
        <f t="array" ref="AC19">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19,MGK[ID],0))+INDEX(Premises!$26:$26,1,2+2*W$3)/100*INDEX(MGK[L-Invest],MATCH($C19,MGK[ID],0))*0.5/(365*24)+INDEX(Premises!$24:$24,1,2+2*W$3)*INDEX(MGK[L-kWh],MATCH($C19,MGK[ID],0))+INDEX(Premises!$23:$23,1,2+2*W$3)*INDEX(MGK[L-m²],MATCH($C19,MGK[ID],0))*12/(365*24))),0)</f>
        <v>0</v>
      </c>
      <c r="AD19" s="1320">
        <f t="shared" si="5"/>
        <v>0</v>
      </c>
    </row>
    <row r="20" spans="2:30">
      <c r="B20" s="1165" t="s">
        <v>4310</v>
      </c>
      <c r="C20" s="1166" t="s">
        <v>1254</v>
      </c>
      <c r="D20" s="1166" t="s">
        <v>1238</v>
      </c>
      <c r="E20" s="1167">
        <v>3.94</v>
      </c>
      <c r="F20" s="1166"/>
      <c r="G20" s="1166"/>
      <c r="H20" s="1166"/>
      <c r="I20" s="1168">
        <f>MAT[[#This Row],[Preis (Input)]]*ExchangeRate</f>
        <v>3.94</v>
      </c>
      <c r="J20" s="1169">
        <f>IFERROR(IF(MAT[[#This Row],[Preis]]&lt;0,0,INDEX(MGK[EK],MATCH(MAT[[#This Row],[Materialklasse]],MGK[ID],0))),0)</f>
        <v>3.25</v>
      </c>
      <c r="K20" s="1169">
        <f>IFERROR(IF(MAT[[#This Row],[Preis]]&lt;0,0,INDEX(MGK[PI],MATCH(MAT[[#This Row],[Materialklasse]],MGK[ID],0))),0)</f>
        <v>3.375</v>
      </c>
      <c r="L20" s="1169">
        <f>IFERROR(INDEX(MGK[LA],MATCH(MAT[[#This Row],[Materialklasse]],MGK[ID],0)),0)</f>
        <v>5</v>
      </c>
      <c r="M20" s="1170">
        <v>1.3</v>
      </c>
      <c r="N20" s="1171">
        <v>3.16</v>
      </c>
      <c r="O20" s="1171"/>
      <c r="P20" s="1172"/>
      <c r="Q20" s="1170" t="s">
        <v>4311</v>
      </c>
      <c r="R20" s="237"/>
      <c r="S20" s="1173" t="str">
        <f>IF(ISERROR(MATCH(MAT[[#This Row],[Bezeichnung]],MAT_Used,0)),0,"X")</f>
        <v>X</v>
      </c>
      <c r="T20" s="1174" t="s">
        <v>4229</v>
      </c>
      <c r="U20" s="1173" t="str">
        <f>IF(AND(MAT[[#This Row],[String]]&lt;&gt;"",CONCATENATE(B20,C20,D20,ROUND(E20,3),F20,G20,H20,MAT[[#This Row],[Dichte]],MAT[[#This Row],[CO2]])=MAT[[#This Row],[String]]),"X","C")</f>
        <v>C</v>
      </c>
      <c r="V20" s="1175" t="s">
        <v>4312</v>
      </c>
      <c r="W20" s="1176">
        <f t="shared" si="4"/>
        <v>221.52127127976189</v>
      </c>
      <c r="X20" s="1177" cm="1">
        <f t="array" ref="X20">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20" s="1177" cm="1">
        <f t="array" ref="Y20">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78.454844196428567</v>
      </c>
      <c r="Z20" s="1177" cm="1">
        <f t="array" ref="Z20">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89.908749999999998</v>
      </c>
      <c r="AA20" s="1178" cm="1">
        <f t="array" ref="AA20">IFERROR(MAX(0,INDEX(Premises!$26:$26,1,2+2*W$3)/100*INDEX(MGK[Lagerreichweite],MATCH(MAT[[#This Row],[Materialklasse]],MGK[ID],0))/52*MAT[[#This Row],[Preis]]),0)</f>
        <v>2.1700307692307689E-2</v>
      </c>
      <c r="AB20" s="1178">
        <f>IFERROR(MAX(0,INDEX(MGK[Lagerreichweite],MATCH(MAT[[#This Row],[Materialklasse]],MGK[ID],0))/52*12*0.26/1000*MAT[[#This Row],[Preis]]),0)</f>
        <v>9.456E-4</v>
      </c>
      <c r="AC20" s="1177" cm="1">
        <f t="array" ref="AC20">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20,MGK[ID],0))+INDEX(Premises!$26:$26,1,2+2*W$3)/100*INDEX(MGK[L-Invest],MATCH($C20,MGK[ID],0))*0.5/(365*24)+INDEX(Premises!$24:$24,1,2+2*W$3)*INDEX(MGK[L-kWh],MATCH($C20,MGK[ID],0))+INDEX(Premises!$23:$23,1,2+2*W$3)*INDEX(MGK[L-m²],MATCH($C20,MGK[ID],0))*12/(365*24))),0)</f>
        <v>6.4735897435897437E-3</v>
      </c>
      <c r="AD20" s="1320">
        <f t="shared" si="5"/>
        <v>2.9119497435897434E-2</v>
      </c>
    </row>
    <row r="21" spans="2:30">
      <c r="B21" s="234" t="s">
        <v>4318</v>
      </c>
      <c r="C21" s="235" t="s">
        <v>1254</v>
      </c>
      <c r="D21" s="235" t="s">
        <v>1238</v>
      </c>
      <c r="E21" s="236">
        <v>3.05</v>
      </c>
      <c r="F21" s="235"/>
      <c r="G21" s="235"/>
      <c r="H21" s="235"/>
      <c r="I21" s="707">
        <f>MAT[[#This Row],[Preis (Input)]]*ExchangeRate</f>
        <v>3.05</v>
      </c>
      <c r="J21" s="688">
        <f>IFERROR(IF(MAT[[#This Row],[Preis]]&lt;0,0,INDEX(MGK[EK],MATCH(MAT[[#This Row],[Materialklasse]],MGK[ID],0))),0)</f>
        <v>3.25</v>
      </c>
      <c r="K21" s="688">
        <f>IFERROR(IF(MAT[[#This Row],[Preis]]&lt;0,0,INDEX(MGK[PI],MATCH(MAT[[#This Row],[Materialklasse]],MGK[ID],0))),0)</f>
        <v>3.375</v>
      </c>
      <c r="L21" s="688">
        <f>IFERROR(INDEX(MGK[LA],MATCH(MAT[[#This Row],[Materialklasse]],MGK[ID],0)),0)</f>
        <v>5</v>
      </c>
      <c r="M21" s="237">
        <v>1.1299999999999999</v>
      </c>
      <c r="N21" s="238">
        <v>5.16</v>
      </c>
      <c r="O21" s="238"/>
      <c r="P21" s="239"/>
      <c r="Q21" s="237" t="s">
        <v>4318</v>
      </c>
      <c r="R21" s="237"/>
      <c r="S21" s="677" t="str">
        <f>IF(ISERROR(MATCH(MAT[[#This Row],[Bezeichnung]],MAT_Used,0)),0,"X")</f>
        <v>X</v>
      </c>
      <c r="T21" s="1318" t="s">
        <v>4229</v>
      </c>
      <c r="U21" s="677" t="str">
        <f>IF(AND(MAT[[#This Row],[String]]&lt;&gt;"",CONCATENATE(B21,C21,D21,ROUND(E21,3),F21,G21,H21,MAT[[#This Row],[Dichte]],MAT[[#This Row],[CO2]])=MAT[[#This Row],[String]]),"X","C")</f>
        <v>C</v>
      </c>
      <c r="V21" s="1052" t="s">
        <v>4319</v>
      </c>
      <c r="W21" s="241">
        <f t="shared" si="4"/>
        <v>221.52127127976189</v>
      </c>
      <c r="X21" s="712" cm="1">
        <f t="array" ref="X21">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21" s="712" cm="1">
        <f t="array" ref="Y21">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78.454844196428567</v>
      </c>
      <c r="Z21" s="712" cm="1">
        <f t="array" ref="Z21">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89.908749999999998</v>
      </c>
      <c r="AA21" s="713" cm="1">
        <f t="array" ref="AA21">IFERROR(MAX(0,INDEX(Premises!$26:$26,1,2+2*W$3)/100*INDEX(MGK[Lagerreichweite],MATCH(MAT[[#This Row],[Materialklasse]],MGK[ID],0))/52*MAT[[#This Row],[Preis]]),0)</f>
        <v>1.6798461538461536E-2</v>
      </c>
      <c r="AB21" s="713">
        <f>IFERROR(MAX(0,INDEX(MGK[Lagerreichweite],MATCH(MAT[[#This Row],[Materialklasse]],MGK[ID],0))/52*12*0.26/1000*MAT[[#This Row],[Preis]]),0)</f>
        <v>7.3200000000000001E-4</v>
      </c>
      <c r="AC21" s="712" cm="1">
        <f t="array" ref="AC21">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21,MGK[ID],0))+INDEX(Premises!$26:$26,1,2+2*W$3)/100*INDEX(MGK[L-Invest],MATCH($C21,MGK[ID],0))*0.5/(365*24)+INDEX(Premises!$24:$24,1,2+2*W$3)*INDEX(MGK[L-kWh],MATCH($C21,MGK[ID],0))+INDEX(Premises!$23:$23,1,2+2*W$3)*INDEX(MGK[L-m²],MATCH($C21,MGK[ID],0))*12/(365*24))),0)</f>
        <v>6.4735897435897437E-3</v>
      </c>
      <c r="AD21" s="1319">
        <f t="shared" si="5"/>
        <v>2.400405128205128E-2</v>
      </c>
    </row>
    <row r="22" spans="2:30">
      <c r="B22" s="234" t="s">
        <v>4336</v>
      </c>
      <c r="C22" s="235" t="s">
        <v>1087</v>
      </c>
      <c r="D22" s="235" t="s">
        <v>1238</v>
      </c>
      <c r="E22" s="236">
        <v>600</v>
      </c>
      <c r="F22" s="235"/>
      <c r="G22" s="235"/>
      <c r="H22" s="235"/>
      <c r="I22" s="707">
        <f>MAT[[#This Row],[Preis (Input)]]*ExchangeRate</f>
        <v>600</v>
      </c>
      <c r="J22" s="688">
        <f>IFERROR(IF(MAT[[#This Row],[Preis]]&lt;0,0,INDEX(MGK[EK],MATCH(MAT[[#This Row],[Materialklasse]],MGK[ID],0))),0)</f>
        <v>7.5</v>
      </c>
      <c r="K22" s="688">
        <f>IFERROR(IF(MAT[[#This Row],[Preis]]&lt;0,0,INDEX(MGK[PI],MATCH(MAT[[#This Row],[Materialklasse]],MGK[ID],0))),0)</f>
        <v>3.375</v>
      </c>
      <c r="L22" s="688">
        <f>IFERROR(INDEX(MGK[LA],MATCH(MAT[[#This Row],[Materialklasse]],MGK[ID],0)),0)</f>
        <v>1.25</v>
      </c>
      <c r="M22" s="237"/>
      <c r="N22" s="238"/>
      <c r="O22" s="238"/>
      <c r="P22" s="239"/>
      <c r="Q22" s="237"/>
      <c r="R22" s="237"/>
      <c r="S22" s="677" t="str">
        <f>IF(ISERROR(MATCH(MAT[[#This Row],[Bezeichnung]],MAT_Used,0)),0,"X")</f>
        <v>X</v>
      </c>
      <c r="T22" s="1318" t="s">
        <v>4327</v>
      </c>
      <c r="U22" s="677" t="str">
        <f>IF(AND(MAT[[#This Row],[String]]&lt;&gt;"",CONCATENATE(B22,C22,D22,ROUND(E22,3),F22,G22,H22,MAT[[#This Row],[Dichte]],MAT[[#This Row],[CO2]])=MAT[[#This Row],[String]]),"X","C")</f>
        <v>X</v>
      </c>
      <c r="V22" s="1052" t="s">
        <v>4337</v>
      </c>
      <c r="W22" s="241">
        <f>X22+Y22+Z22</f>
        <v>215.45062544642855</v>
      </c>
      <c r="X22" s="712" cm="1">
        <f t="array" ref="X22">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122.67156249999998</v>
      </c>
      <c r="Y22" s="712" cm="1">
        <f t="array" ref="Y22">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78.454844196428567</v>
      </c>
      <c r="Z22" s="712" cm="1">
        <f t="array" ref="Z22">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14.32421875</v>
      </c>
      <c r="AA22" s="713" cm="1">
        <f t="array" ref="AA22">IFERROR(MAX(0,INDEX(Premises!$26:$26,1,2+2*W$3)/100*INDEX(MGK[Lagerreichweite],MATCH(MAT[[#This Row],[Materialklasse]],MGK[ID],0))/52*MAT[[#This Row],[Preis]]),0)</f>
        <v>3.3046153846153845</v>
      </c>
      <c r="AB22" s="713">
        <f>IFERROR(MAX(0,INDEX(MGK[Lagerreichweite],MATCH(MAT[[#This Row],[Materialklasse]],MGK[ID],0))/52*12*0.26/1000*MAT[[#This Row],[Preis]]),0)</f>
        <v>0.14400000000000002</v>
      </c>
      <c r="AC22" s="712" cm="1">
        <f t="array" ref="AC22">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22,MGK[ID],0))+INDEX(Premises!$26:$26,1,2+2*W$3)/100*INDEX(MGK[L-Invest],MATCH($C22,MGK[ID],0))*0.5/(365*24)+INDEX(Premises!$24:$24,1,2+2*W$3)*INDEX(MGK[L-kWh],MATCH($C22,MGK[ID],0))+INDEX(Premises!$23:$23,1,2+2*W$3)*INDEX(MGK[L-m²],MATCH($C22,MGK[ID],0))*12/(365*24))),0)</f>
        <v>2.0275307692307694E-3</v>
      </c>
      <c r="AD22" s="1319">
        <f>AA22+AB22+AC22</f>
        <v>3.4506429153846154</v>
      </c>
    </row>
    <row r="23" spans="2:30">
      <c r="B23" s="1330" t="s">
        <v>4355</v>
      </c>
      <c r="C23" s="354" t="s">
        <v>1258</v>
      </c>
      <c r="D23" s="354" t="s">
        <v>1238</v>
      </c>
      <c r="E23" s="1331">
        <v>-1.2</v>
      </c>
      <c r="F23" s="354"/>
      <c r="G23" s="354"/>
      <c r="H23" s="354"/>
      <c r="I23" s="1332">
        <f>MAT[[#This Row],[Preis (Input)]]*ExchangeRate</f>
        <v>-1.2</v>
      </c>
      <c r="J23" s="1333">
        <f>IFERROR(IF(MAT[[#This Row],[Preis]]&lt;0,0,INDEX(MGK[EK],MATCH(MAT[[#This Row],[Materialklasse]],MGK[ID],0))),0)</f>
        <v>0</v>
      </c>
      <c r="K23" s="1333">
        <f>IFERROR(IF(MAT[[#This Row],[Preis]]&lt;0,0,INDEX(MGK[PI],MATCH(MAT[[#This Row],[Materialklasse]],MGK[ID],0))),0)</f>
        <v>0</v>
      </c>
      <c r="L23" s="1333">
        <f>IFERROR(INDEX(MGK[LA],MATCH(MAT[[#This Row],[Materialklasse]],MGK[ID],0)),0)</f>
        <v>5</v>
      </c>
      <c r="M23" s="532"/>
      <c r="N23" s="1334"/>
      <c r="O23" s="1334"/>
      <c r="P23" s="881"/>
      <c r="Q23" s="532"/>
      <c r="R23" s="532"/>
      <c r="S23" s="679" t="str">
        <f>IF(ISERROR(MATCH(MAT[[#This Row],[Bezeichnung]],MAT_Used,0)),0,"X")</f>
        <v>X</v>
      </c>
      <c r="T23" s="1335" t="s">
        <v>4327</v>
      </c>
      <c r="U23" s="679" t="str">
        <f>IF(AND(MAT[[#This Row],[String]]&lt;&gt;"",CONCATENATE(B23,C23,D23,ROUND(E23,3),F23,G23,H23,MAT[[#This Row],[Dichte]],MAT[[#This Row],[CO2]])=MAT[[#This Row],[String]]),"X","C")</f>
        <v>C</v>
      </c>
      <c r="V23" s="1336"/>
      <c r="W23" s="1337">
        <f>X23+Y23+Z23</f>
        <v>89.908749999999998</v>
      </c>
      <c r="X23" s="1338" cm="1">
        <f t="array" ref="X23">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0</v>
      </c>
      <c r="Y23" s="1338" cm="1">
        <f t="array" ref="Y23">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0</v>
      </c>
      <c r="Z23" s="1338" cm="1">
        <f t="array" ref="Z23">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89.908749999999998</v>
      </c>
      <c r="AA23" s="1339" cm="1">
        <f t="array" ref="AA23">IFERROR(MAX(0,INDEX(Premises!$26:$26,1,2+2*W$3)/100*INDEX(MGK[Lagerreichweite],MATCH(MAT[[#This Row],[Materialklasse]],MGK[ID],0))/52*MAT[[#This Row],[Preis]]),0)</f>
        <v>0</v>
      </c>
      <c r="AB23" s="1339">
        <f>IFERROR(MAX(0,INDEX(MGK[Lagerreichweite],MATCH(MAT[[#This Row],[Materialklasse]],MGK[ID],0))/52*12*0.26/1000*MAT[[#This Row],[Preis]]),0)</f>
        <v>0</v>
      </c>
      <c r="AC23" s="1338" cm="1">
        <f t="array" ref="AC23">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23,MGK[ID],0))+INDEX(Premises!$26:$26,1,2+2*W$3)/100*INDEX(MGK[L-Invest],MATCH($C23,MGK[ID],0))*0.5/(365*24)+INDEX(Premises!$24:$24,1,2+2*W$3)*INDEX(MGK[L-kWh],MATCH($C23,MGK[ID],0))+INDEX(Premises!$23:$23,1,2+2*W$3)*INDEX(MGK[L-m²],MATCH($C23,MGK[ID],0))*12/(365*24))),0)</f>
        <v>0</v>
      </c>
      <c r="AD23" s="1340">
        <f>AA23+AB23+AC23</f>
        <v>0</v>
      </c>
    </row>
    <row r="24" spans="2:30">
      <c r="B24" s="1480" t="s">
        <v>4377</v>
      </c>
      <c r="C24" s="1481" t="s">
        <v>962</v>
      </c>
      <c r="D24" s="1481"/>
      <c r="E24" s="1482">
        <v>2.34</v>
      </c>
      <c r="F24" s="354"/>
      <c r="G24" s="354"/>
      <c r="H24" s="354"/>
      <c r="I24" s="1332">
        <f>MAT[[#This Row],[Preis (Input)]]*ExchangeRate</f>
        <v>2.34</v>
      </c>
      <c r="J24" s="1333">
        <f>IFERROR(IF(MAT[[#This Row],[Preis]]&lt;0,0,INDEX(MGK[EK],MATCH(MAT[[#This Row],[Materialklasse]],MGK[ID],0))),0)</f>
        <v>3.25</v>
      </c>
      <c r="K24" s="1333">
        <f>IFERROR(IF(MAT[[#This Row],[Preis]]&lt;0,0,INDEX(MGK[PI],MATCH(MAT[[#This Row],[Materialklasse]],MGK[ID],0))),0)</f>
        <v>1.7999999999999998</v>
      </c>
      <c r="L24" s="1333">
        <f>IFERROR(INDEX(MGK[LA],MATCH(MAT[[#This Row],[Materialklasse]],MGK[ID],0)),0)</f>
        <v>0.10416666666666667</v>
      </c>
      <c r="M24" s="532"/>
      <c r="N24" s="1483"/>
      <c r="O24" s="1483"/>
      <c r="P24" s="1484"/>
      <c r="Q24" s="1485"/>
      <c r="R24" s="1485"/>
      <c r="S24" s="1486" t="str">
        <f>IF(ISERROR(MATCH(MAT[[#This Row],[Bezeichnung]],MAT_Used,0)),0,"X")</f>
        <v>X</v>
      </c>
      <c r="T24" s="1487" t="s">
        <v>4378</v>
      </c>
      <c r="U24" s="1486" t="str">
        <f>IF(AND(MAT[[#This Row],[String]]&lt;&gt;"",CONCATENATE(B24,C24,D24,ROUND(E24,3),F24,G24,H24,MAT[[#This Row],[Dichte]],MAT[[#This Row],[CO2]])=MAT[[#This Row],[String]]),"X","C")</f>
        <v>C</v>
      </c>
      <c r="V24" s="1488"/>
      <c r="W24" s="1337">
        <f>X24+Y24+Z24</f>
        <v>193.32891197916663</v>
      </c>
      <c r="X24" s="1338" cm="1">
        <f t="array" ref="X24">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24" s="1338" cm="1">
        <f t="array" ref="Y24">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138.97754999999998</v>
      </c>
      <c r="Z24" s="1338" cm="1">
        <f t="array" ref="Z24">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1.1936848958333333</v>
      </c>
      <c r="AA24" s="1339" cm="1">
        <f t="array" ref="AA24">IFERROR(MAX(0,INDEX(Premises!$26:$26,1,2+2*W$3)/100*INDEX(MGK[Lagerreichweite],MATCH(MAT[[#This Row],[Materialklasse]],MGK[ID],0))/52*MAT[[#This Row],[Preis]]),0)</f>
        <v>1.2887999999999998E-2</v>
      </c>
      <c r="AB24" s="1339">
        <f>IFERROR(MAX(0,INDEX(MGK[Lagerreichweite],MATCH(MAT[[#This Row],[Materialklasse]],MGK[ID],0))/52*12*0.26/1000*MAT[[#This Row],[Preis]]),0)</f>
        <v>5.6159999999999999E-4</v>
      </c>
      <c r="AC24" s="1338" cm="1">
        <f t="array" ref="AC24">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24,MGK[ID],0))+INDEX(Premises!$26:$26,1,2+2*W$3)/100*INDEX(MGK[L-Invest],MATCH($C24,MGK[ID],0))*0.5/(365*24)+INDEX(Premises!$24:$24,1,2+2*W$3)*INDEX(MGK[L-kWh],MATCH($C24,MGK[ID],0))+INDEX(Premises!$23:$23,1,2+2*W$3)*INDEX(MGK[L-m²],MATCH($C24,MGK[ID],0))*12/(365*24))),0)</f>
        <v>0</v>
      </c>
      <c r="AD24" s="1340">
        <f>AA24+AB24+AC24</f>
        <v>1.3449599999999999E-2</v>
      </c>
    </row>
  </sheetData>
  <mergeCells count="5">
    <mergeCell ref="B1:E1"/>
    <mergeCell ref="B4:H4"/>
    <mergeCell ref="J4:L4"/>
    <mergeCell ref="B2:AE2"/>
    <mergeCell ref="W4:AD4"/>
  </mergeCells>
  <phoneticPr fontId="39" type="noConversion"/>
  <dataValidations count="2">
    <dataValidation type="list" allowBlank="1" showInputMessage="1" showErrorMessage="1" sqref="C7:C24" xr:uid="{49A3A611-67C4-4DFF-B2DA-13FD9C4EA6B3}">
      <formula1>MGK_Dropdown</formula1>
    </dataValidation>
    <dataValidation type="list" allowBlank="1" showInputMessage="1" showErrorMessage="1" sqref="P7:P24" xr:uid="{94865F74-3E7D-4790-BE5F-BF5AEC69A878}">
      <formula1>"01,02,03,04,05,06,07,08,09,10,11,12,13,14,15"</formula1>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xr:uid="{71A5DFA5-8E95-4B73-96E9-4AF0246A0B69}">
          <x14:formula1>
            <xm:f>Translation!$E$12:$E$17</xm:f>
          </x14:formula1>
          <xm:sqref>D7:D24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LOC">
    <outlinePr summaryBelow="0" summaryRight="0"/>
  </sheetPr>
  <dimension ref="B1:AX40"/>
  <sheetViews>
    <sheetView showGridLines="0" zoomScaleNormal="100" workbookViewId="0">
      <pane xSplit="2" ySplit="6" topLeftCell="C7" activePane="bottomRight" state="frozen"/>
      <selection activeCell="D355" sqref="D355"/>
      <selection pane="topRight" activeCell="D355" sqref="D355"/>
      <selection pane="bottomLeft" activeCell="D355" sqref="D355"/>
      <selection pane="bottomRight" activeCell="B2" sqref="B2:AX2"/>
    </sheetView>
  </sheetViews>
  <sheetFormatPr baseColWidth="10" defaultColWidth="11.42578125" defaultRowHeight="12.75" outlineLevelCol="1"/>
  <cols>
    <col min="1" max="1" width="1.7109375" style="5" customWidth="1"/>
    <col min="2" max="2" width="30.7109375" style="5" customWidth="1"/>
    <col min="3" max="17" width="10.7109375" style="5" customWidth="1"/>
    <col min="18" max="19" width="10.7109375" style="243" customWidth="1"/>
    <col min="20" max="20" width="10.7109375" style="243" customWidth="1" collapsed="1"/>
    <col min="21" max="24" width="12.7109375" style="180" hidden="1" customWidth="1" outlineLevel="1"/>
    <col min="25" max="34" width="6.7109375" style="244" hidden="1" customWidth="1" outlineLevel="1"/>
    <col min="35" max="44" width="6.7109375" style="245" hidden="1" customWidth="1" outlineLevel="1"/>
    <col min="45" max="46" width="12.7109375" style="862" hidden="1" customWidth="1" outlineLevel="1"/>
    <col min="47" max="47" width="9.7109375" style="5" hidden="1" customWidth="1" outlineLevel="1"/>
    <col min="48" max="48" width="2.7109375" style="5" hidden="1" customWidth="1" outlineLevel="1"/>
    <col min="49" max="49" width="2.7109375" style="5" hidden="1" customWidth="1"/>
    <col min="50" max="50" width="2.7109375" style="5" customWidth="1"/>
    <col min="51" max="51" width="10.7109375" style="5" customWidth="1"/>
    <col min="52" max="52" width="1.7109375" style="5" customWidth="1"/>
    <col min="53" max="53" width="0.140625" style="5" customWidth="1"/>
    <col min="54" max="16384" width="11.42578125" style="5"/>
  </cols>
  <sheetData>
    <row r="1" spans="2:50" ht="5.0999999999999996" customHeight="1"/>
    <row r="2" spans="2:50" s="2" customFormat="1" ht="25.5" customHeight="1">
      <c r="B2" s="1411" t="s">
        <v>590</v>
      </c>
      <c r="C2" s="1412"/>
      <c r="D2" s="1412"/>
      <c r="E2" s="1412"/>
      <c r="F2" s="1412"/>
      <c r="G2" s="1412"/>
      <c r="H2" s="1412"/>
      <c r="I2" s="1412"/>
      <c r="J2" s="1412"/>
      <c r="K2" s="1412"/>
      <c r="L2" s="1412"/>
      <c r="M2" s="1412"/>
      <c r="N2" s="1412"/>
      <c r="O2" s="1412"/>
      <c r="P2" s="1412"/>
      <c r="Q2" s="1412"/>
      <c r="R2" s="1412"/>
      <c r="S2" s="1412"/>
      <c r="T2" s="1412"/>
      <c r="U2" s="1412"/>
      <c r="V2" s="1412"/>
      <c r="W2" s="1412"/>
      <c r="X2" s="1412"/>
      <c r="Y2" s="1412"/>
      <c r="Z2" s="1412"/>
      <c r="AA2" s="1412"/>
      <c r="AB2" s="1412"/>
      <c r="AC2" s="1412"/>
      <c r="AD2" s="1412"/>
      <c r="AE2" s="1412"/>
      <c r="AF2" s="1412"/>
      <c r="AG2" s="1412"/>
      <c r="AH2" s="1412"/>
      <c r="AI2" s="1412"/>
      <c r="AJ2" s="1412"/>
      <c r="AK2" s="1412"/>
      <c r="AL2" s="1412"/>
      <c r="AM2" s="1412"/>
      <c r="AN2" s="1412"/>
      <c r="AO2" s="1412"/>
      <c r="AP2" s="1412"/>
      <c r="AQ2" s="1412"/>
      <c r="AR2" s="1412"/>
      <c r="AS2" s="1412"/>
      <c r="AT2" s="1412"/>
      <c r="AU2" s="1412"/>
      <c r="AV2" s="1412"/>
      <c r="AW2" s="1412"/>
      <c r="AX2" s="1412"/>
    </row>
    <row r="3" spans="2:50" ht="5.0999999999999996" customHeight="1"/>
    <row r="4" spans="2:50" s="13" customFormat="1" ht="13.5" customHeight="1">
      <c r="B4" s="1424" t="s">
        <v>441</v>
      </c>
      <c r="C4" s="1425"/>
      <c r="D4" s="1425"/>
      <c r="E4" s="1425"/>
      <c r="F4" s="1425"/>
      <c r="G4" s="1425"/>
      <c r="H4" s="1425"/>
      <c r="I4" s="1425"/>
      <c r="J4" s="1425"/>
      <c r="K4" s="1425"/>
      <c r="L4" s="1425"/>
      <c r="M4" s="1425"/>
      <c r="N4" s="1425"/>
      <c r="O4" s="1425"/>
      <c r="P4" s="1425"/>
      <c r="Q4" s="1425"/>
      <c r="R4" s="1425"/>
      <c r="S4" s="1425"/>
      <c r="T4" s="1426"/>
      <c r="U4" s="2"/>
      <c r="V4" s="2"/>
      <c r="W4" s="2"/>
      <c r="X4" s="2"/>
      <c r="Y4" s="1427"/>
      <c r="Z4" s="1427"/>
      <c r="AA4" s="1427"/>
      <c r="AB4" s="1427"/>
      <c r="AC4" s="1427"/>
      <c r="AD4" s="1427"/>
      <c r="AE4" s="1427"/>
      <c r="AF4" s="1427"/>
      <c r="AG4" s="1427"/>
      <c r="AH4" s="1427"/>
      <c r="AI4" s="1428"/>
      <c r="AJ4" s="1428"/>
      <c r="AK4" s="1428"/>
      <c r="AL4" s="1428"/>
      <c r="AM4" s="1428"/>
      <c r="AN4" s="1428"/>
      <c r="AO4" s="1428"/>
      <c r="AP4" s="1428"/>
      <c r="AQ4" s="1428"/>
      <c r="AR4" s="1428"/>
      <c r="AS4" s="863"/>
      <c r="AT4" s="863"/>
    </row>
    <row r="5" spans="2:50" s="6" customFormat="1" ht="25.5" customHeight="1">
      <c r="B5" s="697" t="s">
        <v>69</v>
      </c>
      <c r="C5" s="697" t="str">
        <f>"Unskilled
1 shift [" &amp; InputCurrency &amp; "]"</f>
        <v>Unskilled
1 shift [EUR]</v>
      </c>
      <c r="D5" s="697" t="str">
        <f>"Skilled
1 shift [" &amp; InputCurrency &amp; "]"</f>
        <v>Skilled
1 shift [EUR]</v>
      </c>
      <c r="E5" s="697" t="str">
        <f>"Unskilled
2 shift [" &amp; InputCurrency &amp; "]"</f>
        <v>Unskilled
2 shift [EUR]</v>
      </c>
      <c r="F5" s="697" t="str">
        <f>"Skilled
2 shift [" &amp; InputCurrency &amp; "]"</f>
        <v>Skilled
2 shift [EUR]</v>
      </c>
      <c r="G5" s="697" t="str">
        <f>"Unskilled
3 shift [" &amp; InputCurrency &amp; "]"</f>
        <v>Unskilled
3 shift [EUR]</v>
      </c>
      <c r="H5" s="697" t="str">
        <f>"Skilled
3 shift [" &amp; InputCurrency &amp; "]"</f>
        <v>Skilled
3 shift [EUR]</v>
      </c>
      <c r="I5" s="697" t="s">
        <v>572</v>
      </c>
      <c r="J5" s="718" t="s">
        <v>573</v>
      </c>
      <c r="K5" s="697" t="str">
        <f>"High-skilled
[" &amp; InputCurrency &amp; "]"</f>
        <v>High-skilled
[EUR]</v>
      </c>
      <c r="L5" s="697" t="s">
        <v>574</v>
      </c>
      <c r="M5" s="697" t="str">
        <f>"Monthly rent 
[" &amp; InputCurrency &amp; "/m²]"</f>
        <v>Monthly rent 
[EUR/m²]</v>
      </c>
      <c r="N5" s="697" t="str">
        <f>"Electricity 
[" &amp; InputCurrency &amp; "/kWh]"</f>
        <v>Electricity 
[EUR/kWh]</v>
      </c>
      <c r="O5" s="697" t="str">
        <f>"Natural gas 
[" &amp; InputCurrency &amp; "/kWh]"</f>
        <v>Natural gas 
[EUR/kWh]</v>
      </c>
      <c r="P5" s="697" t="s">
        <v>552</v>
      </c>
      <c r="Q5" s="697" t="s">
        <v>553</v>
      </c>
      <c r="R5" s="697" t="s">
        <v>2487</v>
      </c>
      <c r="S5" s="697" t="s">
        <v>3204</v>
      </c>
      <c r="T5" s="697" t="s">
        <v>3255</v>
      </c>
      <c r="U5" s="689" t="s">
        <v>2127</v>
      </c>
      <c r="V5" s="689" t="s">
        <v>2128</v>
      </c>
      <c r="W5" s="689" t="s">
        <v>2146</v>
      </c>
      <c r="X5" s="697" t="str">
        <f>"Dieselpreis
[" &amp; InputCurrency &amp; "/kWh]"</f>
        <v>Dieselpreis
[EUR/kWh]</v>
      </c>
      <c r="Y5" s="1429" t="s">
        <v>2152</v>
      </c>
      <c r="Z5" s="1430"/>
      <c r="AA5" s="1430"/>
      <c r="AB5" s="1430"/>
      <c r="AC5" s="1430"/>
      <c r="AD5" s="1430"/>
      <c r="AE5" s="1430"/>
      <c r="AF5" s="1430"/>
      <c r="AG5" s="1430"/>
      <c r="AH5" s="1431"/>
      <c r="AI5" s="1429" t="s">
        <v>2158</v>
      </c>
      <c r="AJ5" s="1430"/>
      <c r="AK5" s="1430"/>
      <c r="AL5" s="1430"/>
      <c r="AM5" s="1430"/>
      <c r="AN5" s="1430"/>
      <c r="AO5" s="1430"/>
      <c r="AP5" s="1430"/>
      <c r="AQ5" s="1430"/>
      <c r="AR5" s="1431"/>
      <c r="AS5" s="844" t="s">
        <v>2451</v>
      </c>
      <c r="AT5" s="844" t="s">
        <v>2452</v>
      </c>
      <c r="AU5" s="697" t="s">
        <v>1223</v>
      </c>
      <c r="AV5" s="697" t="s">
        <v>918</v>
      </c>
      <c r="AW5" s="697" t="s">
        <v>916</v>
      </c>
      <c r="AX5" s="706" t="s">
        <v>38</v>
      </c>
    </row>
    <row r="6" spans="2:50" s="200" customFormat="1" ht="4.5" customHeight="1">
      <c r="B6" s="246" t="s">
        <v>23</v>
      </c>
      <c r="C6" s="247" t="s">
        <v>3258</v>
      </c>
      <c r="D6" s="247" t="s">
        <v>3259</v>
      </c>
      <c r="E6" s="247" t="s">
        <v>3260</v>
      </c>
      <c r="F6" s="247" t="s">
        <v>3261</v>
      </c>
      <c r="G6" s="247" t="s">
        <v>3262</v>
      </c>
      <c r="H6" s="247" t="s">
        <v>3263</v>
      </c>
      <c r="I6" s="247" t="s">
        <v>3264</v>
      </c>
      <c r="J6" s="248" t="s">
        <v>3265</v>
      </c>
      <c r="K6" s="247" t="s">
        <v>578</v>
      </c>
      <c r="L6" s="247" t="s">
        <v>90</v>
      </c>
      <c r="M6" s="247" t="s">
        <v>454</v>
      </c>
      <c r="N6" s="247" t="s">
        <v>21</v>
      </c>
      <c r="O6" s="247" t="s">
        <v>587</v>
      </c>
      <c r="P6" s="247" t="s">
        <v>45</v>
      </c>
      <c r="Q6" s="247" t="s">
        <v>24</v>
      </c>
      <c r="R6" s="247" t="s">
        <v>1118</v>
      </c>
      <c r="S6" s="247" t="s">
        <v>3205</v>
      </c>
      <c r="T6" s="247" t="s">
        <v>3255</v>
      </c>
      <c r="U6" s="247" t="s">
        <v>2127</v>
      </c>
      <c r="V6" s="247" t="s">
        <v>2128</v>
      </c>
      <c r="W6" s="247" t="s">
        <v>2126</v>
      </c>
      <c r="X6" s="247" t="s">
        <v>2664</v>
      </c>
      <c r="Y6" s="249" t="s">
        <v>2654</v>
      </c>
      <c r="Z6" s="249" t="s">
        <v>2655</v>
      </c>
      <c r="AA6" s="249" t="s">
        <v>2656</v>
      </c>
      <c r="AB6" s="249" t="s">
        <v>2657</v>
      </c>
      <c r="AC6" s="249" t="s">
        <v>2658</v>
      </c>
      <c r="AD6" s="249" t="s">
        <v>2659</v>
      </c>
      <c r="AE6" s="249" t="s">
        <v>2660</v>
      </c>
      <c r="AF6" s="249" t="s">
        <v>2661</v>
      </c>
      <c r="AG6" s="249" t="s">
        <v>2662</v>
      </c>
      <c r="AH6" s="249" t="s">
        <v>2663</v>
      </c>
      <c r="AI6" s="250" t="s">
        <v>2051</v>
      </c>
      <c r="AJ6" s="250" t="s">
        <v>2052</v>
      </c>
      <c r="AK6" s="250" t="s">
        <v>2053</v>
      </c>
      <c r="AL6" s="250" t="s">
        <v>2054</v>
      </c>
      <c r="AM6" s="250" t="s">
        <v>2056</v>
      </c>
      <c r="AN6" s="250" t="s">
        <v>2055</v>
      </c>
      <c r="AO6" s="250" t="s">
        <v>2057</v>
      </c>
      <c r="AP6" s="250" t="s">
        <v>2058</v>
      </c>
      <c r="AQ6" s="250" t="s">
        <v>2059</v>
      </c>
      <c r="AR6" s="250" t="s">
        <v>2060</v>
      </c>
      <c r="AS6" s="864" t="s">
        <v>2453</v>
      </c>
      <c r="AT6" s="864" t="s">
        <v>2454</v>
      </c>
      <c r="AU6" s="197" t="s">
        <v>917</v>
      </c>
      <c r="AV6" s="197" t="s">
        <v>918</v>
      </c>
      <c r="AW6" s="197" t="s">
        <v>916</v>
      </c>
    </row>
    <row r="7" spans="2:50" ht="12.75" customHeight="1">
      <c r="B7" s="251" t="s">
        <v>89</v>
      </c>
      <c r="C7" s="154">
        <v>1.8</v>
      </c>
      <c r="D7" s="154">
        <v>1.9</v>
      </c>
      <c r="E7" s="154">
        <v>2.8</v>
      </c>
      <c r="F7" s="154">
        <v>2.9</v>
      </c>
      <c r="G7" s="154">
        <v>3.8</v>
      </c>
      <c r="H7" s="154">
        <v>3.9</v>
      </c>
      <c r="I7" s="252">
        <v>0</v>
      </c>
      <c r="J7" s="252">
        <v>0.15</v>
      </c>
      <c r="K7" s="154">
        <v>5</v>
      </c>
      <c r="L7" s="154" t="s">
        <v>1413</v>
      </c>
      <c r="M7" s="154">
        <v>2.5</v>
      </c>
      <c r="N7" s="154">
        <v>0.05</v>
      </c>
      <c r="O7" s="154">
        <v>0.02</v>
      </c>
      <c r="P7" s="253">
        <v>5.6</v>
      </c>
      <c r="Q7" s="254" t="s">
        <v>245</v>
      </c>
      <c r="R7" s="254">
        <v>250</v>
      </c>
      <c r="S7" s="254" t="s">
        <v>3220</v>
      </c>
      <c r="T7" s="254" t="s">
        <v>61</v>
      </c>
      <c r="U7" s="255"/>
      <c r="V7" s="255"/>
      <c r="W7" s="256"/>
      <c r="X7" s="986"/>
      <c r="Y7" s="163"/>
      <c r="Z7" s="163"/>
      <c r="AA7" s="163"/>
      <c r="AB7" s="163"/>
      <c r="AC7" s="257"/>
      <c r="AD7" s="257"/>
      <c r="AE7" s="257"/>
      <c r="AF7" s="257"/>
      <c r="AG7" s="257"/>
      <c r="AH7" s="163"/>
      <c r="AI7" s="258"/>
      <c r="AJ7" s="258"/>
      <c r="AK7" s="258"/>
      <c r="AL7" s="258"/>
      <c r="AM7" s="259"/>
      <c r="AN7" s="259"/>
      <c r="AO7" s="259"/>
      <c r="AP7" s="259"/>
      <c r="AQ7" s="259"/>
      <c r="AR7" s="258"/>
      <c r="AS7" s="865">
        <v>25</v>
      </c>
      <c r="AT7" s="865">
        <v>25</v>
      </c>
      <c r="AU7" s="254" t="s">
        <v>1069</v>
      </c>
      <c r="AV7" s="208" t="str">
        <f>IF(AND(LOC[[#This Row],[String]]&lt;&gt;"",_xlfn.CONCAT(LOC[[#This Row],[Standort]:[ETS]])=LOC[[#This Row],[String]]),"X","C")</f>
        <v>C</v>
      </c>
      <c r="AW7" s="188"/>
    </row>
    <row r="8" spans="2:50" ht="13.9" customHeight="1">
      <c r="B8" s="251" t="s">
        <v>4023</v>
      </c>
      <c r="C8" s="154">
        <v>9.17</v>
      </c>
      <c r="D8" s="154">
        <v>12.9</v>
      </c>
      <c r="E8" s="154">
        <v>9.17</v>
      </c>
      <c r="F8" s="154">
        <v>12.9</v>
      </c>
      <c r="G8" s="154">
        <v>9.6300000000000008</v>
      </c>
      <c r="H8" s="154">
        <v>13.54</v>
      </c>
      <c r="I8" s="252">
        <v>0</v>
      </c>
      <c r="J8" s="252">
        <v>0.05</v>
      </c>
      <c r="K8" s="154">
        <v>15.62</v>
      </c>
      <c r="L8" s="154" t="s">
        <v>4024</v>
      </c>
      <c r="M8" s="154">
        <v>3.03</v>
      </c>
      <c r="N8" s="154">
        <v>0.08</v>
      </c>
      <c r="O8" s="154">
        <v>0.02</v>
      </c>
      <c r="P8" s="1162">
        <v>7.16</v>
      </c>
      <c r="Q8" s="146" t="s">
        <v>4025</v>
      </c>
      <c r="R8" s="254">
        <v>300</v>
      </c>
      <c r="S8" s="254"/>
      <c r="T8" s="254" t="s">
        <v>4026</v>
      </c>
      <c r="U8" s="1163">
        <v>31.440387000000001</v>
      </c>
      <c r="V8" s="1163">
        <v>114.91974</v>
      </c>
      <c r="W8" s="1164">
        <v>725</v>
      </c>
      <c r="X8" s="986">
        <v>1.131</v>
      </c>
      <c r="Y8" s="163">
        <v>910.5</v>
      </c>
      <c r="Z8" s="163">
        <v>893</v>
      </c>
      <c r="AA8" s="163">
        <v>479.5</v>
      </c>
      <c r="AB8" s="163">
        <v>14</v>
      </c>
      <c r="AC8" s="257">
        <v>11.666666666666666</v>
      </c>
      <c r="AD8" s="257">
        <v>24</v>
      </c>
      <c r="AE8" s="257">
        <v>45</v>
      </c>
      <c r="AF8" s="257">
        <v>230</v>
      </c>
      <c r="AG8" s="257">
        <v>41.5</v>
      </c>
      <c r="AH8" s="163">
        <v>19.5</v>
      </c>
      <c r="AI8" s="258">
        <v>0.6462</v>
      </c>
      <c r="AJ8" s="258">
        <v>1.4E-3</v>
      </c>
      <c r="AK8" s="258">
        <v>3.3300000000000003E-2</v>
      </c>
      <c r="AL8" s="258">
        <v>4.6399999999999997E-2</v>
      </c>
      <c r="AM8" s="259">
        <v>5.3999999999999999E-2</v>
      </c>
      <c r="AN8" s="259">
        <v>0.1731</v>
      </c>
      <c r="AO8" s="259">
        <v>2.98E-2</v>
      </c>
      <c r="AP8" s="259">
        <v>1.5800000000000002E-2</v>
      </c>
      <c r="AQ8" s="259">
        <v>0</v>
      </c>
      <c r="AR8" s="258">
        <v>0</v>
      </c>
      <c r="AS8" s="865">
        <v>25</v>
      </c>
      <c r="AT8" s="865">
        <v>25</v>
      </c>
      <c r="AU8" s="254" t="s">
        <v>4028</v>
      </c>
      <c r="AV8" s="188" t="str">
        <f>IF(AND(LOC[[#This Row],[String]]&lt;&gt;"",_xlfn.CONCAT(LOC[[#This Row],[Standort]:[ETS]])=LOC[[#This Row],[String]]),"X","C")</f>
        <v>X</v>
      </c>
      <c r="AW8" s="188" t="s">
        <v>4027</v>
      </c>
    </row>
    <row r="9" spans="2:50">
      <c r="R9" s="5"/>
      <c r="S9" s="5"/>
      <c r="T9" s="5"/>
      <c r="U9" s="4"/>
      <c r="V9" s="4"/>
      <c r="W9" s="4"/>
      <c r="X9" s="4"/>
      <c r="Y9" s="175"/>
      <c r="Z9" s="175"/>
      <c r="AA9" s="175"/>
      <c r="AB9" s="175"/>
      <c r="AC9" s="175"/>
      <c r="AD9" s="175"/>
      <c r="AE9" s="175"/>
      <c r="AF9" s="175"/>
      <c r="AG9" s="175"/>
      <c r="AH9" s="175"/>
      <c r="AI9" s="260"/>
      <c r="AJ9" s="260"/>
      <c r="AK9" s="260"/>
      <c r="AL9" s="260"/>
      <c r="AM9" s="260"/>
      <c r="AN9" s="260"/>
      <c r="AO9" s="260"/>
      <c r="AP9" s="260"/>
      <c r="AQ9" s="260"/>
      <c r="AR9" s="260"/>
      <c r="AS9" s="866"/>
      <c r="AT9" s="866"/>
    </row>
    <row r="10" spans="2:50">
      <c r="R10" s="5"/>
      <c r="S10" s="5"/>
      <c r="T10" s="5"/>
      <c r="U10" s="4"/>
      <c r="V10" s="4"/>
      <c r="W10" s="4"/>
      <c r="X10" s="4"/>
      <c r="Y10" s="175"/>
      <c r="Z10" s="175"/>
      <c r="AA10" s="175"/>
      <c r="AB10" s="175"/>
      <c r="AC10" s="175"/>
      <c r="AD10" s="175"/>
      <c r="AE10" s="175"/>
      <c r="AF10" s="175"/>
      <c r="AG10" s="175"/>
      <c r="AH10" s="175"/>
      <c r="AI10" s="260"/>
      <c r="AJ10" s="260"/>
      <c r="AK10" s="260"/>
      <c r="AL10" s="260"/>
      <c r="AM10" s="260"/>
      <c r="AN10" s="260"/>
      <c r="AO10" s="260"/>
      <c r="AP10" s="260"/>
      <c r="AQ10" s="260"/>
      <c r="AR10" s="260"/>
      <c r="AS10" s="866"/>
      <c r="AT10" s="866"/>
    </row>
    <row r="11" spans="2:50">
      <c r="R11" s="5"/>
      <c r="S11" s="5"/>
      <c r="T11" s="5"/>
      <c r="U11" s="4"/>
      <c r="V11" s="4"/>
      <c r="W11" s="4"/>
      <c r="X11" s="4"/>
      <c r="Y11" s="175"/>
      <c r="Z11" s="175"/>
      <c r="AA11" s="175"/>
      <c r="AB11" s="175"/>
      <c r="AC11" s="175"/>
      <c r="AD11" s="175"/>
      <c r="AE11" s="175"/>
      <c r="AF11" s="175"/>
      <c r="AG11" s="175"/>
      <c r="AH11" s="175"/>
      <c r="AI11" s="260"/>
      <c r="AJ11" s="260"/>
      <c r="AK11" s="260"/>
      <c r="AL11" s="260"/>
      <c r="AM11" s="260"/>
      <c r="AN11" s="260"/>
      <c r="AO11" s="260"/>
      <c r="AP11" s="260"/>
      <c r="AQ11" s="260"/>
      <c r="AR11" s="260"/>
      <c r="AS11" s="866"/>
      <c r="AT11" s="866"/>
    </row>
    <row r="12" spans="2:50">
      <c r="R12" s="5"/>
      <c r="S12" s="5"/>
      <c r="T12" s="5"/>
      <c r="U12" s="4"/>
      <c r="V12" s="4"/>
      <c r="W12" s="4"/>
      <c r="X12" s="4"/>
      <c r="Y12" s="175"/>
      <c r="Z12" s="175"/>
      <c r="AA12" s="175"/>
      <c r="AB12" s="175"/>
      <c r="AC12" s="175"/>
      <c r="AD12" s="175"/>
      <c r="AE12" s="175"/>
      <c r="AF12" s="175"/>
      <c r="AG12" s="175"/>
      <c r="AH12" s="175"/>
      <c r="AI12" s="260"/>
      <c r="AJ12" s="260"/>
      <c r="AK12" s="260"/>
      <c r="AL12" s="260"/>
      <c r="AM12" s="260"/>
      <c r="AN12" s="260"/>
      <c r="AO12" s="260"/>
      <c r="AP12" s="260"/>
      <c r="AQ12" s="260"/>
      <c r="AR12" s="260"/>
      <c r="AS12" s="866"/>
      <c r="AT12" s="866"/>
    </row>
    <row r="13" spans="2:50">
      <c r="R13" s="5"/>
      <c r="S13" s="5"/>
      <c r="T13" s="5"/>
      <c r="U13" s="4"/>
      <c r="V13" s="4"/>
      <c r="W13" s="4"/>
      <c r="X13" s="4"/>
      <c r="Y13" s="175"/>
      <c r="Z13" s="175"/>
      <c r="AA13" s="175"/>
      <c r="AB13" s="175"/>
      <c r="AC13" s="175"/>
      <c r="AD13" s="175"/>
      <c r="AE13" s="175"/>
      <c r="AF13" s="175"/>
      <c r="AG13" s="175"/>
      <c r="AH13" s="175"/>
      <c r="AI13" s="260"/>
      <c r="AJ13" s="260"/>
      <c r="AK13" s="260"/>
      <c r="AL13" s="260"/>
      <c r="AM13" s="260"/>
      <c r="AN13" s="260"/>
      <c r="AO13" s="260"/>
      <c r="AP13" s="260"/>
      <c r="AQ13" s="260"/>
      <c r="AR13" s="260"/>
      <c r="AS13" s="866"/>
      <c r="AT13" s="866"/>
    </row>
    <row r="14" spans="2:50">
      <c r="R14" s="5"/>
      <c r="S14" s="5"/>
      <c r="T14" s="5"/>
      <c r="U14" s="4"/>
      <c r="V14" s="4"/>
      <c r="W14" s="4"/>
      <c r="X14" s="4"/>
      <c r="Y14" s="175"/>
      <c r="Z14" s="175"/>
      <c r="AA14" s="175"/>
      <c r="AB14" s="175"/>
      <c r="AC14" s="175"/>
      <c r="AD14" s="175"/>
      <c r="AE14" s="175"/>
      <c r="AF14" s="175"/>
      <c r="AG14" s="175"/>
      <c r="AH14" s="175"/>
      <c r="AI14" s="260"/>
      <c r="AJ14" s="260"/>
      <c r="AK14" s="260"/>
      <c r="AL14" s="260"/>
      <c r="AM14" s="260"/>
      <c r="AN14" s="260"/>
      <c r="AO14" s="260"/>
      <c r="AP14" s="260"/>
      <c r="AQ14" s="260"/>
      <c r="AR14" s="260"/>
      <c r="AS14" s="866"/>
      <c r="AT14" s="866"/>
    </row>
    <row r="15" spans="2:50">
      <c r="R15" s="5"/>
      <c r="S15" s="5"/>
      <c r="T15" s="5"/>
      <c r="U15" s="4"/>
      <c r="V15" s="4"/>
      <c r="W15" s="4"/>
      <c r="X15" s="4"/>
      <c r="Y15" s="261"/>
      <c r="Z15" s="261"/>
      <c r="AA15" s="261"/>
      <c r="AB15" s="261"/>
      <c r="AC15" s="261"/>
      <c r="AD15" s="261"/>
      <c r="AE15" s="261"/>
      <c r="AF15" s="261"/>
      <c r="AG15" s="261"/>
      <c r="AH15" s="261"/>
      <c r="AI15" s="260"/>
      <c r="AJ15" s="260"/>
      <c r="AK15" s="260"/>
      <c r="AL15" s="260"/>
      <c r="AM15" s="260"/>
      <c r="AN15" s="260"/>
      <c r="AO15" s="260"/>
      <c r="AP15" s="260"/>
      <c r="AQ15" s="260"/>
      <c r="AR15" s="260"/>
      <c r="AS15" s="866"/>
      <c r="AT15" s="866"/>
    </row>
    <row r="16" spans="2:50">
      <c r="R16" s="5"/>
      <c r="S16" s="5"/>
      <c r="T16" s="5"/>
      <c r="U16" s="4"/>
      <c r="V16" s="4"/>
      <c r="W16" s="4"/>
      <c r="X16" s="4"/>
      <c r="Y16" s="175"/>
      <c r="Z16" s="175"/>
      <c r="AA16" s="175"/>
      <c r="AB16" s="175"/>
      <c r="AC16" s="175"/>
      <c r="AD16" s="175"/>
      <c r="AE16" s="175"/>
      <c r="AF16" s="175"/>
      <c r="AG16" s="175"/>
      <c r="AH16" s="175"/>
      <c r="AI16" s="260"/>
      <c r="AJ16" s="260"/>
      <c r="AK16" s="260"/>
      <c r="AL16" s="260"/>
      <c r="AM16" s="260"/>
      <c r="AN16" s="260"/>
      <c r="AO16" s="260"/>
      <c r="AP16" s="260"/>
      <c r="AQ16" s="260"/>
      <c r="AR16" s="260"/>
      <c r="AS16" s="866"/>
      <c r="AT16" s="866"/>
    </row>
    <row r="17" spans="18:46">
      <c r="R17" s="5"/>
      <c r="S17" s="5"/>
      <c r="T17" s="5"/>
      <c r="U17" s="4"/>
      <c r="V17" s="4"/>
      <c r="W17" s="4"/>
      <c r="X17" s="4"/>
      <c r="Y17" s="175"/>
      <c r="Z17" s="175"/>
      <c r="AA17" s="175"/>
      <c r="AB17" s="175"/>
      <c r="AC17" s="175"/>
      <c r="AD17" s="175"/>
      <c r="AE17" s="175"/>
      <c r="AF17" s="175"/>
      <c r="AG17" s="175"/>
      <c r="AH17" s="175"/>
      <c r="AI17" s="260"/>
      <c r="AJ17" s="260"/>
      <c r="AK17" s="260"/>
      <c r="AL17" s="260"/>
      <c r="AM17" s="260"/>
      <c r="AN17" s="260"/>
      <c r="AO17" s="260"/>
      <c r="AP17" s="260"/>
      <c r="AQ17" s="260"/>
      <c r="AR17" s="260"/>
      <c r="AS17" s="866"/>
      <c r="AT17" s="866"/>
    </row>
    <row r="18" spans="18:46">
      <c r="R18" s="5"/>
      <c r="S18" s="5"/>
      <c r="T18" s="5"/>
      <c r="U18" s="4"/>
      <c r="V18" s="4"/>
      <c r="W18" s="4"/>
      <c r="X18" s="4"/>
      <c r="Y18" s="175"/>
      <c r="Z18" s="175"/>
      <c r="AA18" s="175"/>
      <c r="AB18" s="175"/>
      <c r="AC18" s="175"/>
      <c r="AD18" s="175"/>
      <c r="AE18" s="175"/>
      <c r="AF18" s="175"/>
      <c r="AG18" s="175"/>
      <c r="AH18" s="175"/>
      <c r="AI18" s="260"/>
      <c r="AJ18" s="260"/>
      <c r="AK18" s="260"/>
      <c r="AL18" s="260"/>
      <c r="AM18" s="260"/>
      <c r="AN18" s="260"/>
      <c r="AO18" s="260"/>
      <c r="AP18" s="260"/>
      <c r="AQ18" s="260"/>
      <c r="AR18" s="260"/>
      <c r="AS18" s="866"/>
      <c r="AT18" s="866"/>
    </row>
    <row r="19" spans="18:46">
      <c r="R19" s="5"/>
      <c r="S19" s="5"/>
      <c r="T19" s="5"/>
      <c r="U19" s="4"/>
      <c r="V19" s="4"/>
      <c r="W19" s="4"/>
      <c r="X19" s="4"/>
      <c r="Y19" s="175"/>
      <c r="Z19" s="175"/>
      <c r="AA19" s="175"/>
      <c r="AB19" s="175"/>
      <c r="AC19" s="175"/>
      <c r="AD19" s="175"/>
      <c r="AE19" s="175"/>
      <c r="AF19" s="175"/>
      <c r="AG19" s="175"/>
      <c r="AH19" s="175"/>
      <c r="AI19" s="260"/>
      <c r="AJ19" s="260"/>
      <c r="AK19" s="260"/>
      <c r="AL19" s="260"/>
      <c r="AM19" s="260"/>
      <c r="AN19" s="260"/>
      <c r="AO19" s="260"/>
      <c r="AP19" s="260"/>
      <c r="AQ19" s="260"/>
      <c r="AR19" s="260"/>
      <c r="AS19" s="866"/>
      <c r="AT19" s="866"/>
    </row>
    <row r="20" spans="18:46">
      <c r="R20" s="5"/>
      <c r="S20" s="5"/>
      <c r="T20" s="5"/>
      <c r="U20" s="5"/>
      <c r="V20" s="5"/>
      <c r="W20" s="4"/>
      <c r="X20" s="4"/>
      <c r="Y20" s="175"/>
      <c r="Z20" s="175"/>
      <c r="AA20" s="175"/>
      <c r="AB20" s="175"/>
      <c r="AC20" s="175"/>
      <c r="AD20" s="175"/>
      <c r="AE20" s="175"/>
      <c r="AF20" s="175"/>
      <c r="AG20" s="175"/>
      <c r="AH20" s="175"/>
      <c r="AI20" s="260"/>
      <c r="AJ20" s="260"/>
      <c r="AK20" s="260"/>
      <c r="AL20" s="260"/>
      <c r="AM20" s="260"/>
      <c r="AN20" s="260"/>
      <c r="AO20" s="260"/>
      <c r="AP20" s="260"/>
      <c r="AQ20" s="260"/>
      <c r="AR20" s="260"/>
      <c r="AS20" s="866"/>
      <c r="AT20" s="866"/>
    </row>
    <row r="21" spans="18:46">
      <c r="R21" s="5"/>
      <c r="S21" s="5"/>
      <c r="T21" s="5"/>
      <c r="U21" s="4"/>
      <c r="V21" s="4"/>
      <c r="W21" s="4"/>
      <c r="X21" s="4"/>
      <c r="Y21" s="175"/>
      <c r="Z21" s="175"/>
      <c r="AA21" s="175"/>
      <c r="AB21" s="175"/>
      <c r="AC21" s="175"/>
      <c r="AD21" s="175"/>
      <c r="AE21" s="175"/>
      <c r="AF21" s="175"/>
      <c r="AG21" s="175"/>
      <c r="AH21" s="175"/>
      <c r="AI21" s="260"/>
      <c r="AJ21" s="260"/>
      <c r="AK21" s="260"/>
      <c r="AL21" s="260"/>
      <c r="AM21" s="260"/>
      <c r="AN21" s="260"/>
      <c r="AO21" s="260"/>
      <c r="AP21" s="260"/>
      <c r="AQ21" s="260"/>
      <c r="AR21" s="260"/>
      <c r="AS21" s="866"/>
      <c r="AT21" s="866"/>
    </row>
    <row r="22" spans="18:46">
      <c r="R22" s="5"/>
      <c r="S22" s="5"/>
      <c r="T22" s="5"/>
      <c r="U22" s="4"/>
      <c r="V22" s="4"/>
      <c r="W22" s="4"/>
      <c r="X22" s="4"/>
      <c r="Y22" s="175"/>
      <c r="Z22" s="175"/>
      <c r="AA22" s="175"/>
      <c r="AB22" s="175"/>
      <c r="AC22" s="175"/>
      <c r="AD22" s="175"/>
      <c r="AE22" s="175"/>
      <c r="AF22" s="175"/>
      <c r="AG22" s="175"/>
      <c r="AH22" s="175"/>
      <c r="AI22" s="260"/>
      <c r="AJ22" s="260"/>
      <c r="AK22" s="260"/>
      <c r="AL22" s="260"/>
      <c r="AM22" s="260"/>
      <c r="AN22" s="260"/>
      <c r="AO22" s="260"/>
      <c r="AP22" s="260"/>
      <c r="AQ22" s="260"/>
      <c r="AR22" s="260"/>
      <c r="AS22" s="866"/>
      <c r="AT22" s="866"/>
    </row>
    <row r="23" spans="18:46">
      <c r="R23" s="5"/>
      <c r="S23" s="5"/>
      <c r="T23" s="5"/>
      <c r="U23" s="4"/>
      <c r="V23" s="4"/>
      <c r="W23" s="4"/>
      <c r="X23" s="4"/>
      <c r="Y23" s="175"/>
      <c r="Z23" s="175"/>
      <c r="AA23" s="175"/>
      <c r="AB23" s="175"/>
      <c r="AC23" s="175"/>
      <c r="AD23" s="175"/>
      <c r="AE23" s="175"/>
      <c r="AF23" s="175"/>
      <c r="AG23" s="175"/>
      <c r="AH23" s="175"/>
      <c r="AI23" s="260"/>
      <c r="AJ23" s="260"/>
      <c r="AK23" s="260"/>
      <c r="AL23" s="260"/>
      <c r="AM23" s="260"/>
      <c r="AN23" s="260"/>
      <c r="AO23" s="260"/>
      <c r="AP23" s="260"/>
      <c r="AQ23" s="260"/>
      <c r="AR23" s="260"/>
      <c r="AS23" s="866"/>
      <c r="AT23" s="866"/>
    </row>
    <row r="24" spans="18:46">
      <c r="R24" s="5"/>
      <c r="S24" s="5"/>
      <c r="T24" s="5"/>
      <c r="U24" s="4"/>
      <c r="V24" s="4"/>
      <c r="W24" s="4"/>
      <c r="X24" s="4"/>
      <c r="Y24" s="175"/>
      <c r="Z24" s="175"/>
      <c r="AA24" s="175"/>
      <c r="AB24" s="175"/>
      <c r="AC24" s="175"/>
      <c r="AD24" s="175"/>
      <c r="AE24" s="175"/>
      <c r="AF24" s="175"/>
      <c r="AG24" s="175"/>
      <c r="AH24" s="175"/>
      <c r="AI24" s="260"/>
      <c r="AJ24" s="260"/>
      <c r="AK24" s="260"/>
      <c r="AL24" s="260"/>
      <c r="AM24" s="260"/>
      <c r="AN24" s="260"/>
      <c r="AO24" s="260"/>
      <c r="AP24" s="260"/>
      <c r="AQ24" s="260"/>
      <c r="AR24" s="260"/>
      <c r="AS24" s="866"/>
      <c r="AT24" s="866"/>
    </row>
    <row r="25" spans="18:46">
      <c r="R25" s="5"/>
      <c r="S25" s="5"/>
      <c r="T25" s="5"/>
      <c r="U25" s="4"/>
      <c r="V25" s="4"/>
      <c r="W25" s="4"/>
      <c r="X25" s="4"/>
      <c r="Y25" s="175"/>
      <c r="Z25" s="175"/>
      <c r="AA25" s="175"/>
      <c r="AB25" s="175"/>
      <c r="AC25" s="175"/>
      <c r="AD25" s="175"/>
      <c r="AE25" s="175"/>
      <c r="AF25" s="175"/>
      <c r="AG25" s="175"/>
      <c r="AH25" s="175"/>
      <c r="AI25" s="260"/>
      <c r="AJ25" s="260"/>
      <c r="AK25" s="260"/>
      <c r="AL25" s="260"/>
      <c r="AM25" s="260"/>
      <c r="AN25" s="260"/>
      <c r="AO25" s="260"/>
      <c r="AP25" s="260"/>
      <c r="AQ25" s="260"/>
      <c r="AR25" s="260"/>
      <c r="AS25" s="866"/>
      <c r="AT25" s="866"/>
    </row>
    <row r="26" spans="18:46">
      <c r="R26" s="5"/>
      <c r="S26" s="5"/>
      <c r="T26" s="5"/>
      <c r="U26" s="4"/>
      <c r="V26" s="4"/>
      <c r="W26" s="4"/>
      <c r="X26" s="4"/>
      <c r="Y26" s="175"/>
      <c r="Z26" s="175"/>
      <c r="AA26" s="175"/>
      <c r="AB26" s="175"/>
      <c r="AC26" s="175"/>
      <c r="AD26" s="175"/>
      <c r="AE26" s="175"/>
      <c r="AF26" s="175"/>
      <c r="AG26" s="175"/>
      <c r="AH26" s="175"/>
      <c r="AI26" s="260"/>
      <c r="AJ26" s="260"/>
      <c r="AK26" s="260"/>
      <c r="AL26" s="260"/>
      <c r="AM26" s="260"/>
      <c r="AN26" s="260"/>
      <c r="AO26" s="260"/>
      <c r="AP26" s="260"/>
      <c r="AQ26" s="260"/>
      <c r="AR26" s="260"/>
      <c r="AS26" s="866"/>
      <c r="AT26" s="866"/>
    </row>
    <row r="27" spans="18:46">
      <c r="R27" s="5"/>
      <c r="S27" s="5"/>
      <c r="T27" s="5"/>
      <c r="U27" s="4"/>
      <c r="V27" s="4"/>
      <c r="W27" s="4"/>
      <c r="X27" s="4"/>
      <c r="Y27" s="175"/>
      <c r="Z27" s="175"/>
      <c r="AA27" s="175"/>
      <c r="AB27" s="175"/>
      <c r="AC27" s="175"/>
      <c r="AD27" s="175"/>
      <c r="AE27" s="175"/>
      <c r="AF27" s="175"/>
      <c r="AG27" s="175"/>
      <c r="AH27" s="175"/>
      <c r="AI27" s="260"/>
      <c r="AJ27" s="260"/>
      <c r="AK27" s="260"/>
      <c r="AL27" s="260"/>
      <c r="AM27" s="260"/>
      <c r="AN27" s="260"/>
      <c r="AO27" s="260"/>
      <c r="AP27" s="260"/>
      <c r="AQ27" s="260"/>
      <c r="AR27" s="260"/>
      <c r="AS27" s="866"/>
      <c r="AT27" s="866"/>
    </row>
    <row r="28" spans="18:46">
      <c r="R28" s="5"/>
      <c r="S28" s="5"/>
      <c r="T28" s="5"/>
      <c r="U28" s="4"/>
      <c r="V28" s="4"/>
      <c r="W28" s="4"/>
      <c r="X28" s="4"/>
      <c r="Y28" s="175"/>
      <c r="Z28" s="175"/>
      <c r="AA28" s="175"/>
      <c r="AB28" s="175"/>
      <c r="AC28" s="175"/>
      <c r="AD28" s="175"/>
      <c r="AE28" s="175"/>
      <c r="AF28" s="175"/>
      <c r="AG28" s="175"/>
      <c r="AH28" s="175"/>
      <c r="AI28" s="260"/>
      <c r="AJ28" s="260"/>
      <c r="AK28" s="260"/>
      <c r="AL28" s="260"/>
      <c r="AM28" s="260"/>
      <c r="AN28" s="260"/>
      <c r="AO28" s="260"/>
      <c r="AP28" s="260"/>
      <c r="AQ28" s="260"/>
      <c r="AR28" s="260"/>
      <c r="AS28" s="866"/>
      <c r="AT28" s="866"/>
    </row>
    <row r="29" spans="18:46">
      <c r="R29" s="5"/>
      <c r="S29" s="5"/>
      <c r="T29" s="5"/>
      <c r="U29" s="4"/>
      <c r="V29" s="4"/>
      <c r="W29" s="4"/>
      <c r="X29" s="4"/>
      <c r="Y29" s="175"/>
      <c r="Z29" s="175"/>
      <c r="AA29" s="175"/>
      <c r="AB29" s="175"/>
      <c r="AC29" s="175"/>
      <c r="AD29" s="175"/>
      <c r="AE29" s="175"/>
      <c r="AF29" s="175"/>
      <c r="AG29" s="175"/>
      <c r="AH29" s="175"/>
      <c r="AI29" s="260"/>
      <c r="AJ29" s="260"/>
      <c r="AK29" s="260"/>
      <c r="AL29" s="260"/>
      <c r="AM29" s="260"/>
      <c r="AN29" s="260"/>
      <c r="AO29" s="260"/>
      <c r="AP29" s="260"/>
      <c r="AQ29" s="260"/>
      <c r="AR29" s="260"/>
      <c r="AS29" s="866"/>
      <c r="AT29" s="866"/>
    </row>
    <row r="30" spans="18:46">
      <c r="R30" s="5"/>
      <c r="S30" s="5"/>
      <c r="T30" s="5"/>
      <c r="U30" s="4"/>
      <c r="V30" s="4"/>
      <c r="W30" s="4"/>
      <c r="X30" s="4"/>
      <c r="Y30" s="175"/>
      <c r="Z30" s="175"/>
      <c r="AA30" s="175"/>
      <c r="AB30" s="175"/>
      <c r="AC30" s="175"/>
      <c r="AD30" s="175"/>
      <c r="AE30" s="175"/>
      <c r="AF30" s="175"/>
      <c r="AG30" s="175"/>
      <c r="AH30" s="175"/>
      <c r="AI30" s="260"/>
      <c r="AJ30" s="260"/>
      <c r="AK30" s="260"/>
      <c r="AL30" s="260"/>
      <c r="AM30" s="260"/>
      <c r="AN30" s="260"/>
      <c r="AO30" s="260"/>
      <c r="AP30" s="260"/>
      <c r="AQ30" s="260"/>
      <c r="AR30" s="260"/>
      <c r="AS30" s="866"/>
      <c r="AT30" s="866"/>
    </row>
    <row r="31" spans="18:46">
      <c r="R31" s="5"/>
      <c r="S31" s="5"/>
      <c r="T31" s="5"/>
      <c r="U31" s="4"/>
      <c r="V31" s="4"/>
      <c r="W31" s="4"/>
      <c r="X31" s="4"/>
      <c r="Y31" s="175"/>
      <c r="Z31" s="175"/>
      <c r="AA31" s="175"/>
      <c r="AB31" s="175"/>
      <c r="AC31" s="175"/>
      <c r="AD31" s="175"/>
      <c r="AE31" s="175"/>
      <c r="AF31" s="175"/>
      <c r="AG31" s="175"/>
      <c r="AH31" s="175"/>
      <c r="AI31" s="260"/>
      <c r="AJ31" s="260"/>
      <c r="AK31" s="260"/>
      <c r="AL31" s="260"/>
      <c r="AM31" s="260"/>
      <c r="AN31" s="260"/>
      <c r="AO31" s="260"/>
      <c r="AP31" s="260"/>
      <c r="AQ31" s="260"/>
      <c r="AR31" s="260"/>
      <c r="AS31" s="866"/>
      <c r="AT31" s="866"/>
    </row>
    <row r="32" spans="18:46">
      <c r="R32" s="5"/>
      <c r="S32" s="5"/>
      <c r="T32" s="5"/>
      <c r="U32" s="4"/>
      <c r="V32" s="4"/>
      <c r="W32" s="4"/>
      <c r="X32" s="4"/>
      <c r="Y32" s="175"/>
      <c r="Z32" s="175"/>
      <c r="AA32" s="175"/>
      <c r="AB32" s="175"/>
      <c r="AC32" s="175"/>
      <c r="AD32" s="175"/>
      <c r="AE32" s="175"/>
      <c r="AF32" s="175"/>
      <c r="AG32" s="175"/>
      <c r="AH32" s="175"/>
      <c r="AI32" s="260"/>
      <c r="AJ32" s="260"/>
      <c r="AK32" s="260"/>
      <c r="AL32" s="260"/>
      <c r="AM32" s="260"/>
      <c r="AN32" s="260"/>
      <c r="AO32" s="260"/>
      <c r="AP32" s="260"/>
      <c r="AQ32" s="260"/>
      <c r="AR32" s="260"/>
      <c r="AS32" s="866"/>
      <c r="AT32" s="866"/>
    </row>
    <row r="33" spans="18:46">
      <c r="R33" s="5"/>
      <c r="S33" s="5"/>
      <c r="T33" s="5"/>
      <c r="U33" s="4"/>
      <c r="V33" s="4"/>
      <c r="W33" s="4"/>
      <c r="X33" s="4"/>
      <c r="Y33" s="175"/>
      <c r="Z33" s="175"/>
      <c r="AA33" s="175"/>
      <c r="AB33" s="175"/>
      <c r="AC33" s="175"/>
      <c r="AD33" s="175"/>
      <c r="AE33" s="175"/>
      <c r="AF33" s="175"/>
      <c r="AG33" s="175"/>
      <c r="AH33" s="175"/>
      <c r="AI33" s="260"/>
      <c r="AJ33" s="260"/>
      <c r="AK33" s="260"/>
      <c r="AL33" s="260"/>
      <c r="AM33" s="260"/>
      <c r="AN33" s="260"/>
      <c r="AO33" s="260"/>
      <c r="AP33" s="260"/>
      <c r="AQ33" s="260"/>
      <c r="AR33" s="260"/>
      <c r="AS33" s="866"/>
      <c r="AT33" s="866"/>
    </row>
    <row r="34" spans="18:46">
      <c r="R34" s="5"/>
      <c r="S34" s="5"/>
      <c r="T34" s="5"/>
      <c r="U34" s="4"/>
      <c r="V34" s="4"/>
      <c r="W34" s="4"/>
      <c r="X34" s="4"/>
      <c r="Y34" s="175"/>
      <c r="Z34" s="175"/>
      <c r="AA34" s="175"/>
      <c r="AB34" s="175"/>
      <c r="AC34" s="175"/>
      <c r="AD34" s="175"/>
      <c r="AE34" s="175"/>
      <c r="AF34" s="175"/>
      <c r="AG34" s="175"/>
      <c r="AH34" s="175"/>
      <c r="AI34" s="260"/>
      <c r="AJ34" s="260"/>
      <c r="AK34" s="260"/>
      <c r="AL34" s="260"/>
      <c r="AM34" s="260"/>
      <c r="AN34" s="260"/>
      <c r="AO34" s="260"/>
      <c r="AP34" s="260"/>
      <c r="AQ34" s="260"/>
      <c r="AR34" s="260"/>
      <c r="AS34" s="866"/>
      <c r="AT34" s="866"/>
    </row>
    <row r="35" spans="18:46">
      <c r="R35" s="5"/>
      <c r="S35" s="5"/>
      <c r="T35" s="5"/>
      <c r="U35" s="4"/>
      <c r="V35" s="4"/>
      <c r="W35" s="4"/>
      <c r="X35" s="4"/>
      <c r="Y35" s="175"/>
      <c r="Z35" s="175"/>
      <c r="AA35" s="175"/>
      <c r="AB35" s="175"/>
      <c r="AC35" s="175"/>
      <c r="AD35" s="175"/>
      <c r="AE35" s="175"/>
      <c r="AF35" s="175"/>
      <c r="AG35" s="175"/>
      <c r="AH35" s="175"/>
      <c r="AI35" s="260"/>
      <c r="AJ35" s="260"/>
      <c r="AK35" s="260"/>
      <c r="AL35" s="260"/>
      <c r="AM35" s="260"/>
      <c r="AN35" s="260"/>
      <c r="AO35" s="260"/>
      <c r="AP35" s="260"/>
      <c r="AQ35" s="260"/>
      <c r="AR35" s="260"/>
      <c r="AS35" s="866"/>
      <c r="AT35" s="866"/>
    </row>
    <row r="36" spans="18:46">
      <c r="R36" s="5"/>
      <c r="S36" s="5"/>
      <c r="T36" s="5"/>
      <c r="U36" s="4"/>
      <c r="V36" s="4"/>
      <c r="W36" s="4"/>
      <c r="X36" s="4"/>
      <c r="Y36" s="175"/>
      <c r="Z36" s="175"/>
      <c r="AA36" s="175"/>
      <c r="AB36" s="175"/>
      <c r="AC36" s="175"/>
      <c r="AD36" s="175"/>
      <c r="AE36" s="175"/>
      <c r="AF36" s="175"/>
      <c r="AG36" s="175"/>
      <c r="AH36" s="175"/>
      <c r="AI36" s="260"/>
      <c r="AJ36" s="260"/>
      <c r="AK36" s="260"/>
      <c r="AL36" s="260"/>
      <c r="AM36" s="260"/>
      <c r="AN36" s="260"/>
      <c r="AO36" s="260"/>
      <c r="AP36" s="260"/>
      <c r="AQ36" s="260"/>
      <c r="AR36" s="260"/>
      <c r="AS36" s="866"/>
      <c r="AT36" s="866"/>
    </row>
    <row r="37" spans="18:46">
      <c r="R37" s="5"/>
      <c r="S37" s="5"/>
      <c r="T37" s="5"/>
      <c r="U37" s="4"/>
      <c r="V37" s="4"/>
      <c r="W37" s="4"/>
      <c r="X37" s="4"/>
      <c r="Y37" s="175"/>
      <c r="Z37" s="175"/>
      <c r="AA37" s="175"/>
      <c r="AB37" s="175"/>
      <c r="AC37" s="175"/>
      <c r="AD37" s="175"/>
      <c r="AE37" s="175"/>
      <c r="AF37" s="175"/>
      <c r="AG37" s="175"/>
      <c r="AH37" s="175"/>
      <c r="AI37" s="260"/>
      <c r="AJ37" s="260"/>
      <c r="AK37" s="260"/>
      <c r="AL37" s="260"/>
      <c r="AM37" s="260"/>
      <c r="AN37" s="260"/>
      <c r="AO37" s="260"/>
      <c r="AP37" s="260"/>
      <c r="AQ37" s="260"/>
      <c r="AR37" s="260"/>
      <c r="AS37" s="866"/>
      <c r="AT37" s="866"/>
    </row>
    <row r="38" spans="18:46">
      <c r="R38" s="5"/>
      <c r="S38" s="5"/>
      <c r="T38" s="5"/>
      <c r="U38" s="4"/>
      <c r="V38" s="4"/>
      <c r="W38" s="4"/>
      <c r="X38" s="4"/>
      <c r="Y38" s="175"/>
      <c r="Z38" s="175"/>
      <c r="AA38" s="175"/>
      <c r="AB38" s="175"/>
      <c r="AC38" s="175"/>
      <c r="AD38" s="175"/>
      <c r="AE38" s="175"/>
      <c r="AF38" s="175"/>
      <c r="AG38" s="175"/>
      <c r="AH38" s="175"/>
      <c r="AI38" s="260"/>
      <c r="AJ38" s="260"/>
      <c r="AK38" s="260"/>
      <c r="AL38" s="260"/>
      <c r="AM38" s="260"/>
      <c r="AN38" s="260"/>
      <c r="AO38" s="260"/>
      <c r="AP38" s="260"/>
      <c r="AQ38" s="260"/>
      <c r="AR38" s="260"/>
      <c r="AS38" s="866"/>
      <c r="AT38" s="866"/>
    </row>
    <row r="39" spans="18:46">
      <c r="R39" s="5"/>
      <c r="S39" s="5"/>
      <c r="T39" s="5"/>
      <c r="U39" s="4"/>
      <c r="V39" s="4"/>
      <c r="W39" s="4"/>
      <c r="X39" s="4"/>
      <c r="Y39" s="175"/>
      <c r="Z39" s="175"/>
      <c r="AA39" s="175"/>
      <c r="AB39" s="175"/>
      <c r="AC39" s="175"/>
      <c r="AD39" s="175"/>
      <c r="AE39" s="175"/>
      <c r="AF39" s="175"/>
      <c r="AG39" s="175"/>
      <c r="AH39" s="175"/>
      <c r="AI39" s="260"/>
      <c r="AJ39" s="260"/>
      <c r="AK39" s="260"/>
      <c r="AL39" s="260"/>
      <c r="AM39" s="260"/>
      <c r="AN39" s="260"/>
      <c r="AO39" s="260"/>
      <c r="AP39" s="260"/>
      <c r="AQ39" s="260"/>
      <c r="AR39" s="260"/>
      <c r="AS39" s="866"/>
      <c r="AT39" s="866"/>
    </row>
    <row r="40" spans="18:46">
      <c r="R40" s="5"/>
      <c r="S40" s="5"/>
      <c r="T40" s="5"/>
      <c r="U40" s="4"/>
      <c r="V40" s="4"/>
      <c r="W40" s="4"/>
      <c r="X40" s="4"/>
      <c r="Y40" s="175"/>
      <c r="Z40" s="175"/>
      <c r="AA40" s="175"/>
      <c r="AB40" s="175"/>
      <c r="AC40" s="175"/>
      <c r="AD40" s="175"/>
      <c r="AE40" s="175"/>
      <c r="AF40" s="175"/>
      <c r="AG40" s="175"/>
      <c r="AH40" s="175"/>
      <c r="AI40" s="260"/>
      <c r="AJ40" s="260"/>
      <c r="AK40" s="260"/>
      <c r="AL40" s="260"/>
      <c r="AM40" s="260"/>
      <c r="AN40" s="260"/>
      <c r="AO40" s="260"/>
      <c r="AP40" s="260"/>
      <c r="AQ40" s="260"/>
      <c r="AR40" s="260"/>
      <c r="AS40" s="866"/>
      <c r="AT40" s="866"/>
    </row>
  </sheetData>
  <mergeCells count="6">
    <mergeCell ref="B4:T4"/>
    <mergeCell ref="Y4:AH4"/>
    <mergeCell ref="AI4:AR4"/>
    <mergeCell ref="B2:AX2"/>
    <mergeCell ref="Y5:AH5"/>
    <mergeCell ref="AI5:AR5"/>
  </mergeCells>
  <phoneticPr fontId="39" type="noConversion"/>
  <pageMargins left="0.70866141732283472" right="0.70866141732283472" top="0.78740157480314965" bottom="0.78740157480314965" header="0.31496062992125984" footer="0.31496062992125984"/>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7FF18-975D-480F-85F0-2F731EBA89ED}">
  <sheetPr codeName="Tabelle4"/>
  <dimension ref="B3:Q25"/>
  <sheetViews>
    <sheetView showGridLines="0" zoomScale="85" zoomScaleNormal="85" workbookViewId="0">
      <selection activeCell="C11" sqref="C11"/>
    </sheetView>
  </sheetViews>
  <sheetFormatPr baseColWidth="10" defaultColWidth="12.42578125" defaultRowHeight="15"/>
  <cols>
    <col min="1" max="1" width="2.140625" style="1180" customWidth="1"/>
    <col min="2" max="2" width="32.140625" style="1180" customWidth="1"/>
    <col min="3" max="15" width="13" style="1180" customWidth="1"/>
    <col min="16" max="16" width="13" style="1180" hidden="1" customWidth="1"/>
    <col min="17" max="17" width="13" style="1180" customWidth="1"/>
    <col min="18" max="18" width="2.42578125" style="1180" customWidth="1"/>
    <col min="19" max="16384" width="12.42578125" style="1180"/>
  </cols>
  <sheetData>
    <row r="3" spans="2:17" ht="18.75">
      <c r="B3" s="1227" t="s">
        <v>4067</v>
      </c>
      <c r="C3" s="1226"/>
      <c r="D3" s="1226"/>
      <c r="E3" s="1226"/>
      <c r="F3" s="1226"/>
      <c r="G3" s="1225"/>
    </row>
    <row r="4" spans="2:17">
      <c r="B4" s="1223" t="s">
        <v>4066</v>
      </c>
      <c r="C4" s="1224"/>
      <c r="D4" s="1223" t="s">
        <v>4065</v>
      </c>
      <c r="E4" s="1222"/>
      <c r="F4" s="1222"/>
      <c r="G4" s="1221" t="s">
        <v>4064</v>
      </c>
      <c r="P4" s="1210"/>
    </row>
    <row r="5" spans="2:17">
      <c r="B5" s="1219" t="s">
        <v>3182</v>
      </c>
      <c r="C5" s="1213">
        <v>237</v>
      </c>
      <c r="D5" s="1207"/>
      <c r="E5" s="1206"/>
      <c r="F5" s="1206"/>
      <c r="G5" s="1205"/>
      <c r="K5" s="1220"/>
    </row>
    <row r="6" spans="2:17">
      <c r="B6" s="1219" t="s">
        <v>3184</v>
      </c>
      <c r="C6" s="1213">
        <v>74</v>
      </c>
      <c r="D6" s="1216" t="s">
        <v>4063</v>
      </c>
      <c r="E6" s="1215"/>
      <c r="F6" s="1215"/>
      <c r="G6" s="1214">
        <f>C9*C10</f>
        <v>325160.63999999996</v>
      </c>
      <c r="K6" s="1218"/>
      <c r="P6" s="1210"/>
    </row>
    <row r="7" spans="2:17">
      <c r="B7" s="1207"/>
      <c r="C7" s="1213"/>
      <c r="D7" s="1216" t="s">
        <v>4062</v>
      </c>
      <c r="E7" s="1215"/>
      <c r="F7" s="1215"/>
      <c r="G7" s="1205">
        <f>C5*C6</f>
        <v>17538</v>
      </c>
    </row>
    <row r="8" spans="2:17" ht="33" customHeight="1">
      <c r="B8" s="1217" t="s">
        <v>4061</v>
      </c>
      <c r="C8" s="1213" t="str">
        <f>VLOOKUP(C11,O19:P23,2,FALSE)</f>
        <v>21x24 Inch</v>
      </c>
      <c r="D8" s="1216" t="s">
        <v>4060</v>
      </c>
      <c r="E8" s="1215"/>
      <c r="F8" s="1215"/>
      <c r="G8" s="1214">
        <f>(G6-(G7*C12))/C12</f>
        <v>5687.7599999999966</v>
      </c>
    </row>
    <row r="9" spans="2:17">
      <c r="B9" s="1207" t="s">
        <v>4059</v>
      </c>
      <c r="C9" s="1213">
        <f>VLOOKUP(C8,B18:D23,2,FALSE)*C25</f>
        <v>533.4</v>
      </c>
      <c r="D9" s="1216" t="s">
        <v>4058</v>
      </c>
      <c r="E9" s="1215"/>
      <c r="F9" s="1215"/>
      <c r="G9" s="1214">
        <f>G8+G7</f>
        <v>23225.759999999995</v>
      </c>
    </row>
    <row r="10" spans="2:17">
      <c r="B10" s="1207" t="s">
        <v>4057</v>
      </c>
      <c r="C10" s="1213">
        <f>VLOOKUP(C8,B18:D23,3,FALSE)*C25</f>
        <v>609.59999999999991</v>
      </c>
      <c r="D10" s="1209" t="s">
        <v>4056</v>
      </c>
      <c r="E10" s="1212"/>
      <c r="F10" s="1212"/>
      <c r="G10" s="1211">
        <v>2</v>
      </c>
      <c r="Q10" s="1210"/>
    </row>
    <row r="11" spans="2:17">
      <c r="B11" s="1209" t="s">
        <v>4055</v>
      </c>
      <c r="C11" s="1208">
        <f>MAX(O19:O23)</f>
        <v>0.75510984355302058</v>
      </c>
      <c r="D11" s="1207"/>
      <c r="E11" s="1206"/>
      <c r="F11" s="1206"/>
      <c r="G11" s="1205"/>
    </row>
    <row r="12" spans="2:17">
      <c r="B12" s="1204" t="s">
        <v>4054</v>
      </c>
      <c r="C12" s="1203">
        <f>VLOOKUP(MAX(O19:O23),O19:Q23,3,FALSE)</f>
        <v>14</v>
      </c>
      <c r="D12" s="1202"/>
      <c r="E12" s="1201"/>
      <c r="F12" s="1201"/>
      <c r="G12" s="1200"/>
    </row>
    <row r="13" spans="2:17">
      <c r="D13" s="1199"/>
      <c r="E13" s="1198"/>
    </row>
    <row r="14" spans="2:17">
      <c r="D14" s="1199"/>
      <c r="E14" s="1198"/>
    </row>
    <row r="15" spans="2:17">
      <c r="D15" s="1199"/>
      <c r="E15" s="1198"/>
    </row>
    <row r="16" spans="2:17">
      <c r="B16" s="1432" t="s">
        <v>4053</v>
      </c>
      <c r="C16" s="1432"/>
      <c r="D16" s="1432"/>
      <c r="E16" s="1432"/>
      <c r="F16" s="1432"/>
      <c r="G16" s="1432"/>
      <c r="H16" s="1432"/>
      <c r="I16" s="1432"/>
      <c r="J16" s="1432"/>
      <c r="K16" s="1432"/>
      <c r="L16" s="1432"/>
      <c r="M16" s="1432"/>
      <c r="N16" s="1432"/>
      <c r="O16" s="1432"/>
      <c r="P16" s="1432"/>
      <c r="Q16" s="1432"/>
    </row>
    <row r="17" spans="2:17" ht="7.15" customHeight="1" thickBot="1"/>
    <row r="18" spans="2:17" ht="45">
      <c r="B18" s="1197" t="s">
        <v>4052</v>
      </c>
      <c r="C18" s="1196" t="s">
        <v>4051</v>
      </c>
      <c r="D18" s="1195" t="s">
        <v>4050</v>
      </c>
      <c r="E18" s="1195" t="s">
        <v>3182</v>
      </c>
      <c r="F18" s="1194" t="s">
        <v>3184</v>
      </c>
      <c r="G18" s="1196" t="s">
        <v>4049</v>
      </c>
      <c r="H18" s="1195" t="s">
        <v>4048</v>
      </c>
      <c r="I18" s="1195" t="s">
        <v>4047</v>
      </c>
      <c r="J18" s="1194" t="s">
        <v>4046</v>
      </c>
      <c r="K18" s="1196" t="s">
        <v>4045</v>
      </c>
      <c r="L18" s="1195" t="s">
        <v>4044</v>
      </c>
      <c r="M18" s="1195" t="s">
        <v>4043</v>
      </c>
      <c r="N18" s="1194" t="s">
        <v>4042</v>
      </c>
      <c r="O18" s="1196" t="s">
        <v>4041</v>
      </c>
      <c r="P18" s="1195" t="s">
        <v>4040</v>
      </c>
      <c r="Q18" s="1194" t="s">
        <v>4039</v>
      </c>
    </row>
    <row r="19" spans="2:17">
      <c r="B19" s="1192" t="s">
        <v>4038</v>
      </c>
      <c r="C19" s="1191">
        <v>9</v>
      </c>
      <c r="D19" s="1180">
        <v>12</v>
      </c>
      <c r="E19" s="1180">
        <f t="shared" ref="E19:F23" si="0">C19*$C$25</f>
        <v>228.6</v>
      </c>
      <c r="F19" s="1190">
        <f t="shared" si="0"/>
        <v>304.79999999999995</v>
      </c>
      <c r="G19" s="1191">
        <f t="shared" ref="G19:H23" si="1">C19-1</f>
        <v>8</v>
      </c>
      <c r="H19" s="1180">
        <f t="shared" si="1"/>
        <v>11</v>
      </c>
      <c r="I19" s="1180">
        <f t="shared" ref="I19:J23" si="2">G19*$C$25</f>
        <v>203.2</v>
      </c>
      <c r="J19" s="1190">
        <f t="shared" si="2"/>
        <v>279.39999999999998</v>
      </c>
      <c r="K19" s="1191">
        <f>ROUNDDOWN(J19/($C$5+2*$G$10),0)</f>
        <v>1</v>
      </c>
      <c r="L19" s="1180">
        <f t="shared" ref="L19:M23" si="3">ROUNDDOWN(I19/($C$6+2*$G$10),0)</f>
        <v>2</v>
      </c>
      <c r="M19" s="1180">
        <f t="shared" si="3"/>
        <v>3</v>
      </c>
      <c r="N19" s="1190">
        <f>ROUNDDOWN(I19/($C$5+2*$G$10),0)</f>
        <v>0</v>
      </c>
      <c r="O19" s="1189">
        <f>(Q19*$C$5*$C$6)/(E19*F19)</f>
        <v>0.50340656236868042</v>
      </c>
      <c r="P19" s="1180" t="s">
        <v>4038</v>
      </c>
      <c r="Q19" s="1188">
        <f>MAX(PRODUCT(K19:L19),PRODUCT(M19:N19))</f>
        <v>2</v>
      </c>
    </row>
    <row r="20" spans="2:17">
      <c r="B20" s="1192" t="s">
        <v>4037</v>
      </c>
      <c r="C20" s="1191">
        <v>12</v>
      </c>
      <c r="D20" s="1180">
        <v>18</v>
      </c>
      <c r="E20" s="1180">
        <f t="shared" si="0"/>
        <v>304.79999999999995</v>
      </c>
      <c r="F20" s="1190">
        <f t="shared" si="0"/>
        <v>457.2</v>
      </c>
      <c r="G20" s="1191">
        <f t="shared" si="1"/>
        <v>11</v>
      </c>
      <c r="H20" s="1180">
        <f t="shared" si="1"/>
        <v>17</v>
      </c>
      <c r="I20" s="1180">
        <f t="shared" si="2"/>
        <v>279.39999999999998</v>
      </c>
      <c r="J20" s="1190">
        <f t="shared" si="2"/>
        <v>431.79999999999995</v>
      </c>
      <c r="K20" s="1191">
        <f>ROUNDDOWN(J20/($C$5+2*$G$10),0)</f>
        <v>1</v>
      </c>
      <c r="L20" s="1180">
        <f t="shared" si="3"/>
        <v>3</v>
      </c>
      <c r="M20" s="1180">
        <f t="shared" si="3"/>
        <v>5</v>
      </c>
      <c r="N20" s="1190">
        <f>ROUNDDOWN(I20/($C$5+2*$G$10),0)</f>
        <v>1</v>
      </c>
      <c r="O20" s="1189">
        <f>(Q20*$C$5*$C$6)/(E20*F20)</f>
        <v>0.62925820296085055</v>
      </c>
      <c r="P20" s="1180" t="s">
        <v>4037</v>
      </c>
      <c r="Q20" s="1188">
        <f>MAX(PRODUCT(K20:L20),PRODUCT(M20:N20))</f>
        <v>5</v>
      </c>
    </row>
    <row r="21" spans="2:17">
      <c r="B21" s="1192" t="s">
        <v>4036</v>
      </c>
      <c r="C21" s="1191">
        <v>18</v>
      </c>
      <c r="D21" s="1180">
        <v>24</v>
      </c>
      <c r="E21" s="1180">
        <f t="shared" si="0"/>
        <v>457.2</v>
      </c>
      <c r="F21" s="1190">
        <f t="shared" si="0"/>
        <v>609.59999999999991</v>
      </c>
      <c r="G21" s="1191">
        <f t="shared" si="1"/>
        <v>17</v>
      </c>
      <c r="H21" s="1180">
        <f t="shared" si="1"/>
        <v>23</v>
      </c>
      <c r="I21" s="1180">
        <f t="shared" si="2"/>
        <v>431.79999999999995</v>
      </c>
      <c r="J21" s="1190">
        <f t="shared" si="2"/>
        <v>584.19999999999993</v>
      </c>
      <c r="K21" s="1191">
        <f>ROUNDDOWN(J21/($C$5+2*$G$10),0)</f>
        <v>2</v>
      </c>
      <c r="L21" s="1180">
        <f t="shared" si="3"/>
        <v>5</v>
      </c>
      <c r="M21" s="1180">
        <f t="shared" si="3"/>
        <v>7</v>
      </c>
      <c r="N21" s="1190">
        <f>ROUNDDOWN(I21/($C$5+2*$G$10),0)</f>
        <v>1</v>
      </c>
      <c r="O21" s="1193">
        <f>(Q21*$C$5*$C$6)/(E21*F21)</f>
        <v>0.62925820296085055</v>
      </c>
      <c r="P21" s="1180" t="s">
        <v>4036</v>
      </c>
      <c r="Q21" s="1188">
        <f>MAX(PRODUCT(K21:L21),PRODUCT(M21:N21))</f>
        <v>10</v>
      </c>
    </row>
    <row r="22" spans="2:17">
      <c r="B22" s="1192" t="s">
        <v>4035</v>
      </c>
      <c r="C22" s="1191">
        <v>18</v>
      </c>
      <c r="D22" s="1180">
        <v>21</v>
      </c>
      <c r="E22" s="1180">
        <f t="shared" si="0"/>
        <v>457.2</v>
      </c>
      <c r="F22" s="1190">
        <f t="shared" si="0"/>
        <v>533.4</v>
      </c>
      <c r="G22" s="1191">
        <f t="shared" si="1"/>
        <v>17</v>
      </c>
      <c r="H22" s="1180">
        <f t="shared" si="1"/>
        <v>20</v>
      </c>
      <c r="I22" s="1180">
        <f t="shared" si="2"/>
        <v>431.79999999999995</v>
      </c>
      <c r="J22" s="1190">
        <f t="shared" si="2"/>
        <v>508</v>
      </c>
      <c r="K22" s="1191">
        <f>ROUNDDOWN(J22/($C$5+2*$G$10),0)</f>
        <v>2</v>
      </c>
      <c r="L22" s="1180">
        <f t="shared" si="3"/>
        <v>5</v>
      </c>
      <c r="M22" s="1180">
        <f t="shared" si="3"/>
        <v>6</v>
      </c>
      <c r="N22" s="1190">
        <f>ROUNDDOWN(I22/($C$5+2*$G$10),0)</f>
        <v>1</v>
      </c>
      <c r="O22" s="1189">
        <f>(Q22*$C$5*$C$6)/(E22*F22)</f>
        <v>0.71915223195525757</v>
      </c>
      <c r="P22" s="1180" t="s">
        <v>4035</v>
      </c>
      <c r="Q22" s="1188">
        <f>MAX(PRODUCT(K22:L22),PRODUCT(M22:N22))</f>
        <v>10</v>
      </c>
    </row>
    <row r="23" spans="2:17" ht="15.75" thickBot="1">
      <c r="B23" s="1187" t="s">
        <v>4034</v>
      </c>
      <c r="C23" s="1186">
        <v>21</v>
      </c>
      <c r="D23" s="1228">
        <v>24</v>
      </c>
      <c r="E23" s="1228">
        <f t="shared" si="0"/>
        <v>533.4</v>
      </c>
      <c r="F23" s="1185">
        <f t="shared" si="0"/>
        <v>609.59999999999991</v>
      </c>
      <c r="G23" s="1186">
        <f t="shared" si="1"/>
        <v>20</v>
      </c>
      <c r="H23" s="1228">
        <f t="shared" si="1"/>
        <v>23</v>
      </c>
      <c r="I23" s="1228">
        <f t="shared" si="2"/>
        <v>508</v>
      </c>
      <c r="J23" s="1185">
        <f t="shared" si="2"/>
        <v>584.19999999999993</v>
      </c>
      <c r="K23" s="1186">
        <f>ROUNDDOWN(J23/($C$5+2*$G$10),0)</f>
        <v>2</v>
      </c>
      <c r="L23" s="1228">
        <f t="shared" si="3"/>
        <v>6</v>
      </c>
      <c r="M23" s="1228">
        <f t="shared" si="3"/>
        <v>7</v>
      </c>
      <c r="N23" s="1185">
        <f>ROUNDDOWN(I23/($C$5+2*$G$10),0)</f>
        <v>2</v>
      </c>
      <c r="O23" s="1184">
        <f>(Q23*$C$5*$C$6)/(E23*F23)</f>
        <v>0.75510984355302058</v>
      </c>
      <c r="P23" s="1228" t="s">
        <v>4034</v>
      </c>
      <c r="Q23" s="1183">
        <f>MAX(PRODUCT(K23:L23),PRODUCT(M23:N23))</f>
        <v>14</v>
      </c>
    </row>
    <row r="25" spans="2:17">
      <c r="B25" s="1182" t="s">
        <v>4033</v>
      </c>
      <c r="C25" s="1181">
        <v>25.4</v>
      </c>
    </row>
  </sheetData>
  <mergeCells count="1">
    <mergeCell ref="B16:Q16"/>
  </mergeCells>
  <conditionalFormatting sqref="C11">
    <cfRule type="cellIs" dxfId="932" priority="1" operator="greaterThan">
      <formula>0.7</formula>
    </cfRule>
  </conditionalFormatting>
  <pageMargins left="0.7" right="0.7" top="0.78740157499999996" bottom="0.78740157499999996"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62889-A7C0-46F8-9227-F7D5144F08D1}">
  <sheetPr codeName="Tabelle1">
    <outlinePr summaryBelow="0" summaryRight="0"/>
    <pageSetUpPr fitToPage="1"/>
  </sheetPr>
  <dimension ref="A1:AB82"/>
  <sheetViews>
    <sheetView showGridLines="0" showZeros="0" zoomScale="85" zoomScaleNormal="85" workbookViewId="0">
      <pane xSplit="6" ySplit="5" topLeftCell="P26" activePane="bottomRight" state="frozen"/>
      <selection pane="topRight" activeCell="G1" sqref="G1"/>
      <selection pane="bottomLeft" activeCell="A6" sqref="A6"/>
      <selection pane="bottomRight" activeCell="R30" sqref="R30"/>
    </sheetView>
  </sheetViews>
  <sheetFormatPr baseColWidth="10" defaultColWidth="12.28515625" defaultRowHeight="11.25"/>
  <cols>
    <col min="1" max="1" width="6.28515625" style="1229" customWidth="1"/>
    <col min="2" max="2" width="17.28515625" style="1229" customWidth="1"/>
    <col min="3" max="3" width="25.28515625" style="1229" bestFit="1" customWidth="1"/>
    <col min="4" max="4" width="25.42578125" style="1229" customWidth="1"/>
    <col min="5" max="7" width="11.7109375" style="1229" customWidth="1"/>
    <col min="8" max="8" width="22.85546875" style="1229" customWidth="1"/>
    <col min="9" max="9" width="70.7109375" style="1229" bestFit="1" customWidth="1"/>
    <col min="10" max="10" width="29.42578125" style="1229" bestFit="1" customWidth="1"/>
    <col min="11" max="11" width="26.5703125" style="1229" bestFit="1" customWidth="1"/>
    <col min="12" max="12" width="22.85546875" style="1229" customWidth="1"/>
    <col min="13" max="13" width="26.7109375" style="1229" customWidth="1"/>
    <col min="14" max="14" width="30.5703125" style="1229" bestFit="1" customWidth="1"/>
    <col min="15" max="15" width="28.28515625" style="1229" customWidth="1"/>
    <col min="16" max="16" width="21.28515625" style="1229" customWidth="1"/>
    <col min="17" max="17" width="21.28515625" style="1229" hidden="1" customWidth="1"/>
    <col min="18" max="18" width="20" style="1230" customWidth="1"/>
    <col min="19" max="19" width="11.7109375" style="1231" customWidth="1"/>
    <col min="20" max="20" width="14.7109375" style="1231" customWidth="1"/>
    <col min="21" max="25" width="16.28515625" style="1229" customWidth="1"/>
    <col min="26" max="26" width="28.5703125" style="1229" customWidth="1"/>
    <col min="27" max="16384" width="12.28515625" style="1229"/>
  </cols>
  <sheetData>
    <row r="1" spans="1:28" ht="10.9" customHeight="1"/>
    <row r="2" spans="1:28" ht="10.9" customHeight="1">
      <c r="C2" s="1232" t="s">
        <v>3532</v>
      </c>
      <c r="H2" s="1232" t="s">
        <v>3531</v>
      </c>
      <c r="J2" s="1232" t="s">
        <v>3320</v>
      </c>
      <c r="K2" s="1232" t="s">
        <v>3321</v>
      </c>
      <c r="L2" s="1232" t="s">
        <v>3533</v>
      </c>
      <c r="M2" s="1232" t="s">
        <v>3534</v>
      </c>
      <c r="N2" s="1232" t="s">
        <v>3535</v>
      </c>
      <c r="O2" s="1233" t="s">
        <v>3536</v>
      </c>
      <c r="T2" s="1234" t="s">
        <v>3554</v>
      </c>
      <c r="U2" s="1433" t="str" cm="1">
        <f t="array" ref="U2">IFERROR(IF(GetUserDomain()="AWS",HYPERLINK("M:\02 WD\02 Technologien\23 Elektronik - Elektrik\98 Taskforce EE\02 Materialkosten (Degression, C-Teile)\Degression","Info"),""),"")</f>
        <v>Info</v>
      </c>
      <c r="W2" s="1232" t="s">
        <v>3585</v>
      </c>
    </row>
    <row r="3" spans="1:28" ht="10.9" customHeight="1">
      <c r="C3" s="1235">
        <f>Y32</f>
        <v>5.303179842893095</v>
      </c>
      <c r="H3" s="1236">
        <v>800000</v>
      </c>
      <c r="J3" s="1237">
        <v>237</v>
      </c>
      <c r="K3" s="1237">
        <v>74</v>
      </c>
      <c r="L3" s="1237" t="s">
        <v>4068</v>
      </c>
      <c r="M3" s="1237">
        <f>MAT!E9</f>
        <v>0.746</v>
      </c>
      <c r="N3" s="1238">
        <f>IFERROR(SUMPRODUCT(EBOM[Quantity 
Total],EBOM[No of Pins/Pads])/((J3*K3)/100),0)</f>
        <v>1.961455126012088</v>
      </c>
      <c r="O3" s="1238">
        <f>(1*1*0.2*8.4/1000)*SUMPRODUCT(EBOM[No of Pins/Pads],EBOM[Quantity 
Total])</f>
        <v>0.57791999999999999</v>
      </c>
      <c r="T3" s="1239">
        <v>0.8</v>
      </c>
      <c r="U3" s="1433"/>
      <c r="W3" s="1240">
        <f>'Nutzenberechnung Big PCB'!C11</f>
        <v>0.75510984355302058</v>
      </c>
    </row>
    <row r="4" spans="1:28" ht="10.9" customHeight="1">
      <c r="E4" s="1241"/>
      <c r="F4" s="1241"/>
      <c r="G4" s="1241"/>
      <c r="H4" s="1241"/>
      <c r="I4" s="1241"/>
      <c r="J4" s="1241"/>
      <c r="K4" s="1241"/>
    </row>
    <row r="5" spans="1:28" s="1246" customFormat="1" ht="25.9" customHeight="1">
      <c r="A5" s="1242" t="s">
        <v>76</v>
      </c>
      <c r="B5" s="1243" t="s">
        <v>3513</v>
      </c>
      <c r="C5" s="1243" t="s">
        <v>3514</v>
      </c>
      <c r="D5" s="1243" t="s">
        <v>3515</v>
      </c>
      <c r="E5" s="1243" t="s">
        <v>3516</v>
      </c>
      <c r="F5" s="1243" t="s">
        <v>3580</v>
      </c>
      <c r="G5" s="1243" t="s">
        <v>3517</v>
      </c>
      <c r="H5" s="1243" t="s">
        <v>3472</v>
      </c>
      <c r="I5" s="1243" t="s">
        <v>69</v>
      </c>
      <c r="J5" s="1243" t="s">
        <v>3518</v>
      </c>
      <c r="K5" s="1243" t="s">
        <v>3519</v>
      </c>
      <c r="L5" s="1243" t="s">
        <v>3520</v>
      </c>
      <c r="M5" s="1243" t="s">
        <v>3521</v>
      </c>
      <c r="N5" s="1243" t="s">
        <v>3522</v>
      </c>
      <c r="O5" s="1243" t="s">
        <v>915</v>
      </c>
      <c r="P5" s="1243" t="s">
        <v>3523</v>
      </c>
      <c r="Q5" s="1243" t="s">
        <v>3556</v>
      </c>
      <c r="R5" s="1244" t="s">
        <v>3524</v>
      </c>
      <c r="S5" s="1243" t="s">
        <v>3555</v>
      </c>
      <c r="T5" s="1243" t="s">
        <v>3554</v>
      </c>
      <c r="U5" s="1243" t="s">
        <v>3365</v>
      </c>
      <c r="V5" s="1243" t="s">
        <v>3525</v>
      </c>
      <c r="W5" s="1243" t="s">
        <v>3526</v>
      </c>
      <c r="X5" s="1243" t="s">
        <v>3527</v>
      </c>
      <c r="Y5" s="1243" t="s">
        <v>3532</v>
      </c>
      <c r="Z5" s="1245" t="s">
        <v>3528</v>
      </c>
    </row>
    <row r="6" spans="1:28" ht="25.9" customHeight="1">
      <c r="A6" s="1247"/>
      <c r="B6" s="1248" t="s">
        <v>4069</v>
      </c>
      <c r="C6" s="1248"/>
      <c r="D6" s="1248"/>
      <c r="E6" s="1237"/>
      <c r="F6" s="1237"/>
      <c r="G6" s="1238"/>
      <c r="H6" s="1237"/>
      <c r="I6" s="1248"/>
      <c r="J6" s="1249"/>
      <c r="K6" s="1248"/>
      <c r="L6" s="1248"/>
      <c r="M6" s="1248"/>
      <c r="N6" s="1248"/>
      <c r="O6" s="1250"/>
      <c r="P6" s="1251"/>
      <c r="Q6" s="1251"/>
      <c r="R6" s="1252"/>
      <c r="S6" s="1253"/>
      <c r="T6" s="1254">
        <v>1</v>
      </c>
      <c r="U6" s="1255">
        <v>1</v>
      </c>
      <c r="V6" s="1255">
        <f t="shared" ref="V6:V31" si="0">R6*U6*T6</f>
        <v>0</v>
      </c>
      <c r="W6" s="1256"/>
      <c r="X6" s="1256"/>
      <c r="Y6" s="1257">
        <f>IF(OR(ISBLANK(M3),ISBLANK(K3),ISBLANK(J3)),"Bitte alle Felder ausfüllen",((J3*K3)/10000)*M3/W3)</f>
        <v>1.7326416959999995</v>
      </c>
      <c r="Z6" s="1258"/>
      <c r="AA6" s="1246"/>
      <c r="AB6" s="1246"/>
    </row>
    <row r="7" spans="1:28" ht="25.9" customHeight="1">
      <c r="A7" s="1247"/>
      <c r="B7" s="1248" t="s">
        <v>3553</v>
      </c>
      <c r="C7" s="1248"/>
      <c r="D7" s="1248"/>
      <c r="E7" s="1237"/>
      <c r="F7" s="1237"/>
      <c r="G7" s="1238">
        <f>E7+F7</f>
        <v>0</v>
      </c>
      <c r="H7" s="1237"/>
      <c r="I7" s="1248"/>
      <c r="J7" s="1249"/>
      <c r="K7" s="1248"/>
      <c r="L7" s="1248"/>
      <c r="M7" s="1248"/>
      <c r="N7" s="1248"/>
      <c r="O7" s="1250"/>
      <c r="P7" s="1251"/>
      <c r="Q7" s="1251"/>
      <c r="R7" s="1252"/>
      <c r="S7" s="1253"/>
      <c r="T7" s="1254">
        <v>1</v>
      </c>
      <c r="U7" s="1255">
        <v>1</v>
      </c>
      <c r="V7" s="1255">
        <f t="shared" si="0"/>
        <v>0</v>
      </c>
      <c r="W7" s="1256">
        <f>E7*V7</f>
        <v>0</v>
      </c>
      <c r="X7" s="1256">
        <f>F7*V7</f>
        <v>0</v>
      </c>
      <c r="Y7" s="1256">
        <f>O3/1000*20</f>
        <v>1.15584E-2</v>
      </c>
      <c r="Z7" s="1258"/>
      <c r="AA7" s="1246"/>
      <c r="AB7" s="1246"/>
    </row>
    <row r="8" spans="1:28" ht="25.9" customHeight="1">
      <c r="A8" s="1259"/>
      <c r="B8" s="1260" t="s">
        <v>3529</v>
      </c>
      <c r="C8" s="1248"/>
      <c r="D8" s="1249"/>
      <c r="E8" s="1237"/>
      <c r="F8" s="1237"/>
      <c r="G8" s="1238">
        <f t="shared" ref="G8:G9" si="1">E8+F8</f>
        <v>0</v>
      </c>
      <c r="H8" s="1237"/>
      <c r="I8" s="1249"/>
      <c r="J8" s="1248"/>
      <c r="K8" s="1248"/>
      <c r="L8" s="1248"/>
      <c r="M8" s="1248"/>
      <c r="N8" s="1248"/>
      <c r="O8" s="1250"/>
      <c r="P8" s="1251"/>
      <c r="Q8" s="1251"/>
      <c r="R8" s="1252"/>
      <c r="S8" s="1253"/>
      <c r="T8" s="1254"/>
      <c r="U8" s="1255" cm="1">
        <f t="array" ref="U8">EBOM_Factor</f>
        <v>0</v>
      </c>
      <c r="V8" s="1255">
        <f t="shared" si="0"/>
        <v>0</v>
      </c>
      <c r="W8" s="1256"/>
      <c r="X8" s="1256"/>
      <c r="Y8" s="1256">
        <f t="shared" ref="Y8:Y9" si="2">X8+W8</f>
        <v>0</v>
      </c>
      <c r="Z8" s="1258"/>
      <c r="AA8" s="1246"/>
      <c r="AB8" s="1246"/>
    </row>
    <row r="9" spans="1:28" ht="25.9" customHeight="1">
      <c r="A9" s="1247">
        <f t="shared" ref="A9" si="3">ROW()-8</f>
        <v>1</v>
      </c>
      <c r="B9" s="1248" t="s">
        <v>3538</v>
      </c>
      <c r="C9" s="1248" t="s">
        <v>3560</v>
      </c>
      <c r="D9" s="1248"/>
      <c r="E9" s="1237">
        <v>46</v>
      </c>
      <c r="F9" s="1237"/>
      <c r="G9" s="1238">
        <f t="shared" si="1"/>
        <v>46</v>
      </c>
      <c r="H9" s="1237" t="s">
        <v>3491</v>
      </c>
      <c r="I9" s="1248"/>
      <c r="J9" s="1249"/>
      <c r="K9" s="1248"/>
      <c r="L9" s="1248"/>
      <c r="M9" s="1248">
        <v>2</v>
      </c>
      <c r="N9" s="1248" t="s">
        <v>4076</v>
      </c>
      <c r="O9" s="1250" t="s">
        <v>4068</v>
      </c>
      <c r="P9" s="1251">
        <v>1000</v>
      </c>
      <c r="Q9" s="1251"/>
      <c r="R9" s="1252">
        <v>5.4999999999999997E-3</v>
      </c>
      <c r="S9" s="1253">
        <v>45453</v>
      </c>
      <c r="T9" s="1254">
        <f t="shared" ref="T9" si="4">Project_Factor</f>
        <v>0.8</v>
      </c>
      <c r="U9" s="1255" cm="1">
        <f t="array" ref="U9">EBOM_Factor</f>
        <v>1</v>
      </c>
      <c r="V9" s="1255">
        <f t="shared" si="0"/>
        <v>4.4000000000000003E-3</v>
      </c>
      <c r="W9" s="1256">
        <f t="shared" ref="W9" si="5">E9*V9</f>
        <v>0.20240000000000002</v>
      </c>
      <c r="X9" s="1256">
        <f t="shared" ref="X9" si="6">F9*V9</f>
        <v>0</v>
      </c>
      <c r="Y9" s="1256">
        <f t="shared" si="2"/>
        <v>0.20240000000000002</v>
      </c>
      <c r="Z9" s="1258"/>
    </row>
    <row r="10" spans="1:28" ht="25.9" customHeight="1">
      <c r="A10" s="1247">
        <f>ROW()-8</f>
        <v>2</v>
      </c>
      <c r="B10" s="1248" t="s">
        <v>3538</v>
      </c>
      <c r="C10" s="1248" t="s">
        <v>3560</v>
      </c>
      <c r="D10" s="1248"/>
      <c r="E10" s="1237">
        <v>3</v>
      </c>
      <c r="F10" s="1237"/>
      <c r="G10" s="1238">
        <f>E10+F10</f>
        <v>3</v>
      </c>
      <c r="H10" s="1237" t="s">
        <v>3491</v>
      </c>
      <c r="I10" s="1248"/>
      <c r="J10" s="1249"/>
      <c r="K10" s="1248"/>
      <c r="L10" s="1248"/>
      <c r="M10" s="1248">
        <v>2</v>
      </c>
      <c r="N10" s="1248" t="s">
        <v>4078</v>
      </c>
      <c r="O10" s="1250" t="s">
        <v>4068</v>
      </c>
      <c r="P10" s="1251">
        <v>1000</v>
      </c>
      <c r="Q10" s="1251"/>
      <c r="R10" s="1252">
        <v>5.1000000000000004E-3</v>
      </c>
      <c r="S10" s="1253">
        <v>45453</v>
      </c>
      <c r="T10" s="1254">
        <f t="shared" ref="T10" si="7">Project_Factor</f>
        <v>0.8</v>
      </c>
      <c r="U10" s="1255" cm="1">
        <f t="array" ref="U10">EBOM_Factor</f>
        <v>1</v>
      </c>
      <c r="V10" s="1255">
        <f t="shared" si="0"/>
        <v>4.0800000000000003E-3</v>
      </c>
      <c r="W10" s="1256">
        <f>E10*V10</f>
        <v>1.2240000000000001E-2</v>
      </c>
      <c r="X10" s="1256">
        <f>F10*V10</f>
        <v>0</v>
      </c>
      <c r="Y10" s="1256">
        <f>X10+W10</f>
        <v>1.2240000000000001E-2</v>
      </c>
      <c r="Z10" s="1258"/>
    </row>
    <row r="11" spans="1:28" ht="25.9" customHeight="1">
      <c r="A11" s="1247">
        <f t="shared" ref="A11" si="8">ROW()-8</f>
        <v>3</v>
      </c>
      <c r="B11" s="1248" t="s">
        <v>3538</v>
      </c>
      <c r="C11" s="1248" t="s">
        <v>3560</v>
      </c>
      <c r="D11" s="1248"/>
      <c r="E11" s="1237">
        <v>3</v>
      </c>
      <c r="F11" s="1237"/>
      <c r="G11" s="1238">
        <f t="shared" ref="G11" si="9">E11+F11</f>
        <v>3</v>
      </c>
      <c r="H11" s="1237" t="s">
        <v>3491</v>
      </c>
      <c r="I11" s="1248"/>
      <c r="J11" s="1249"/>
      <c r="K11" s="1248"/>
      <c r="L11" s="1248"/>
      <c r="M11" s="1248">
        <v>2</v>
      </c>
      <c r="N11" s="1248" t="s">
        <v>4080</v>
      </c>
      <c r="O11" s="1250" t="s">
        <v>4068</v>
      </c>
      <c r="P11" s="1251">
        <v>1000</v>
      </c>
      <c r="Q11" s="1251"/>
      <c r="R11" s="1252">
        <v>7.7999999999999996E-3</v>
      </c>
      <c r="S11" s="1253">
        <v>45453</v>
      </c>
      <c r="T11" s="1254">
        <f t="shared" ref="T11" si="10">Project_Factor</f>
        <v>0.8</v>
      </c>
      <c r="U11" s="1255" cm="1">
        <f t="array" ref="U11">EBOM_Factor</f>
        <v>1</v>
      </c>
      <c r="V11" s="1255">
        <f t="shared" si="0"/>
        <v>6.2399999999999999E-3</v>
      </c>
      <c r="W11" s="1256">
        <f t="shared" ref="W11" si="11">E11*V11</f>
        <v>1.8720000000000001E-2</v>
      </c>
      <c r="X11" s="1256">
        <f t="shared" ref="X11" si="12">F11*V11</f>
        <v>0</v>
      </c>
      <c r="Y11" s="1256">
        <f t="shared" ref="Y11" si="13">X11+W11</f>
        <v>1.8720000000000001E-2</v>
      </c>
      <c r="Z11" s="1258"/>
    </row>
    <row r="12" spans="1:28" ht="25.9" customHeight="1">
      <c r="A12" s="1247">
        <f t="shared" ref="A12:A19" si="14">ROW()-8</f>
        <v>4</v>
      </c>
      <c r="B12" s="1248" t="s">
        <v>3538</v>
      </c>
      <c r="C12" s="1248" t="s">
        <v>3558</v>
      </c>
      <c r="D12" s="1248"/>
      <c r="E12" s="1237">
        <v>28</v>
      </c>
      <c r="F12" s="1237"/>
      <c r="G12" s="1238">
        <f t="shared" ref="G12:G19" si="15">E12+F12</f>
        <v>28</v>
      </c>
      <c r="H12" s="1237" t="s">
        <v>3491</v>
      </c>
      <c r="I12" s="1248"/>
      <c r="J12" s="1249"/>
      <c r="K12" s="1248"/>
      <c r="L12" s="1248"/>
      <c r="M12" s="1248">
        <v>2</v>
      </c>
      <c r="N12" s="1248" t="s">
        <v>4076</v>
      </c>
      <c r="O12" s="1250" t="s">
        <v>4068</v>
      </c>
      <c r="P12" s="1251">
        <v>1000</v>
      </c>
      <c r="Q12" s="1251"/>
      <c r="R12" s="1252">
        <v>2.5999999999999999E-3</v>
      </c>
      <c r="S12" s="1253">
        <v>45453</v>
      </c>
      <c r="T12" s="1254">
        <f t="shared" ref="T12:T18" si="16">Project_Factor</f>
        <v>0.8</v>
      </c>
      <c r="U12" s="1255" cm="1">
        <f t="array" ref="U12">EBOM_Factor</f>
        <v>1</v>
      </c>
      <c r="V12" s="1255">
        <f t="shared" ref="V12:V18" si="17">R12*U12*T12</f>
        <v>2.0799999999999998E-3</v>
      </c>
      <c r="W12" s="1256">
        <f t="shared" ref="W12:W19" si="18">E12*V12</f>
        <v>5.8239999999999993E-2</v>
      </c>
      <c r="X12" s="1256">
        <f t="shared" ref="X12:X19" si="19">F12*V12</f>
        <v>0</v>
      </c>
      <c r="Y12" s="1256">
        <f t="shared" ref="Y12:Y19" si="20">X12+W12</f>
        <v>5.8239999999999993E-2</v>
      </c>
      <c r="Z12" s="1258"/>
    </row>
    <row r="13" spans="1:28" ht="25.9" customHeight="1">
      <c r="A13" s="1247">
        <f t="shared" si="14"/>
        <v>5</v>
      </c>
      <c r="B13" s="1248" t="s">
        <v>3538</v>
      </c>
      <c r="C13" s="1248" t="s">
        <v>3558</v>
      </c>
      <c r="D13" s="1248"/>
      <c r="E13" s="1237">
        <v>4</v>
      </c>
      <c r="F13" s="1237"/>
      <c r="G13" s="1238">
        <f t="shared" si="15"/>
        <v>4</v>
      </c>
      <c r="H13" s="1237" t="s">
        <v>3491</v>
      </c>
      <c r="I13" s="1248"/>
      <c r="J13" s="1249"/>
      <c r="K13" s="1248"/>
      <c r="L13" s="1248"/>
      <c r="M13" s="1248">
        <v>2</v>
      </c>
      <c r="N13" s="1248" t="s">
        <v>4078</v>
      </c>
      <c r="O13" s="1250" t="s">
        <v>4068</v>
      </c>
      <c r="P13" s="1251">
        <v>1000</v>
      </c>
      <c r="Q13" s="1251"/>
      <c r="R13" s="1252">
        <v>5.7000000000000002E-3</v>
      </c>
      <c r="S13" s="1253">
        <v>45453</v>
      </c>
      <c r="T13" s="1254">
        <f t="shared" si="16"/>
        <v>0.8</v>
      </c>
      <c r="U13" s="1255" cm="1">
        <f t="array" ref="U13">EBOM_Factor</f>
        <v>1</v>
      </c>
      <c r="V13" s="1255">
        <f t="shared" si="17"/>
        <v>4.5600000000000007E-3</v>
      </c>
      <c r="W13" s="1256">
        <f t="shared" si="18"/>
        <v>1.8240000000000003E-2</v>
      </c>
      <c r="X13" s="1256">
        <f t="shared" si="19"/>
        <v>0</v>
      </c>
      <c r="Y13" s="1256">
        <f t="shared" si="20"/>
        <v>1.8240000000000003E-2</v>
      </c>
      <c r="Z13" s="1258"/>
    </row>
    <row r="14" spans="1:28" ht="25.9" customHeight="1">
      <c r="A14" s="1247">
        <f t="shared" si="14"/>
        <v>6</v>
      </c>
      <c r="B14" s="1248" t="s">
        <v>3538</v>
      </c>
      <c r="C14" s="1248" t="s">
        <v>3558</v>
      </c>
      <c r="D14" s="1248"/>
      <c r="E14" s="1237">
        <v>1</v>
      </c>
      <c r="F14" s="1237"/>
      <c r="G14" s="1238">
        <f t="shared" si="15"/>
        <v>1</v>
      </c>
      <c r="H14" s="1237" t="s">
        <v>3491</v>
      </c>
      <c r="I14" s="1248"/>
      <c r="J14" s="1249"/>
      <c r="K14" s="1248"/>
      <c r="L14" s="1248"/>
      <c r="M14" s="1248">
        <v>2</v>
      </c>
      <c r="N14" s="1248" t="s">
        <v>4080</v>
      </c>
      <c r="O14" s="1250" t="s">
        <v>4068</v>
      </c>
      <c r="P14" s="1251">
        <v>1000</v>
      </c>
      <c r="Q14" s="1251"/>
      <c r="R14" s="1252">
        <v>1.83E-2</v>
      </c>
      <c r="S14" s="1253">
        <v>45453</v>
      </c>
      <c r="T14" s="1254">
        <f t="shared" si="16"/>
        <v>0.8</v>
      </c>
      <c r="U14" s="1255" cm="1">
        <f t="array" ref="U14">EBOM_Factor</f>
        <v>1</v>
      </c>
      <c r="V14" s="1255">
        <f t="shared" si="17"/>
        <v>1.464E-2</v>
      </c>
      <c r="W14" s="1256">
        <f t="shared" si="18"/>
        <v>1.464E-2</v>
      </c>
      <c r="X14" s="1256">
        <f t="shared" si="19"/>
        <v>0</v>
      </c>
      <c r="Y14" s="1256">
        <f t="shared" si="20"/>
        <v>1.464E-2</v>
      </c>
      <c r="Z14" s="1258"/>
    </row>
    <row r="15" spans="1:28" ht="25.9" customHeight="1">
      <c r="A15" s="1247">
        <f t="shared" si="14"/>
        <v>7</v>
      </c>
      <c r="B15" s="1248" t="s">
        <v>3539</v>
      </c>
      <c r="C15" s="1248" t="s">
        <v>3495</v>
      </c>
      <c r="D15" s="1248"/>
      <c r="E15" s="1237">
        <v>4</v>
      </c>
      <c r="F15" s="1237"/>
      <c r="G15" s="1238">
        <f t="shared" si="15"/>
        <v>4</v>
      </c>
      <c r="H15" s="1237" t="s">
        <v>3491</v>
      </c>
      <c r="I15" s="1248"/>
      <c r="J15" s="1249"/>
      <c r="K15" s="1248"/>
      <c r="L15" s="1248"/>
      <c r="M15" s="1248">
        <v>2</v>
      </c>
      <c r="N15" s="1248" t="s">
        <v>4085</v>
      </c>
      <c r="O15" s="1250" t="s">
        <v>4068</v>
      </c>
      <c r="P15" s="1251">
        <v>1000</v>
      </c>
      <c r="Q15" s="1251"/>
      <c r="R15" s="1252">
        <v>1.72E-2</v>
      </c>
      <c r="S15" s="1253">
        <v>45453</v>
      </c>
      <c r="T15" s="1254">
        <f t="shared" si="16"/>
        <v>0.8</v>
      </c>
      <c r="U15" s="1255" cm="1">
        <f t="array" ref="U15">EBOM_Factor</f>
        <v>1</v>
      </c>
      <c r="V15" s="1255">
        <f t="shared" si="17"/>
        <v>1.3760000000000001E-2</v>
      </c>
      <c r="W15" s="1256">
        <f t="shared" si="18"/>
        <v>5.5040000000000006E-2</v>
      </c>
      <c r="X15" s="1256">
        <f t="shared" si="19"/>
        <v>0</v>
      </c>
      <c r="Y15" s="1256">
        <f t="shared" si="20"/>
        <v>5.5040000000000006E-2</v>
      </c>
      <c r="Z15" s="1258"/>
    </row>
    <row r="16" spans="1:28" ht="25.9" customHeight="1">
      <c r="A16" s="1247">
        <f t="shared" si="14"/>
        <v>8</v>
      </c>
      <c r="B16" s="1248" t="s">
        <v>3539</v>
      </c>
      <c r="C16" s="1248" t="s">
        <v>3495</v>
      </c>
      <c r="D16" s="1248"/>
      <c r="E16" s="1237">
        <v>3</v>
      </c>
      <c r="F16" s="1237"/>
      <c r="G16" s="1238">
        <f t="shared" si="15"/>
        <v>3</v>
      </c>
      <c r="H16" s="1237" t="s">
        <v>3491</v>
      </c>
      <c r="I16" s="1248"/>
      <c r="J16" s="1249"/>
      <c r="K16" s="1248"/>
      <c r="L16" s="1248"/>
      <c r="M16" s="1248">
        <v>3</v>
      </c>
      <c r="N16" s="1248" t="s">
        <v>4089</v>
      </c>
      <c r="O16" s="1250" t="s">
        <v>4068</v>
      </c>
      <c r="P16" s="1251">
        <v>1000</v>
      </c>
      <c r="Q16" s="1251"/>
      <c r="R16" s="1252">
        <v>8.0000000000000002E-3</v>
      </c>
      <c r="S16" s="1253">
        <v>45453</v>
      </c>
      <c r="T16" s="1254">
        <f t="shared" si="16"/>
        <v>0.8</v>
      </c>
      <c r="U16" s="1255" cm="1">
        <f t="array" ref="U16">EBOM_Factor</f>
        <v>1</v>
      </c>
      <c r="V16" s="1255">
        <f t="shared" si="17"/>
        <v>6.4000000000000003E-3</v>
      </c>
      <c r="W16" s="1256">
        <f t="shared" si="18"/>
        <v>1.9200000000000002E-2</v>
      </c>
      <c r="X16" s="1256">
        <f t="shared" si="19"/>
        <v>0</v>
      </c>
      <c r="Y16" s="1256">
        <f t="shared" si="20"/>
        <v>1.9200000000000002E-2</v>
      </c>
      <c r="Z16" s="1258"/>
    </row>
    <row r="17" spans="1:26" ht="25.9" customHeight="1">
      <c r="A17" s="1247">
        <f t="shared" si="14"/>
        <v>9</v>
      </c>
      <c r="B17" s="1248"/>
      <c r="C17" s="1248"/>
      <c r="D17" s="1248"/>
      <c r="E17" s="1237"/>
      <c r="F17" s="1237"/>
      <c r="G17" s="1238">
        <f t="shared" si="15"/>
        <v>0</v>
      </c>
      <c r="H17" s="1237"/>
      <c r="I17" s="1248"/>
      <c r="J17" s="1249"/>
      <c r="K17" s="1248"/>
      <c r="L17" s="1248"/>
      <c r="M17" s="1248"/>
      <c r="N17" s="1248"/>
      <c r="O17" s="1250"/>
      <c r="P17" s="1251"/>
      <c r="Q17" s="1251"/>
      <c r="R17" s="1252"/>
      <c r="S17" s="1253"/>
      <c r="T17" s="1254">
        <f t="shared" si="16"/>
        <v>0.8</v>
      </c>
      <c r="U17" s="1255" cm="1">
        <f t="array" ref="U17">EBOM_Factor</f>
        <v>0</v>
      </c>
      <c r="V17" s="1255">
        <f t="shared" si="17"/>
        <v>0</v>
      </c>
      <c r="W17" s="1256">
        <f t="shared" si="18"/>
        <v>0</v>
      </c>
      <c r="X17" s="1256">
        <f t="shared" si="19"/>
        <v>0</v>
      </c>
      <c r="Y17" s="1256">
        <f t="shared" si="20"/>
        <v>0</v>
      </c>
      <c r="Z17" s="1258"/>
    </row>
    <row r="18" spans="1:26" ht="80.45" customHeight="1">
      <c r="A18" s="1247">
        <f t="shared" si="14"/>
        <v>10</v>
      </c>
      <c r="B18" s="1248" t="s">
        <v>3538</v>
      </c>
      <c r="C18" s="1248" t="s">
        <v>4192</v>
      </c>
      <c r="D18" s="1249" t="s">
        <v>4162</v>
      </c>
      <c r="E18" s="1237">
        <v>1</v>
      </c>
      <c r="F18" s="1237"/>
      <c r="G18" s="1238">
        <f t="shared" si="15"/>
        <v>1</v>
      </c>
      <c r="H18" s="1237" t="s">
        <v>3491</v>
      </c>
      <c r="I18" s="1248" t="s">
        <v>4158</v>
      </c>
      <c r="J18" s="1249" t="s">
        <v>4159</v>
      </c>
      <c r="K18" s="1248" t="s">
        <v>4160</v>
      </c>
      <c r="L18" s="1248"/>
      <c r="M18" s="1248">
        <v>2</v>
      </c>
      <c r="N18" s="1248" t="s">
        <v>4161</v>
      </c>
      <c r="O18" s="1323" t="s">
        <v>4163</v>
      </c>
      <c r="P18" s="1251">
        <v>1000</v>
      </c>
      <c r="Q18" s="1251"/>
      <c r="R18" s="1252">
        <v>0.29482999999999998</v>
      </c>
      <c r="S18" s="1253">
        <v>45453</v>
      </c>
      <c r="T18" s="1254">
        <f t="shared" si="16"/>
        <v>0.8</v>
      </c>
      <c r="U18" s="1255" cm="1">
        <f t="array" ref="U18">EBOM_Factor</f>
        <v>0.31042683161762363</v>
      </c>
      <c r="V18" s="1255">
        <f t="shared" si="17"/>
        <v>7.321851421265918E-2</v>
      </c>
      <c r="W18" s="1256">
        <f t="shared" si="18"/>
        <v>7.321851421265918E-2</v>
      </c>
      <c r="X18" s="1256">
        <f t="shared" si="19"/>
        <v>0</v>
      </c>
      <c r="Y18" s="1256">
        <f t="shared" si="20"/>
        <v>7.321851421265918E-2</v>
      </c>
      <c r="Z18" s="1258"/>
    </row>
    <row r="19" spans="1:26" ht="82.15" customHeight="1">
      <c r="A19" s="1247">
        <f t="shared" si="14"/>
        <v>11</v>
      </c>
      <c r="B19" s="1248" t="s">
        <v>667</v>
      </c>
      <c r="C19" s="1248" t="s">
        <v>3540</v>
      </c>
      <c r="D19" s="1249" t="s">
        <v>4106</v>
      </c>
      <c r="E19" s="1237">
        <v>2</v>
      </c>
      <c r="F19" s="1237"/>
      <c r="G19" s="1238">
        <f t="shared" si="15"/>
        <v>2</v>
      </c>
      <c r="H19" s="1237" t="s">
        <v>3491</v>
      </c>
      <c r="I19" s="1248" t="s">
        <v>4199</v>
      </c>
      <c r="J19" s="1249" t="s">
        <v>4198</v>
      </c>
      <c r="K19" s="1248"/>
      <c r="L19" s="1248" t="s">
        <v>4200</v>
      </c>
      <c r="M19" s="1248">
        <v>2</v>
      </c>
      <c r="N19" s="1249" t="s">
        <v>4212</v>
      </c>
      <c r="O19" s="1323" t="s">
        <v>4197</v>
      </c>
      <c r="P19" s="1251">
        <v>1000</v>
      </c>
      <c r="Q19" s="1251"/>
      <c r="R19" s="1252">
        <v>0.10499</v>
      </c>
      <c r="S19" s="1253">
        <v>45453</v>
      </c>
      <c r="T19" s="1254">
        <f t="shared" ref="T19" si="21">Project_Factor</f>
        <v>0.8</v>
      </c>
      <c r="U19" s="1255" cm="1">
        <f t="array" ref="U19">EBOM_Factor</f>
        <v>0.27496600450474862</v>
      </c>
      <c r="V19" s="1255">
        <f t="shared" si="0"/>
        <v>2.3094944650362846E-2</v>
      </c>
      <c r="W19" s="1256">
        <f t="shared" si="18"/>
        <v>4.6189889300725692E-2</v>
      </c>
      <c r="X19" s="1256">
        <f t="shared" si="19"/>
        <v>0</v>
      </c>
      <c r="Y19" s="1256">
        <f t="shared" si="20"/>
        <v>4.6189889300725692E-2</v>
      </c>
      <c r="Z19" s="1258"/>
    </row>
    <row r="20" spans="1:26" ht="59.45" customHeight="1">
      <c r="A20" s="1247">
        <f t="shared" ref="A20:A22" si="22">ROW()-8</f>
        <v>12</v>
      </c>
      <c r="B20" s="1248" t="s">
        <v>3542</v>
      </c>
      <c r="C20" s="1248" t="s">
        <v>4190</v>
      </c>
      <c r="D20" s="1249" t="s">
        <v>4107</v>
      </c>
      <c r="E20" s="1237">
        <v>6</v>
      </c>
      <c r="F20" s="1237"/>
      <c r="G20" s="1238">
        <f t="shared" ref="G20" si="23">E20+F20</f>
        <v>6</v>
      </c>
      <c r="H20" s="1237" t="s">
        <v>3491</v>
      </c>
      <c r="I20" s="1248" t="s">
        <v>4156</v>
      </c>
      <c r="J20" s="1249" t="s">
        <v>4154</v>
      </c>
      <c r="K20" s="1248" t="s">
        <v>4155</v>
      </c>
      <c r="L20" s="1248"/>
      <c r="M20" s="1248">
        <v>2</v>
      </c>
      <c r="N20" s="1248" t="s">
        <v>4157</v>
      </c>
      <c r="O20" s="1323" t="s">
        <v>4153</v>
      </c>
      <c r="P20" s="1251">
        <v>1000</v>
      </c>
      <c r="Q20" s="1251"/>
      <c r="R20" s="1252">
        <v>0.68156000000000005</v>
      </c>
      <c r="S20" s="1253">
        <v>45453</v>
      </c>
      <c r="T20" s="1254">
        <f t="shared" ref="T20" si="24">Project_Factor</f>
        <v>0.8</v>
      </c>
      <c r="U20" s="1255" cm="1">
        <f t="array" ref="U20">EBOM_Factor</f>
        <v>0.22687298411255583</v>
      </c>
      <c r="V20" s="1255">
        <f t="shared" si="0"/>
        <v>0.12370204084140285</v>
      </c>
      <c r="W20" s="1256">
        <f t="shared" ref="W20:W28" si="25">E20*V20</f>
        <v>0.7422122450484171</v>
      </c>
      <c r="X20" s="1256">
        <f t="shared" ref="X20:X28" si="26">F20*V20</f>
        <v>0</v>
      </c>
      <c r="Y20" s="1256">
        <f t="shared" ref="Y20" si="27">X20+W20</f>
        <v>0.7422122450484171</v>
      </c>
      <c r="Z20" s="1258"/>
    </row>
    <row r="21" spans="1:26" ht="39" customHeight="1">
      <c r="A21" s="1247">
        <f t="shared" si="22"/>
        <v>13</v>
      </c>
      <c r="B21" s="1248" t="s">
        <v>667</v>
      </c>
      <c r="C21" s="1248" t="s">
        <v>4193</v>
      </c>
      <c r="D21" s="1249" t="s">
        <v>4108</v>
      </c>
      <c r="E21" s="1237">
        <v>3</v>
      </c>
      <c r="F21" s="1237"/>
      <c r="G21" s="1238">
        <f>E21+F21</f>
        <v>3</v>
      </c>
      <c r="H21" s="1237" t="s">
        <v>3491</v>
      </c>
      <c r="I21" s="1248" t="s">
        <v>4150</v>
      </c>
      <c r="J21" s="1249" t="s">
        <v>4151</v>
      </c>
      <c r="K21" s="1248">
        <v>701512500</v>
      </c>
      <c r="L21" s="1248"/>
      <c r="M21" s="1248">
        <v>0</v>
      </c>
      <c r="N21" s="1248" t="s">
        <v>4152</v>
      </c>
      <c r="O21" s="1323" t="s">
        <v>4149</v>
      </c>
      <c r="P21" s="1251">
        <v>1000</v>
      </c>
      <c r="Q21" s="1251"/>
      <c r="R21" s="1252">
        <v>0.1948</v>
      </c>
      <c r="S21" s="1253">
        <v>45453</v>
      </c>
      <c r="T21" s="1254">
        <f t="shared" ref="T21" si="28">Project_Factor</f>
        <v>0.8</v>
      </c>
      <c r="U21" s="1255" cm="1">
        <f t="array" ref="U21">EBOM_Factor</f>
        <v>0.25613152347522256</v>
      </c>
      <c r="V21" s="1255">
        <f t="shared" si="0"/>
        <v>3.9915536618378683E-2</v>
      </c>
      <c r="W21" s="1256">
        <f t="shared" si="25"/>
        <v>0.11974660985513605</v>
      </c>
      <c r="X21" s="1256">
        <f t="shared" si="26"/>
        <v>0</v>
      </c>
      <c r="Y21" s="1256">
        <f>X21+W21</f>
        <v>0.11974660985513605</v>
      </c>
      <c r="Z21" s="1258"/>
    </row>
    <row r="22" spans="1:26" ht="69.599999999999994" customHeight="1">
      <c r="A22" s="1247">
        <f t="shared" si="22"/>
        <v>14</v>
      </c>
      <c r="B22" s="1248" t="s">
        <v>667</v>
      </c>
      <c r="C22" s="1248" t="s">
        <v>4211</v>
      </c>
      <c r="D22" s="1249" t="s">
        <v>4109</v>
      </c>
      <c r="E22" s="1237">
        <v>2</v>
      </c>
      <c r="F22" s="1237"/>
      <c r="G22" s="1238">
        <f t="shared" ref="G22:G28" si="29">E22+F22</f>
        <v>2</v>
      </c>
      <c r="H22" s="1237" t="s">
        <v>3491</v>
      </c>
      <c r="I22" s="1248" t="s">
        <v>4208</v>
      </c>
      <c r="J22" s="1249" t="s">
        <v>4209</v>
      </c>
      <c r="K22" s="1248"/>
      <c r="L22" s="1248" t="s">
        <v>4210</v>
      </c>
      <c r="M22" s="1248">
        <v>30</v>
      </c>
      <c r="N22" s="1248" t="s">
        <v>4207</v>
      </c>
      <c r="O22" s="1323" t="s">
        <v>4206</v>
      </c>
      <c r="P22" s="1251">
        <v>1200</v>
      </c>
      <c r="Q22" s="1251"/>
      <c r="R22" s="1252">
        <v>2.27067</v>
      </c>
      <c r="S22" s="1253">
        <v>45453</v>
      </c>
      <c r="T22" s="1254">
        <f t="shared" ref="T22" si="30">Project_Factor</f>
        <v>0.8</v>
      </c>
      <c r="U22" s="1255" cm="1">
        <f t="array" ref="U22">EBOM_Factor</f>
        <v>0.28388060433131934</v>
      </c>
      <c r="V22" s="1255">
        <f t="shared" si="0"/>
        <v>0.51567933746959749</v>
      </c>
      <c r="W22" s="1256">
        <f t="shared" si="25"/>
        <v>1.031358674939195</v>
      </c>
      <c r="X22" s="1256">
        <f t="shared" si="26"/>
        <v>0</v>
      </c>
      <c r="Y22" s="1256">
        <f t="shared" ref="Y22:Y28" si="31">X22+W22</f>
        <v>1.031358674939195</v>
      </c>
      <c r="Z22" s="1258"/>
    </row>
    <row r="23" spans="1:26" ht="25.9" customHeight="1">
      <c r="A23" s="1247">
        <f>ROW()-8</f>
        <v>15</v>
      </c>
      <c r="B23" s="1248"/>
      <c r="C23" s="1248"/>
      <c r="D23" s="1248"/>
      <c r="E23" s="1237"/>
      <c r="F23" s="1237"/>
      <c r="G23" s="1238">
        <f>E23+F23</f>
        <v>0</v>
      </c>
      <c r="H23" s="1237"/>
      <c r="I23" s="1248"/>
      <c r="J23" s="1249"/>
      <c r="K23" s="1248"/>
      <c r="L23" s="1248"/>
      <c r="M23" s="1248"/>
      <c r="N23" s="1248"/>
      <c r="O23" s="1250"/>
      <c r="P23" s="1251"/>
      <c r="Q23" s="1251"/>
      <c r="R23" s="1252"/>
      <c r="S23" s="1253"/>
      <c r="T23" s="1254">
        <f>Project_Factor</f>
        <v>0.8</v>
      </c>
      <c r="U23" s="1255" cm="1">
        <f t="array" ref="U23">EBOM_Factor</f>
        <v>0</v>
      </c>
      <c r="V23" s="1255">
        <f>R23*U23*T23</f>
        <v>0</v>
      </c>
      <c r="W23" s="1256">
        <f>E23*V23</f>
        <v>0</v>
      </c>
      <c r="X23" s="1256">
        <f>F23*V23</f>
        <v>0</v>
      </c>
      <c r="Y23" s="1256">
        <f>X23+W23</f>
        <v>0</v>
      </c>
      <c r="Z23" s="1258"/>
    </row>
    <row r="24" spans="1:26" ht="82.15" customHeight="1">
      <c r="A24" s="1247">
        <f>ROW()-8</f>
        <v>16</v>
      </c>
      <c r="B24" s="1248" t="s">
        <v>667</v>
      </c>
      <c r="C24" s="1248" t="s">
        <v>4110</v>
      </c>
      <c r="D24" s="1249" t="s">
        <v>4111</v>
      </c>
      <c r="E24" s="1237">
        <v>1</v>
      </c>
      <c r="F24" s="1237"/>
      <c r="G24" s="1238">
        <f>E24+F24</f>
        <v>1</v>
      </c>
      <c r="H24" s="1237" t="s">
        <v>3491</v>
      </c>
      <c r="I24" s="1248" t="s">
        <v>4236</v>
      </c>
      <c r="J24" s="1249" t="s">
        <v>4237</v>
      </c>
      <c r="K24" s="1248" t="s">
        <v>4238</v>
      </c>
      <c r="L24" s="1248"/>
      <c r="M24" s="1248">
        <v>4</v>
      </c>
      <c r="N24" s="1248" t="s">
        <v>4239</v>
      </c>
      <c r="O24" s="1323" t="s">
        <v>4240</v>
      </c>
      <c r="P24" s="1251">
        <v>1000</v>
      </c>
      <c r="Q24" s="1251"/>
      <c r="R24" s="1252">
        <v>0.95760999999999996</v>
      </c>
      <c r="S24" s="1253">
        <v>45453</v>
      </c>
      <c r="T24" s="1254">
        <f>Project_Factor</f>
        <v>0.8</v>
      </c>
      <c r="U24" s="1255" cm="1">
        <f t="array" ref="U24">EBOM_Factor</f>
        <v>0.31042683161762363</v>
      </c>
      <c r="V24" s="1255">
        <f>R24*U24*T24</f>
        <v>0.23781427058028207</v>
      </c>
      <c r="W24" s="1256">
        <f>E24*V24</f>
        <v>0.23781427058028207</v>
      </c>
      <c r="X24" s="1256">
        <f>F24*V24</f>
        <v>0</v>
      </c>
      <c r="Y24" s="1256">
        <f>X24+W24</f>
        <v>0.23781427058028207</v>
      </c>
      <c r="Z24" s="1258"/>
    </row>
    <row r="25" spans="1:26" ht="67.900000000000006" customHeight="1">
      <c r="A25" s="1247">
        <f>ROW()-8</f>
        <v>17</v>
      </c>
      <c r="B25" s="1248" t="s">
        <v>3504</v>
      </c>
      <c r="C25" s="1248" t="s">
        <v>4194</v>
      </c>
      <c r="D25" s="1249" t="s">
        <v>4112</v>
      </c>
      <c r="E25" s="1237">
        <v>1</v>
      </c>
      <c r="F25" s="1237"/>
      <c r="G25" s="1238">
        <f>E25+F25</f>
        <v>1</v>
      </c>
      <c r="H25" s="1237" t="s">
        <v>3491</v>
      </c>
      <c r="I25" s="1248" t="s">
        <v>4167</v>
      </c>
      <c r="J25" s="1249" t="s">
        <v>4166</v>
      </c>
      <c r="K25" s="1248" t="s">
        <v>4165</v>
      </c>
      <c r="L25" s="1248"/>
      <c r="M25" s="1248">
        <v>4</v>
      </c>
      <c r="N25" s="1249" t="s">
        <v>4168</v>
      </c>
      <c r="O25" s="1323" t="s">
        <v>4164</v>
      </c>
      <c r="P25" s="1251">
        <v>1000</v>
      </c>
      <c r="Q25" s="1251"/>
      <c r="R25" s="1252">
        <v>0.13300000000000001</v>
      </c>
      <c r="S25" s="1253">
        <v>45453</v>
      </c>
      <c r="T25" s="1254">
        <f>Project_Factor</f>
        <v>0.8</v>
      </c>
      <c r="U25" s="1255" cm="1">
        <f t="array" ref="U25">EBOM_Factor</f>
        <v>0.31042683161762363</v>
      </c>
      <c r="V25" s="1255">
        <f>R25*U25*T25</f>
        <v>3.3029414884115156E-2</v>
      </c>
      <c r="W25" s="1256">
        <f>E25*V25</f>
        <v>3.3029414884115156E-2</v>
      </c>
      <c r="X25" s="1256">
        <f>F25*V25</f>
        <v>0</v>
      </c>
      <c r="Y25" s="1256">
        <f>X25+W25</f>
        <v>3.3029414884115156E-2</v>
      </c>
      <c r="Z25" s="1258"/>
    </row>
    <row r="26" spans="1:26" ht="100.9" customHeight="1">
      <c r="A26" s="1247">
        <f>ROW()-8</f>
        <v>18</v>
      </c>
      <c r="B26" s="1248" t="s">
        <v>3504</v>
      </c>
      <c r="C26" s="1249" t="s">
        <v>4196</v>
      </c>
      <c r="D26" s="1249" t="s">
        <v>4113</v>
      </c>
      <c r="E26" s="1237">
        <v>1</v>
      </c>
      <c r="F26" s="1237"/>
      <c r="G26" s="1238">
        <f>E26+F26</f>
        <v>1</v>
      </c>
      <c r="H26" s="1237" t="s">
        <v>3491</v>
      </c>
      <c r="I26" s="1248" t="s">
        <v>4172</v>
      </c>
      <c r="J26" s="1249" t="s">
        <v>4170</v>
      </c>
      <c r="K26" s="1248" t="s">
        <v>4171</v>
      </c>
      <c r="L26" s="1248"/>
      <c r="M26" s="1248">
        <v>48</v>
      </c>
      <c r="N26" s="1248" t="s">
        <v>4173</v>
      </c>
      <c r="O26" s="1323" t="s">
        <v>4169</v>
      </c>
      <c r="P26" s="1251">
        <v>500</v>
      </c>
      <c r="Q26" s="1251"/>
      <c r="R26" s="1252">
        <v>1.8095000000000001</v>
      </c>
      <c r="S26" s="1253">
        <v>45453</v>
      </c>
      <c r="T26" s="1254">
        <f>Project_Factor</f>
        <v>0.8</v>
      </c>
      <c r="U26" s="1255" cm="1">
        <f t="array" ref="U26">EBOM_Factor</f>
        <v>0.27496600450474873</v>
      </c>
      <c r="V26" s="1255">
        <f>R26*U26*T26</f>
        <v>0.3980407881210743</v>
      </c>
      <c r="W26" s="1256">
        <f>E26*V26</f>
        <v>0.3980407881210743</v>
      </c>
      <c r="X26" s="1256">
        <f>F26*V26</f>
        <v>0</v>
      </c>
      <c r="Y26" s="1256">
        <f>X26+W26</f>
        <v>0.3980407881210743</v>
      </c>
      <c r="Z26" s="1258"/>
    </row>
    <row r="27" spans="1:26" ht="82.15" customHeight="1">
      <c r="A27" s="1247">
        <f>ROW()-8</f>
        <v>19</v>
      </c>
      <c r="B27" s="1248" t="s">
        <v>3504</v>
      </c>
      <c r="C27" s="1249" t="s">
        <v>4195</v>
      </c>
      <c r="D27" s="1249" t="s">
        <v>4174</v>
      </c>
      <c r="E27" s="1237">
        <v>1</v>
      </c>
      <c r="F27" s="1237"/>
      <c r="G27" s="1238">
        <f>E27+F27</f>
        <v>1</v>
      </c>
      <c r="H27" s="1237" t="s">
        <v>3491</v>
      </c>
      <c r="I27" s="1248" t="s">
        <v>4178</v>
      </c>
      <c r="J27" s="1249" t="s">
        <v>4176</v>
      </c>
      <c r="K27" s="1248" t="s">
        <v>4177</v>
      </c>
      <c r="L27" s="1248"/>
      <c r="M27" s="1248">
        <v>16</v>
      </c>
      <c r="N27" s="1248" t="s">
        <v>4179</v>
      </c>
      <c r="O27" s="1323" t="s">
        <v>4175</v>
      </c>
      <c r="P27" s="1251">
        <v>1000</v>
      </c>
      <c r="Q27" s="1251"/>
      <c r="R27" s="1252">
        <v>0.17823</v>
      </c>
      <c r="S27" s="1253">
        <v>45453</v>
      </c>
      <c r="T27" s="1254">
        <f>Project_Factor</f>
        <v>0.8</v>
      </c>
      <c r="U27" s="1255" cm="1">
        <f t="array" ref="U27">EBOM_Factor</f>
        <v>0.31042683161762363</v>
      </c>
      <c r="V27" s="1255">
        <f>R27*U27*T27</f>
        <v>4.4261899359367252E-2</v>
      </c>
      <c r="W27" s="1256">
        <f>E27*V27</f>
        <v>4.4261899359367252E-2</v>
      </c>
      <c r="X27" s="1256">
        <f>F27*V27</f>
        <v>0</v>
      </c>
      <c r="Y27" s="1256">
        <f>X27+W27</f>
        <v>4.4261899359367252E-2</v>
      </c>
      <c r="Z27" s="1258"/>
    </row>
    <row r="28" spans="1:26" ht="25.9" customHeight="1">
      <c r="A28" s="1259"/>
      <c r="B28" s="1260" t="s">
        <v>3530</v>
      </c>
      <c r="C28" s="1248"/>
      <c r="D28" s="1249"/>
      <c r="E28" s="1237"/>
      <c r="F28" s="1237"/>
      <c r="G28" s="1238">
        <f t="shared" si="29"/>
        <v>0</v>
      </c>
      <c r="H28" s="1237"/>
      <c r="I28" s="1249"/>
      <c r="J28" s="1248"/>
      <c r="K28" s="1248"/>
      <c r="L28" s="1248"/>
      <c r="M28" s="1248"/>
      <c r="N28" s="1248"/>
      <c r="O28" s="1250"/>
      <c r="P28" s="1251"/>
      <c r="Q28" s="1251"/>
      <c r="R28" s="1252"/>
      <c r="S28" s="1253"/>
      <c r="T28" s="1254">
        <f t="shared" ref="T28" si="32">Project_Factor</f>
        <v>0.8</v>
      </c>
      <c r="U28" s="1255" cm="1">
        <f t="array" ref="U28">EBOM_Factor</f>
        <v>0</v>
      </c>
      <c r="V28" s="1255">
        <f t="shared" si="0"/>
        <v>0</v>
      </c>
      <c r="W28" s="1256">
        <f t="shared" si="25"/>
        <v>0</v>
      </c>
      <c r="X28" s="1256">
        <f t="shared" si="26"/>
        <v>0</v>
      </c>
      <c r="Y28" s="1256">
        <f t="shared" si="31"/>
        <v>0</v>
      </c>
      <c r="Z28" s="1258"/>
    </row>
    <row r="29" spans="1:26" ht="59.45" customHeight="1">
      <c r="A29" s="1247">
        <f>ROW()-8</f>
        <v>21</v>
      </c>
      <c r="B29" s="1248" t="s">
        <v>667</v>
      </c>
      <c r="C29" s="1248" t="s">
        <v>4114</v>
      </c>
      <c r="D29" s="1249" t="s">
        <v>4115</v>
      </c>
      <c r="E29" s="1237">
        <v>0</v>
      </c>
      <c r="F29" s="1237">
        <v>2</v>
      </c>
      <c r="G29" s="1238">
        <f>E29+F29</f>
        <v>2</v>
      </c>
      <c r="H29" s="1237"/>
      <c r="I29" s="1248" t="s">
        <v>4241</v>
      </c>
      <c r="J29" s="1249" t="s">
        <v>4198</v>
      </c>
      <c r="K29" s="1248"/>
      <c r="L29" s="1248" t="s">
        <v>4242</v>
      </c>
      <c r="M29" s="1248">
        <v>0</v>
      </c>
      <c r="N29" s="1248" t="s">
        <v>4207</v>
      </c>
      <c r="O29" s="1323" t="s">
        <v>4243</v>
      </c>
      <c r="P29" s="1251">
        <v>1000</v>
      </c>
      <c r="Q29" s="1251"/>
      <c r="R29" s="1252">
        <v>0.90336000000000005</v>
      </c>
      <c r="S29" s="1253">
        <v>45453</v>
      </c>
      <c r="T29" s="1254">
        <f t="shared" ref="T29" si="33">Project_Factor</f>
        <v>0.8</v>
      </c>
      <c r="U29" s="1255" cm="1">
        <f t="array" ref="U29">EBOM_Factor</f>
        <v>0.27496600450474862</v>
      </c>
      <c r="V29" s="1255">
        <f t="shared" si="0"/>
        <v>0.19871463186352778</v>
      </c>
      <c r="W29" s="1256">
        <f>E29*V29</f>
        <v>0</v>
      </c>
      <c r="X29" s="1256">
        <f>F29*V29</f>
        <v>0.39742926372705556</v>
      </c>
      <c r="Y29" s="1256">
        <f>X29+W29</f>
        <v>0.39742926372705556</v>
      </c>
      <c r="Z29" s="1258"/>
    </row>
    <row r="30" spans="1:26" ht="70.900000000000006" customHeight="1">
      <c r="A30" s="1247">
        <f t="shared" ref="A30:A31" si="34">ROW()-8</f>
        <v>22</v>
      </c>
      <c r="B30" s="1248" t="s">
        <v>667</v>
      </c>
      <c r="C30" s="1248" t="s">
        <v>4117</v>
      </c>
      <c r="D30" s="1249" t="s">
        <v>4116</v>
      </c>
      <c r="E30" s="1237"/>
      <c r="F30" s="1237">
        <v>1</v>
      </c>
      <c r="G30" s="1238">
        <f>E30+F30</f>
        <v>1</v>
      </c>
      <c r="H30" s="1237" t="s">
        <v>3491</v>
      </c>
      <c r="I30" s="1248" t="s">
        <v>4214</v>
      </c>
      <c r="J30" s="1248" t="s">
        <v>4213</v>
      </c>
      <c r="K30" s="1248" t="s">
        <v>4215</v>
      </c>
      <c r="L30" s="1248"/>
      <c r="M30" s="1248">
        <v>7</v>
      </c>
      <c r="N30" s="1249" t="s">
        <v>4212</v>
      </c>
      <c r="O30" s="1323" t="s">
        <v>4216</v>
      </c>
      <c r="P30" s="1251">
        <v>1000</v>
      </c>
      <c r="Q30" s="1251"/>
      <c r="R30" s="1252">
        <v>0.14882000000000001</v>
      </c>
      <c r="S30" s="1253">
        <v>45453</v>
      </c>
      <c r="T30" s="1254">
        <f t="shared" ref="T30" si="35">Project_Factor</f>
        <v>0.8</v>
      </c>
      <c r="U30" s="1255" cm="1">
        <f t="array" ref="U30">EBOM_Factor</f>
        <v>0.31042683161762363</v>
      </c>
      <c r="V30" s="1255">
        <f t="shared" si="0"/>
        <v>3.6958176865067797E-2</v>
      </c>
      <c r="W30" s="1256">
        <f>E30*V30</f>
        <v>0</v>
      </c>
      <c r="X30" s="1256">
        <f t="shared" ref="X30:X31" si="36">F30*V30</f>
        <v>3.6958176865067797E-2</v>
      </c>
      <c r="Y30" s="1256">
        <f t="shared" ref="Y30:Y31" si="37">X30+W30</f>
        <v>3.6958176865067797E-2</v>
      </c>
      <c r="Z30" s="1258"/>
    </row>
    <row r="31" spans="1:26" ht="25.9" customHeight="1">
      <c r="A31" s="1247">
        <f t="shared" si="34"/>
        <v>23</v>
      </c>
      <c r="B31" s="1248"/>
      <c r="C31" s="1248"/>
      <c r="D31" s="1248"/>
      <c r="E31" s="1237"/>
      <c r="F31" s="1237"/>
      <c r="G31" s="1238">
        <f t="shared" ref="G31" si="38">E31+F31</f>
        <v>0</v>
      </c>
      <c r="H31" s="1237"/>
      <c r="I31" s="1248"/>
      <c r="J31" s="1249"/>
      <c r="K31" s="1248"/>
      <c r="L31" s="1248"/>
      <c r="M31" s="1248"/>
      <c r="N31" s="1248"/>
      <c r="O31" s="1250"/>
      <c r="P31" s="1251"/>
      <c r="Q31" s="1251"/>
      <c r="R31" s="1252"/>
      <c r="S31" s="1253"/>
      <c r="T31" s="1254">
        <f t="shared" ref="T31" si="39">Project_Factor</f>
        <v>0.8</v>
      </c>
      <c r="U31" s="1255" cm="1">
        <f t="array" ref="U31">EBOM_Factor</f>
        <v>0</v>
      </c>
      <c r="V31" s="1255">
        <f t="shared" si="0"/>
        <v>0</v>
      </c>
      <c r="W31" s="1256">
        <f t="shared" ref="W31" si="40">E31*V31</f>
        <v>0</v>
      </c>
      <c r="X31" s="1256">
        <f t="shared" si="36"/>
        <v>0</v>
      </c>
      <c r="Y31" s="1256">
        <f t="shared" si="37"/>
        <v>0</v>
      </c>
      <c r="Z31" s="1258"/>
    </row>
    <row r="32" spans="1:26" ht="25.9" customHeight="1">
      <c r="A32" s="1261"/>
      <c r="B32" s="1262" t="s">
        <v>3537</v>
      </c>
      <c r="C32" s="1262"/>
      <c r="D32" s="1262"/>
      <c r="E32" s="1262"/>
      <c r="F32" s="1262"/>
      <c r="G32" s="1262"/>
      <c r="H32" s="1262"/>
      <c r="I32" s="1262"/>
      <c r="J32" s="1262"/>
      <c r="K32" s="1262"/>
      <c r="L32" s="1262"/>
      <c r="M32" s="1262"/>
      <c r="N32" s="1262"/>
      <c r="O32" s="1262"/>
      <c r="P32" s="1262"/>
      <c r="Q32" s="1262"/>
      <c r="R32" s="1263">
        <f>SUM(R6:R31)</f>
        <v>7.7475699999999996</v>
      </c>
      <c r="S32" s="1262"/>
      <c r="T32" s="1262"/>
      <c r="U32" s="1264"/>
      <c r="V32" s="1264"/>
      <c r="W32" s="1264">
        <f>SUM(EBOM[Price Top Side])</f>
        <v>3.1245923063009711</v>
      </c>
      <c r="X32" s="1264">
        <f>SUM(EBOM[Price Bottom Side])</f>
        <v>0.43438744059212336</v>
      </c>
      <c r="Y32" s="1264">
        <f>SUM(EBOM[Total Price])</f>
        <v>5.303179842893095</v>
      </c>
      <c r="Z32" s="1264"/>
    </row>
    <row r="33" spans="5:24" ht="25.9" customHeight="1"/>
    <row r="34" spans="5:24" ht="25.9" customHeight="1" thickBot="1">
      <c r="E34" s="1265"/>
      <c r="F34" s="1265"/>
      <c r="G34" s="1265"/>
      <c r="H34" s="1434" t="s">
        <v>3529</v>
      </c>
      <c r="I34" s="1434"/>
      <c r="K34" s="1434" t="s">
        <v>3530</v>
      </c>
      <c r="L34" s="1434"/>
      <c r="N34" s="1265"/>
      <c r="P34" s="1265"/>
      <c r="Q34" s="1265"/>
      <c r="R34" s="1266"/>
      <c r="S34" s="1267"/>
      <c r="T34" s="1267"/>
      <c r="U34" s="1268"/>
      <c r="V34" s="1269"/>
      <c r="X34" s="1265"/>
    </row>
    <row r="35" spans="5:24" ht="25.9" customHeight="1">
      <c r="E35" s="1265"/>
      <c r="F35" s="1265"/>
      <c r="G35" s="1265"/>
      <c r="H35" s="1270" t="s">
        <v>3491</v>
      </c>
      <c r="I35" s="1271">
        <f>SUMIF(EBOM[SMD/THT],"SMD",EBOM[Quantity 
Top Side])</f>
        <v>110</v>
      </c>
      <c r="K35" s="1270" t="s">
        <v>3491</v>
      </c>
      <c r="L35" s="1271">
        <f>SUMIF(EBOM[SMD/THT],"SMD",EBOM[Quantity 
Bottom Side])</f>
        <v>1</v>
      </c>
      <c r="N35" s="1265"/>
      <c r="R35" s="1266"/>
      <c r="S35" s="1267"/>
      <c r="T35" s="1267"/>
      <c r="U35" s="1268"/>
      <c r="V35" s="1269"/>
      <c r="W35" s="1268"/>
      <c r="X35" s="1265"/>
    </row>
    <row r="36" spans="5:24" ht="25.9" customHeight="1">
      <c r="E36" s="1265"/>
      <c r="F36" s="1265"/>
      <c r="G36" s="1265"/>
      <c r="H36" s="1272" t="s">
        <v>3498</v>
      </c>
      <c r="I36" s="1273">
        <f>SUMIF(EBOM[SMD/THT],"THT-radial",EBOM[Quantity 
Top Side])</f>
        <v>0</v>
      </c>
      <c r="K36" s="1272" t="s">
        <v>3498</v>
      </c>
      <c r="L36" s="1273">
        <f>SUMIF(EBOM[SMD/THT],"THT-radial",EBOM[Quantity 
Bottom Side])</f>
        <v>0</v>
      </c>
      <c r="N36" s="1265"/>
      <c r="R36" s="1266"/>
      <c r="S36" s="1267"/>
      <c r="T36" s="1267"/>
      <c r="U36" s="1268"/>
      <c r="V36" s="1269"/>
      <c r="W36" s="1268"/>
      <c r="X36" s="1265"/>
    </row>
    <row r="37" spans="5:24" ht="25.9" customHeight="1">
      <c r="E37" s="1265"/>
      <c r="F37" s="1265"/>
      <c r="G37" s="1265"/>
      <c r="H37" s="1272" t="s">
        <v>3499</v>
      </c>
      <c r="I37" s="1273">
        <f>SUMIF(EBOM[SMD/THT],"THT-axial",EBOM[Quantity 
Top Side])</f>
        <v>0</v>
      </c>
      <c r="K37" s="1272" t="s">
        <v>3499</v>
      </c>
      <c r="L37" s="1273">
        <f>SUMIF(EBOM[SMD/THT],"THT-axial",EBOM[Quantity 
Bottom Side])</f>
        <v>0</v>
      </c>
      <c r="N37" s="1265"/>
      <c r="R37" s="1266"/>
      <c r="S37" s="1267"/>
      <c r="T37" s="1267"/>
      <c r="U37" s="1268"/>
      <c r="V37" s="1269"/>
      <c r="W37" s="1268"/>
      <c r="X37" s="1265"/>
    </row>
    <row r="38" spans="5:24" ht="25.9" customHeight="1" thickBot="1">
      <c r="E38" s="1265"/>
      <c r="F38" s="1265"/>
      <c r="G38" s="1265"/>
      <c r="H38" s="1274" t="s">
        <v>3548</v>
      </c>
      <c r="I38" s="1275">
        <f>SUMIF(EBOM[SMD/THT],H38,EBOM[Quantity 
Top Side])</f>
        <v>0</v>
      </c>
      <c r="K38" s="1274" t="s">
        <v>3548</v>
      </c>
      <c r="L38" s="1275">
        <f>SUMIF(EBOM[SMD/THT],K38,EBOM[Quantity 
Bottom Side])</f>
        <v>0</v>
      </c>
      <c r="N38" s="1265"/>
      <c r="R38" s="1266"/>
      <c r="S38" s="1267"/>
      <c r="T38" s="1267"/>
      <c r="U38" s="1268"/>
      <c r="V38" s="1269"/>
      <c r="W38" s="1268"/>
      <c r="X38" s="1265"/>
    </row>
    <row r="39" spans="5:24" ht="25.9" customHeight="1" thickBot="1"/>
    <row r="40" spans="5:24" ht="25.9" customHeight="1">
      <c r="H40" s="1276" t="s">
        <v>4070</v>
      </c>
      <c r="I40" s="1277" t="str">
        <f>H34</f>
        <v>TOP SIDE</v>
      </c>
      <c r="J40" s="1278" t="str">
        <f>K34</f>
        <v>BOTTOM SIDE</v>
      </c>
    </row>
    <row r="41" spans="5:24" ht="25.9" customHeight="1">
      <c r="H41" s="1279" t="str">
        <f>C72</f>
        <v>Resistor</v>
      </c>
      <c r="I41" s="1237">
        <f>SUMIFS(EBOM[Quantity 
Top Side],EBOM[SMD/THT],"SMD",EBOM[Type],H41)</f>
        <v>52</v>
      </c>
      <c r="J41" s="1280">
        <f>SUMIFS(EBOM[Quantity 
Bottom Side],EBOM[SMD/THT],"SMD",EBOM[Type],H41)</f>
        <v>0</v>
      </c>
    </row>
    <row r="42" spans="5:24" ht="25.9" customHeight="1">
      <c r="H42" s="1279" t="str">
        <f>C70</f>
        <v>Capacitor</v>
      </c>
      <c r="I42" s="1237">
        <f>SUMIFS(EBOM[Quantity 
Top Side],EBOM[SMD/THT],"SMD",EBOM[Type],H42)</f>
        <v>33</v>
      </c>
      <c r="J42" s="1280">
        <f>SUMIFS(EBOM[Quantity 
Bottom Side],EBOM[SMD/THT],"SMD",EBOM[Type],H42)</f>
        <v>0</v>
      </c>
    </row>
    <row r="43" spans="5:24" ht="25.9" customHeight="1">
      <c r="H43" s="1279" t="s">
        <v>3550</v>
      </c>
      <c r="I43" s="1237">
        <f>IF((SUMIFS(EBOM[Quantity 
Top Side],EBOM[SMD/THT],"SMD",EBOM[Source],"Shortlist")+SUMIFS(EBOM[Quantity 
Top Side],EBOM[SMD/THT],"SMD",EBOM[Source],"Standard")-I41-I42)&lt;0,"Tabellenspalte 'Link' ausfüllen",SUMIFS(EBOM[Quantity 
Top Side],EBOM[SMD/THT],"SMD",EBOM[Source],"Shortlist")+SUMIFS(EBOM[Quantity 
Top Side],EBOM[SMD/THT],"SMD",EBOM[Source],"Standard")-I41-I42)</f>
        <v>7</v>
      </c>
      <c r="J43" s="1280">
        <f>IF((SUMIFS(EBOM[Quantity 
Bottom Side],EBOM[SMD/THT],"SMD",EBOM[Source],"Shortlist")+SUMIFS(EBOM[Quantity 
Bottom Side],EBOM[SMD/THT],"SMD",EBOM[Source],"Standard")-J41-J42)&lt;0,"Tabellenspalte 'Link' ausfüllen",SUMIFS(EBOM[Quantity 
Bottom Side],EBOM[SMD/THT],"SMD",EBOM[Source],"Shortlist")+SUMIFS(EBOM[Quantity 
Bottom Side],EBOM[SMD/THT],"SMD",EBOM[Source],"Standard")-J41-J42)</f>
        <v>0</v>
      </c>
    </row>
    <row r="44" spans="5:24" ht="25.9" customHeight="1">
      <c r="H44" s="1279" t="s">
        <v>3551</v>
      </c>
      <c r="I44" s="1237">
        <f>I35-I41-I42-I43-I45</f>
        <v>15</v>
      </c>
      <c r="J44" s="1280">
        <f>L35-J41-J42-J43-J45</f>
        <v>1</v>
      </c>
    </row>
    <row r="45" spans="5:24" ht="25.9" customHeight="1" thickBot="1">
      <c r="H45" s="1281" t="s">
        <v>3552</v>
      </c>
      <c r="I45" s="1282">
        <f>I46+I47</f>
        <v>3</v>
      </c>
      <c r="J45" s="1283"/>
    </row>
    <row r="46" spans="5:24" ht="25.9" customHeight="1">
      <c r="H46" s="1284" t="s">
        <v>3504</v>
      </c>
      <c r="I46" s="1285">
        <f>SUMIFS(EBOM[Quantity 
Top Side],EBOM[Group],H46,EBOM[SMD/THT],"SMD")</f>
        <v>3</v>
      </c>
      <c r="J46" s="1286">
        <f>SUMIFS(EBOM[Quantity 
Bottom Side],EBOM[SMD/THT],"SMD",EBOM[Group],H46)</f>
        <v>0</v>
      </c>
    </row>
    <row r="47" spans="5:24" ht="25.9" customHeight="1">
      <c r="H47" s="1287" t="s">
        <v>3540</v>
      </c>
      <c r="I47" s="1288">
        <f>SUMIFS(EBOM[Quantity 
Top Side],EBOM[Group],H47,EBOM[SMD/THT],"SMD")</f>
        <v>0</v>
      </c>
      <c r="J47" s="1289">
        <f>SUMIFS(EBOM[Quantity 
Bottom Side],EBOM[SMD/THT],"SMD",EBOM[Group],H47)</f>
        <v>0</v>
      </c>
    </row>
    <row r="48" spans="5:24" ht="25.9" customHeight="1"/>
    <row r="49" spans="1:11" ht="25.9" customHeight="1"/>
    <row r="50" spans="1:11" ht="25.9" customHeight="1"/>
    <row r="51" spans="1:11" ht="25.9" customHeight="1"/>
    <row r="52" spans="1:11" ht="25.9" customHeight="1"/>
    <row r="53" spans="1:11" ht="25.9" hidden="1" customHeight="1" thickBot="1">
      <c r="A53" s="1290" t="s">
        <v>4071</v>
      </c>
      <c r="B53" s="1291"/>
      <c r="C53" s="1291"/>
      <c r="D53" s="1291"/>
      <c r="E53" s="1291"/>
      <c r="F53" s="1291"/>
      <c r="G53" s="1291"/>
      <c r="H53" s="1291"/>
      <c r="I53" s="1291"/>
      <c r="J53" s="1291"/>
      <c r="K53" s="1292"/>
    </row>
    <row r="54" spans="1:11" ht="25.9" hidden="1" customHeight="1">
      <c r="A54" s="1293" t="s">
        <v>4071</v>
      </c>
      <c r="H54" s="1276" t="s">
        <v>4070</v>
      </c>
      <c r="I54" s="1277" t="str">
        <f>H34</f>
        <v>TOP SIDE</v>
      </c>
      <c r="J54" s="1278" t="str">
        <f>K34</f>
        <v>BOTTOM SIDE</v>
      </c>
      <c r="K54" s="1286"/>
    </row>
    <row r="55" spans="1:11" ht="25.9" hidden="1" customHeight="1">
      <c r="A55" s="1293" t="s">
        <v>4071</v>
      </c>
      <c r="H55" s="1279" t="s">
        <v>3560</v>
      </c>
      <c r="I55" s="1237">
        <f>SUMIFS(EBOM[Quantity 
Top Side],EBOM[SMD/THT],"SMD",EBOM[Type],H55)</f>
        <v>52</v>
      </c>
      <c r="J55" s="1280">
        <f>SUMIFS(EBOM[Quantity 
Bottom Side],EBOM[SMD/THT],"SMD",EBOM[Type],"Widerstand")</f>
        <v>0</v>
      </c>
      <c r="K55" s="1286"/>
    </row>
    <row r="56" spans="1:11" ht="25.9" hidden="1" customHeight="1">
      <c r="A56" s="1293" t="s">
        <v>4071</v>
      </c>
      <c r="H56" s="1279" t="s">
        <v>3558</v>
      </c>
      <c r="I56" s="1237">
        <f>SUMIFS(EBOM[Quantity 
Top Side],EBOM[SMD/THT],"SMD",EBOM[Type],H56)</f>
        <v>33</v>
      </c>
      <c r="J56" s="1280">
        <f>SUMIFS(EBOM[Quantity 
Bottom Side],EBOM[SMD/THT],"SMD",EBOM[Type],"Kondensator")</f>
        <v>0</v>
      </c>
      <c r="K56" s="1286"/>
    </row>
    <row r="57" spans="1:11" ht="25.9" hidden="1" customHeight="1">
      <c r="A57" s="1293" t="s">
        <v>4071</v>
      </c>
      <c r="H57" s="1279" t="s">
        <v>3550</v>
      </c>
      <c r="I57" s="1237">
        <f>SUMIFS(EBOM[Quantity 
Top Side],EBOM[SMD/THT],"SMD",EBOM[Source],"Shortlist")+SUMIFS(EBOM[Quantity 
Top Side],EBOM[SMD/THT],"SMD",EBOM[Source],"Standard")-I56-I55</f>
        <v>7</v>
      </c>
      <c r="J57" s="1280">
        <f>SUMIFS(EBOM[Quantity 
Bottom Side],EBOM[SMD/THT],"SMD",EBOM[Source],"Standard")-J56-J55</f>
        <v>0</v>
      </c>
      <c r="K57" s="1286"/>
    </row>
    <row r="58" spans="1:11" ht="25.9" hidden="1" customHeight="1">
      <c r="A58" s="1293" t="s">
        <v>4071</v>
      </c>
      <c r="H58" s="1279" t="s">
        <v>3551</v>
      </c>
      <c r="I58" s="1237">
        <f>I35-I55-I56-I57-I59</f>
        <v>15</v>
      </c>
      <c r="J58" s="1280">
        <f>L35-J55-J56-J57-J59</f>
        <v>1</v>
      </c>
      <c r="K58" s="1286"/>
    </row>
    <row r="59" spans="1:11" ht="25.9" hidden="1" customHeight="1" thickBot="1">
      <c r="A59" s="1293" t="s">
        <v>4071</v>
      </c>
      <c r="H59" s="1281" t="s">
        <v>3552</v>
      </c>
      <c r="I59" s="1282">
        <f>I60+I61</f>
        <v>3</v>
      </c>
      <c r="J59" s="1283">
        <f>J60+J61</f>
        <v>0</v>
      </c>
      <c r="K59" s="1286"/>
    </row>
    <row r="60" spans="1:11" ht="25.9" hidden="1" customHeight="1">
      <c r="A60" s="1293" t="s">
        <v>4071</v>
      </c>
      <c r="H60" s="1284" t="s">
        <v>3504</v>
      </c>
      <c r="I60" s="1229">
        <f>SUMIFS(EBOM[Quantity 
Top Side],EBOM[SMD/THT],"SMD",EBOM[Group],H60)</f>
        <v>3</v>
      </c>
      <c r="J60" s="1286">
        <f>SUMIFS(EBOM[Quantity 
Bottom Side],EBOM[SMD/THT],"SMD",EBOM[Group],H60)</f>
        <v>0</v>
      </c>
      <c r="K60" s="1286"/>
    </row>
    <row r="61" spans="1:11" ht="25.9" hidden="1" customHeight="1">
      <c r="A61" s="1293" t="s">
        <v>4071</v>
      </c>
      <c r="H61" s="1287" t="s">
        <v>3540</v>
      </c>
      <c r="I61" s="1294">
        <f>SUMIFS(EBOM[Quantity 
Top Side],EBOM[SMD/THT],"SMD",EBOM[Group],H61)</f>
        <v>0</v>
      </c>
      <c r="J61" s="1289">
        <f>SUMIFS(EBOM[Quantity 
Bottom Side],EBOM[SMD/THT],"SMD",EBOM[Group],H61)</f>
        <v>0</v>
      </c>
      <c r="K61" s="1286"/>
    </row>
    <row r="62" spans="1:11" ht="25.9" hidden="1" customHeight="1">
      <c r="A62" s="1293" t="s">
        <v>4071</v>
      </c>
      <c r="K62" s="1286"/>
    </row>
    <row r="63" spans="1:11" ht="25.9" hidden="1" customHeight="1">
      <c r="A63" s="1293" t="s">
        <v>4071</v>
      </c>
      <c r="K63" s="1286"/>
    </row>
    <row r="64" spans="1:11" ht="25.9" hidden="1" customHeight="1">
      <c r="A64" s="1293" t="s">
        <v>4071</v>
      </c>
      <c r="K64" s="1286"/>
    </row>
    <row r="65" spans="1:20" ht="25.9" hidden="1" customHeight="1">
      <c r="A65" s="1293" t="s">
        <v>4071</v>
      </c>
      <c r="K65" s="1286"/>
    </row>
    <row r="66" spans="1:20" ht="25.9" hidden="1" customHeight="1">
      <c r="A66" s="1293" t="s">
        <v>4071</v>
      </c>
      <c r="K66" s="1286"/>
    </row>
    <row r="67" spans="1:20" ht="25.9" hidden="1" customHeight="1">
      <c r="A67" s="1293" t="s">
        <v>4071</v>
      </c>
      <c r="B67" s="1435" t="s">
        <v>4072</v>
      </c>
      <c r="C67" s="1436"/>
      <c r="K67" s="1286"/>
    </row>
    <row r="68" spans="1:20" ht="25.9" hidden="1" customHeight="1">
      <c r="A68" s="1293" t="s">
        <v>4071</v>
      </c>
      <c r="B68" s="1296" t="s">
        <v>4073</v>
      </c>
      <c r="C68" s="1297" t="s">
        <v>3514</v>
      </c>
      <c r="D68" s="1296" t="s">
        <v>3472</v>
      </c>
      <c r="F68" s="1297" t="s">
        <v>3558</v>
      </c>
      <c r="G68" s="1297" t="s">
        <v>3560</v>
      </c>
      <c r="H68" s="1297" t="s">
        <v>3495</v>
      </c>
      <c r="I68" s="1297" t="s">
        <v>3557</v>
      </c>
      <c r="J68" s="1297" t="s">
        <v>3559</v>
      </c>
      <c r="K68" s="1286"/>
      <c r="Q68" s="1298"/>
      <c r="T68" s="1229"/>
    </row>
    <row r="69" spans="1:20" ht="25.9" hidden="1" customHeight="1">
      <c r="A69" s="1293" t="s">
        <v>4071</v>
      </c>
      <c r="B69" s="1299" t="s">
        <v>3538</v>
      </c>
      <c r="C69" s="1229" t="s">
        <v>3557</v>
      </c>
      <c r="D69" s="1299" t="s">
        <v>3491</v>
      </c>
      <c r="F69" s="1229" t="s">
        <v>4074</v>
      </c>
      <c r="G69" s="1295" t="s">
        <v>4074</v>
      </c>
      <c r="H69" s="1229" t="s">
        <v>4075</v>
      </c>
      <c r="I69" s="1229" t="s">
        <v>4074</v>
      </c>
      <c r="J69" s="1229" t="s">
        <v>4074</v>
      </c>
      <c r="K69" s="1286"/>
      <c r="Q69" s="1298"/>
      <c r="T69" s="1229"/>
    </row>
    <row r="70" spans="1:20" ht="25.9" hidden="1" customHeight="1">
      <c r="A70" s="1293" t="s">
        <v>4071</v>
      </c>
      <c r="B70" s="1299" t="s">
        <v>3539</v>
      </c>
      <c r="C70" s="1229" t="s">
        <v>3558</v>
      </c>
      <c r="D70" s="1299" t="s">
        <v>3498</v>
      </c>
      <c r="F70" s="1229" t="s">
        <v>4076</v>
      </c>
      <c r="G70" s="1295" t="s">
        <v>4076</v>
      </c>
      <c r="H70" s="1229" t="s">
        <v>4077</v>
      </c>
      <c r="I70" s="1229" t="s">
        <v>4076</v>
      </c>
      <c r="J70" s="1229" t="s">
        <v>4076</v>
      </c>
      <c r="K70" s="1286"/>
      <c r="Q70" s="1298"/>
      <c r="T70" s="1229"/>
    </row>
    <row r="71" spans="1:20" ht="25.9" hidden="1" customHeight="1">
      <c r="A71" s="1293" t="s">
        <v>4071</v>
      </c>
      <c r="B71" s="1299" t="s">
        <v>3504</v>
      </c>
      <c r="C71" s="1229" t="s">
        <v>3559</v>
      </c>
      <c r="D71" s="1299" t="s">
        <v>3499</v>
      </c>
      <c r="F71" s="1229" t="s">
        <v>4078</v>
      </c>
      <c r="G71" s="1295" t="s">
        <v>4078</v>
      </c>
      <c r="H71" s="1229" t="s">
        <v>4079</v>
      </c>
      <c r="I71" s="1229" t="s">
        <v>4078</v>
      </c>
      <c r="J71" s="1229" t="s">
        <v>4078</v>
      </c>
      <c r="K71" s="1286"/>
      <c r="Q71" s="1298"/>
      <c r="T71" s="1229"/>
    </row>
    <row r="72" spans="1:20" ht="25.9" hidden="1" customHeight="1">
      <c r="A72" s="1293" t="s">
        <v>4071</v>
      </c>
      <c r="B72" s="1299" t="s">
        <v>3564</v>
      </c>
      <c r="C72" s="1229" t="s">
        <v>3560</v>
      </c>
      <c r="D72" s="1299" t="s">
        <v>3548</v>
      </c>
      <c r="F72" s="1229" t="s">
        <v>4080</v>
      </c>
      <c r="G72" s="1295" t="s">
        <v>4080</v>
      </c>
      <c r="H72" s="1229" t="s">
        <v>4081</v>
      </c>
      <c r="I72" s="1229" t="s">
        <v>4080</v>
      </c>
      <c r="J72" s="1229" t="s">
        <v>4080</v>
      </c>
      <c r="K72" s="1286"/>
      <c r="Q72" s="1298"/>
      <c r="T72" s="1229"/>
    </row>
    <row r="73" spans="1:20" ht="25.9" hidden="1" customHeight="1">
      <c r="A73" s="1293" t="s">
        <v>4071</v>
      </c>
      <c r="B73" s="1299" t="s">
        <v>3540</v>
      </c>
      <c r="C73" s="1229" t="s">
        <v>3495</v>
      </c>
      <c r="D73" s="1299"/>
      <c r="F73" s="1229" t="s">
        <v>4082</v>
      </c>
      <c r="G73" s="1295" t="s">
        <v>4082</v>
      </c>
      <c r="H73" s="1229" t="s">
        <v>4083</v>
      </c>
      <c r="K73" s="1286"/>
      <c r="Q73" s="1298"/>
      <c r="T73" s="1229"/>
    </row>
    <row r="74" spans="1:20" ht="25.9" hidden="1" customHeight="1">
      <c r="A74" s="1293" t="s">
        <v>4071</v>
      </c>
      <c r="B74" s="1299" t="s">
        <v>3541</v>
      </c>
      <c r="C74" s="1229" t="s">
        <v>3561</v>
      </c>
      <c r="D74" s="1299"/>
      <c r="G74" s="1295" t="s">
        <v>4084</v>
      </c>
      <c r="H74" s="1229" t="s">
        <v>4085</v>
      </c>
      <c r="K74" s="1286"/>
      <c r="Q74" s="1298"/>
      <c r="T74" s="1229"/>
    </row>
    <row r="75" spans="1:20" ht="25.9" hidden="1" customHeight="1">
      <c r="A75" s="1293" t="s">
        <v>4071</v>
      </c>
      <c r="B75" s="1299" t="s">
        <v>3542</v>
      </c>
      <c r="C75" s="1229" t="s">
        <v>3562</v>
      </c>
      <c r="D75" s="1299"/>
      <c r="G75" s="1295" t="s">
        <v>4086</v>
      </c>
      <c r="H75" s="1229" t="s">
        <v>4087</v>
      </c>
      <c r="K75" s="1286"/>
      <c r="Q75" s="1298"/>
      <c r="T75" s="1229"/>
    </row>
    <row r="76" spans="1:20" ht="25.9" hidden="1" customHeight="1">
      <c r="A76" s="1293" t="s">
        <v>4071</v>
      </c>
      <c r="B76" s="1299" t="s">
        <v>3511</v>
      </c>
      <c r="C76" s="1229" t="s">
        <v>3563</v>
      </c>
      <c r="D76" s="1299"/>
      <c r="H76" s="1229" t="s">
        <v>4088</v>
      </c>
      <c r="K76" s="1286"/>
      <c r="Q76" s="1298"/>
      <c r="T76" s="1229"/>
    </row>
    <row r="77" spans="1:20" ht="25.9" hidden="1" customHeight="1">
      <c r="A77" s="1293" t="s">
        <v>4071</v>
      </c>
      <c r="B77" s="1300" t="s">
        <v>667</v>
      </c>
      <c r="C77" s="1229" t="s">
        <v>3564</v>
      </c>
      <c r="D77" s="1300"/>
      <c r="H77" s="1229" t="s">
        <v>4089</v>
      </c>
      <c r="K77" s="1286"/>
      <c r="Q77" s="1298"/>
      <c r="T77" s="1229"/>
    </row>
    <row r="78" spans="1:20" ht="25.9" hidden="1" customHeight="1">
      <c r="A78" s="1293" t="s">
        <v>4071</v>
      </c>
      <c r="H78" s="1229" t="s">
        <v>4090</v>
      </c>
      <c r="K78" s="1286"/>
      <c r="Q78" s="1298"/>
      <c r="T78" s="1229"/>
    </row>
    <row r="79" spans="1:20" ht="25.9" hidden="1" customHeight="1">
      <c r="A79" s="1293" t="s">
        <v>4071</v>
      </c>
      <c r="B79" s="1229" t="s">
        <v>54</v>
      </c>
      <c r="C79" s="1229" t="str">
        <f>IF(Language="EN","Please enter price","Bitte Preis eintragen")</f>
        <v>Please enter price</v>
      </c>
      <c r="H79" s="1229" t="s">
        <v>4091</v>
      </c>
      <c r="K79" s="1286"/>
      <c r="Q79" s="1298"/>
      <c r="T79" s="1229"/>
    </row>
    <row r="80" spans="1:20" ht="25.9" hidden="1" customHeight="1">
      <c r="A80" s="1293" t="s">
        <v>4071</v>
      </c>
      <c r="H80" s="1229" t="s">
        <v>4092</v>
      </c>
      <c r="K80" s="1286"/>
      <c r="Q80" s="1298"/>
      <c r="T80" s="1229"/>
    </row>
    <row r="81" spans="1:20" ht="25.9" hidden="1" customHeight="1">
      <c r="A81" s="1293" t="s">
        <v>4071</v>
      </c>
      <c r="H81" s="1229" t="s">
        <v>4093</v>
      </c>
      <c r="K81" s="1286"/>
      <c r="Q81" s="1298"/>
      <c r="T81" s="1229"/>
    </row>
    <row r="82" spans="1:20" ht="25.9" hidden="1" customHeight="1">
      <c r="A82" s="1301" t="s">
        <v>4071</v>
      </c>
      <c r="B82" s="1294"/>
      <c r="C82" s="1294"/>
      <c r="D82" s="1294"/>
      <c r="E82" s="1294"/>
      <c r="F82" s="1294"/>
      <c r="G82" s="1294"/>
      <c r="H82" s="1294"/>
      <c r="I82" s="1294"/>
      <c r="J82" s="1294"/>
      <c r="K82" s="1289"/>
      <c r="Q82" s="1298"/>
      <c r="T82" s="1229"/>
    </row>
  </sheetData>
  <mergeCells count="4">
    <mergeCell ref="U2:U3"/>
    <mergeCell ref="H34:I34"/>
    <mergeCell ref="K34:L34"/>
    <mergeCell ref="B67:C67"/>
  </mergeCells>
  <conditionalFormatting sqref="R9:R10 T29:T31">
    <cfRule type="cellIs" dxfId="931" priority="11" operator="greaterThan">
      <formula>5</formula>
    </cfRule>
  </conditionalFormatting>
  <conditionalFormatting sqref="J3:L3">
    <cfRule type="cellIs" dxfId="930" priority="10" operator="equal">
      <formula>""</formula>
    </cfRule>
  </conditionalFormatting>
  <conditionalFormatting sqref="O7:O31">
    <cfRule type="cellIs" dxfId="929" priority="9" operator="equal">
      <formula>"[Link]"</formula>
    </cfRule>
  </conditionalFormatting>
  <conditionalFormatting sqref="H3">
    <cfRule type="cellIs" dxfId="928" priority="8" operator="equal">
      <formula>""</formula>
    </cfRule>
  </conditionalFormatting>
  <conditionalFormatting sqref="M7:M31">
    <cfRule type="expression" dxfId="927" priority="7">
      <formula>AND(NOT(ISBLANK(C7)),ISBLANK(M7))</formula>
    </cfRule>
  </conditionalFormatting>
  <conditionalFormatting sqref="R6">
    <cfRule type="cellIs" dxfId="926" priority="6" operator="greaterThan">
      <formula>5</formula>
    </cfRule>
  </conditionalFormatting>
  <conditionalFormatting sqref="O6">
    <cfRule type="cellIs" dxfId="925" priority="5" operator="equal">
      <formula>"[Link]"</formula>
    </cfRule>
  </conditionalFormatting>
  <conditionalFormatting sqref="M6">
    <cfRule type="expression" dxfId="924" priority="4">
      <formula>AND(NOT(ISBLANK(C6)),ISBLANK(M6))</formula>
    </cfRule>
  </conditionalFormatting>
  <conditionalFormatting sqref="W3">
    <cfRule type="cellIs" dxfId="923" priority="3" operator="equal">
      <formula>""</formula>
    </cfRule>
  </conditionalFormatting>
  <conditionalFormatting sqref="T3">
    <cfRule type="cellIs" dxfId="922" priority="2" operator="equal">
      <formula>""</formula>
    </cfRule>
  </conditionalFormatting>
  <conditionalFormatting sqref="T31">
    <cfRule type="cellIs" dxfId="921" priority="1" operator="greaterThan">
      <formula>5</formula>
    </cfRule>
  </conditionalFormatting>
  <dataValidations xWindow="184" yWindow="755" count="9">
    <dataValidation type="list" allowBlank="1" showInputMessage="1" showErrorMessage="1" sqref="B9:B27 B29:B31" xr:uid="{1979A855-E50B-4AEE-92D8-7C5C96AFD28D}">
      <formula1>$B$69:$B$77</formula1>
    </dataValidation>
    <dataValidation allowBlank="1" prompt="andere Eingaben möglich - im Dropdown sind die häufigsten aufgelistet" sqref="C6:C7" xr:uid="{D0DD26E7-E67B-489D-867D-7D71DA80D2D1}"/>
    <dataValidation type="list" allowBlank="1" showInputMessage="1" showErrorMessage="1" sqref="H4" xr:uid="{BBEA78D0-B74E-44CE-ABB7-3CE94F746C38}">
      <formula1>"2-layers,4-layers,6-layers,8-layers,10-layers,12-layers"</formula1>
    </dataValidation>
    <dataValidation type="list" allowBlank="1" showInputMessage="1" showErrorMessage="1" sqref="G4 L3" xr:uid="{43874B78-9616-4187-80F5-9A64FC9CC2C0}">
      <formula1>"Standard,HDI, HiFr,IMS (Aluminum)"</formula1>
    </dataValidation>
    <dataValidation type="list" allowBlank="1" showInputMessage="1" prompt="andere Eingaben möglich - im Dropdown sind die häufigsten aufgelistet" sqref="C8:C31" xr:uid="{2DA9BBEC-1A7B-493E-AEEA-8F003AAC130B}">
      <formula1>$C$69:$C$77</formula1>
    </dataValidation>
    <dataValidation type="list" errorStyle="warning" allowBlank="1" showInputMessage="1" showErrorMessage="1" sqref="H6:H31" xr:uid="{0A7F8881-65E2-4642-A2BA-2092B4F776FA}">
      <formula1>$D$69:$D$72</formula1>
    </dataValidation>
    <dataValidation type="list" allowBlank="1" sqref="O6:O31" xr:uid="{091541CF-9E9C-4981-9854-FBEFF17209CE}">
      <formula1>"[Link],Standard,Shortlist"</formula1>
    </dataValidation>
    <dataValidation type="list" allowBlank="1" showInputMessage="1" prompt="andere Eingaben möglich - im Dropdown sind die häufigsten aufgelistet" sqref="N6:N18 N21:N31" xr:uid="{2BE9D7E4-1A4E-47B0-B9D2-0847C15A28F1}">
      <formula1>IF(OR(C6=$F$68,C6=$G$68,C6=$H$68,C6=$I$68,C6=$J$68),INDIRECT("tbl_Code_housing["&amp;C6&amp;"]"),NA())</formula1>
    </dataValidation>
    <dataValidation type="list" allowBlank="1" showInputMessage="1" prompt="andere Eingaben möglich - im Dropdown sind die häufigsten aufgelistet" sqref="N20" xr:uid="{C6C88298-D463-42B5-92C4-1879449E429A}">
      <formula1>IF(OR(C19=$F$68,C19=$G$68,C19=$H$68,C19=$I$68,C19=$J$68),INDIRECT("tbl_Code_housing["&amp;C19&amp;"]"),NA())</formula1>
    </dataValidation>
  </dataValidations>
  <hyperlinks>
    <hyperlink ref="O21" r:id="rId1" xr:uid="{4322548F-E10F-4B1C-ABCC-069E6751CE46}"/>
    <hyperlink ref="O20" r:id="rId2" xr:uid="{CF712B57-98A2-4341-A05D-242DE5FCEB0A}"/>
    <hyperlink ref="O18" r:id="rId3" xr:uid="{1EAE5537-9FEB-42FB-82A7-6D4B6C43D787}"/>
    <hyperlink ref="O25" r:id="rId4" xr:uid="{0CF96F1D-02D7-4025-881B-2A38F9E952A5}"/>
    <hyperlink ref="O26" r:id="rId5" xr:uid="{48352004-5294-4729-A168-DB739A063370}"/>
    <hyperlink ref="O27" r:id="rId6" xr:uid="{10CAE7CF-BA4D-4A9F-AFF3-414492FA2F53}"/>
    <hyperlink ref="O19" r:id="rId7" xr:uid="{5A19216F-81E1-4A34-919E-4B12D17D48DF}"/>
    <hyperlink ref="O22" r:id="rId8" xr:uid="{56092140-2A8E-4DF0-9B21-68FC1E46E042}"/>
    <hyperlink ref="O30" r:id="rId9" xr:uid="{AAE26C11-8F82-451F-8F8F-776C486BEE20}"/>
    <hyperlink ref="O24" r:id="rId10" xr:uid="{A538A475-5E29-41AF-A37B-5F473EED9531}"/>
    <hyperlink ref="O29" r:id="rId11" xr:uid="{C07DFE6C-07C3-42F7-9C73-BE562DAB7895}"/>
  </hyperlinks>
  <printOptions horizontalCentered="1"/>
  <pageMargins left="0.78740157480314965" right="0.78740157480314965" top="0.78740157480314965" bottom="0.78740157480314965" header="0.51181102362204722" footer="0.51181102362204722"/>
  <pageSetup paperSize="9" scale="46" fitToHeight="5" orientation="landscape" horizontalDpi="300" verticalDpi="300" r:id="rId12"/>
  <headerFooter alignWithMargins="0">
    <oddFooter>Seite &amp;P von &amp;N</oddFooter>
  </headerFooter>
  <drawing r:id="rId13"/>
  <legacyDrawing r:id="rId14"/>
  <tableParts count="3">
    <tablePart r:id="rId15"/>
    <tablePart r:id="rId16"/>
    <tablePart r:id="rId1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ACD4B-E6F6-4509-B854-8FA3CF2A0611}">
  <dimension ref="B3:Q25"/>
  <sheetViews>
    <sheetView zoomScale="85" zoomScaleNormal="85" workbookViewId="0">
      <selection activeCell="G34" sqref="G34"/>
    </sheetView>
  </sheetViews>
  <sheetFormatPr baseColWidth="10" defaultColWidth="12.42578125" defaultRowHeight="15"/>
  <cols>
    <col min="1" max="1" width="2.140625" style="1180" customWidth="1"/>
    <col min="2" max="2" width="32.140625" style="1180" customWidth="1"/>
    <col min="3" max="15" width="13" style="1180" customWidth="1"/>
    <col min="16" max="16" width="13" style="1180" hidden="1" customWidth="1"/>
    <col min="17" max="17" width="13" style="1180" customWidth="1"/>
    <col min="18" max="18" width="2.42578125" style="1180" customWidth="1"/>
    <col min="19" max="16384" width="12.42578125" style="1180"/>
  </cols>
  <sheetData>
    <row r="3" spans="2:17" ht="18.75">
      <c r="B3" s="1227" t="s">
        <v>4067</v>
      </c>
      <c r="C3" s="1226"/>
      <c r="D3" s="1226"/>
      <c r="E3" s="1226"/>
      <c r="F3" s="1226"/>
      <c r="G3" s="1225"/>
    </row>
    <row r="4" spans="2:17">
      <c r="B4" s="1223" t="s">
        <v>4066</v>
      </c>
      <c r="C4" s="1224"/>
      <c r="D4" s="1223" t="s">
        <v>4065</v>
      </c>
      <c r="E4" s="1222"/>
      <c r="F4" s="1222"/>
      <c r="G4" s="1221" t="s">
        <v>4064</v>
      </c>
      <c r="P4" s="1210"/>
    </row>
    <row r="5" spans="2:17">
      <c r="B5" s="1219" t="s">
        <v>3182</v>
      </c>
      <c r="C5" s="1213">
        <v>91</v>
      </c>
      <c r="D5" s="1207"/>
      <c r="E5" s="1206"/>
      <c r="F5" s="1206"/>
      <c r="G5" s="1205"/>
      <c r="K5" s="1220"/>
    </row>
    <row r="6" spans="2:17">
      <c r="B6" s="1219" t="s">
        <v>3184</v>
      </c>
      <c r="C6" s="1213">
        <v>55</v>
      </c>
      <c r="D6" s="1216" t="s">
        <v>4063</v>
      </c>
      <c r="E6" s="1215"/>
      <c r="F6" s="1215"/>
      <c r="G6" s="1214">
        <f>C9*C10</f>
        <v>278709.11999999994</v>
      </c>
      <c r="K6" s="1218"/>
      <c r="P6" s="1210"/>
    </row>
    <row r="7" spans="2:17">
      <c r="B7" s="1207"/>
      <c r="C7" s="1213"/>
      <c r="D7" s="1216" t="s">
        <v>4062</v>
      </c>
      <c r="E7" s="1215"/>
      <c r="F7" s="1215"/>
      <c r="G7" s="1205">
        <f>C5*C6</f>
        <v>5005</v>
      </c>
    </row>
    <row r="8" spans="2:17" ht="33" customHeight="1">
      <c r="B8" s="1217" t="s">
        <v>4061</v>
      </c>
      <c r="C8" s="1213" t="str">
        <f>VLOOKUP(C11,O19:P23,2,FALSE)</f>
        <v>18x24 Inch</v>
      </c>
      <c r="D8" s="1216" t="s">
        <v>4060</v>
      </c>
      <c r="E8" s="1215"/>
      <c r="F8" s="1215"/>
      <c r="G8" s="1214">
        <f>(G6-(G7*C12))/C12</f>
        <v>1630.931428571427</v>
      </c>
    </row>
    <row r="9" spans="2:17">
      <c r="B9" s="1207" t="s">
        <v>4059</v>
      </c>
      <c r="C9" s="1213">
        <f>VLOOKUP(C8,B18:D23,2,FALSE)*C25</f>
        <v>457.2</v>
      </c>
      <c r="D9" s="1216" t="s">
        <v>4058</v>
      </c>
      <c r="E9" s="1215"/>
      <c r="F9" s="1215"/>
      <c r="G9" s="1214">
        <f>G8+G7</f>
        <v>6635.9314285714272</v>
      </c>
    </row>
    <row r="10" spans="2:17">
      <c r="B10" s="1207" t="s">
        <v>4057</v>
      </c>
      <c r="C10" s="1213">
        <f>VLOOKUP(C8,B18:D23,3,FALSE)*C25</f>
        <v>609.59999999999991</v>
      </c>
      <c r="D10" s="1209" t="s">
        <v>4056</v>
      </c>
      <c r="E10" s="1212"/>
      <c r="F10" s="1212"/>
      <c r="G10" s="1211">
        <v>2</v>
      </c>
      <c r="Q10" s="1210"/>
    </row>
    <row r="11" spans="2:17">
      <c r="B11" s="1209" t="s">
        <v>4055</v>
      </c>
      <c r="C11" s="1208">
        <f>MAX(O19:O23)</f>
        <v>0.75422720289885037</v>
      </c>
      <c r="D11" s="1207"/>
      <c r="E11" s="1206"/>
      <c r="F11" s="1206"/>
      <c r="G11" s="1205"/>
    </row>
    <row r="12" spans="2:17">
      <c r="B12" s="1204" t="s">
        <v>4054</v>
      </c>
      <c r="C12" s="1203">
        <f>VLOOKUP(MAX(O19:O23),O19:Q23,3,FALSE)</f>
        <v>42</v>
      </c>
      <c r="D12" s="1202"/>
      <c r="E12" s="1201"/>
      <c r="F12" s="1201"/>
      <c r="G12" s="1200"/>
    </row>
    <row r="13" spans="2:17">
      <c r="D13" s="1199"/>
      <c r="E13" s="1198"/>
    </row>
    <row r="14" spans="2:17">
      <c r="D14" s="1199"/>
      <c r="E14" s="1198"/>
    </row>
    <row r="15" spans="2:17">
      <c r="D15" s="1199"/>
      <c r="E15" s="1198"/>
    </row>
    <row r="16" spans="2:17">
      <c r="B16" s="1432" t="s">
        <v>4053</v>
      </c>
      <c r="C16" s="1432"/>
      <c r="D16" s="1432"/>
      <c r="E16" s="1432"/>
      <c r="F16" s="1432"/>
      <c r="G16" s="1432"/>
      <c r="H16" s="1432"/>
      <c r="I16" s="1432"/>
      <c r="J16" s="1432"/>
      <c r="K16" s="1432"/>
      <c r="L16" s="1432"/>
      <c r="M16" s="1432"/>
      <c r="N16" s="1432"/>
      <c r="O16" s="1432"/>
      <c r="P16" s="1432"/>
      <c r="Q16" s="1432"/>
    </row>
    <row r="17" spans="2:17" ht="7.15" customHeight="1" thickBot="1"/>
    <row r="18" spans="2:17" ht="45">
      <c r="B18" s="1197" t="s">
        <v>4052</v>
      </c>
      <c r="C18" s="1196" t="s">
        <v>4051</v>
      </c>
      <c r="D18" s="1195" t="s">
        <v>4050</v>
      </c>
      <c r="E18" s="1195" t="s">
        <v>3182</v>
      </c>
      <c r="F18" s="1194" t="s">
        <v>3184</v>
      </c>
      <c r="G18" s="1196" t="s">
        <v>4049</v>
      </c>
      <c r="H18" s="1195" t="s">
        <v>4048</v>
      </c>
      <c r="I18" s="1195" t="s">
        <v>4047</v>
      </c>
      <c r="J18" s="1194" t="s">
        <v>4046</v>
      </c>
      <c r="K18" s="1196" t="s">
        <v>4045</v>
      </c>
      <c r="L18" s="1195" t="s">
        <v>4044</v>
      </c>
      <c r="M18" s="1195" t="s">
        <v>4043</v>
      </c>
      <c r="N18" s="1194" t="s">
        <v>4042</v>
      </c>
      <c r="O18" s="1196" t="s">
        <v>4041</v>
      </c>
      <c r="P18" s="1195" t="s">
        <v>4040</v>
      </c>
      <c r="Q18" s="1194" t="s">
        <v>4039</v>
      </c>
    </row>
    <row r="19" spans="2:17">
      <c r="B19" s="1192" t="s">
        <v>4038</v>
      </c>
      <c r="C19" s="1191">
        <v>9</v>
      </c>
      <c r="D19" s="1180">
        <v>12</v>
      </c>
      <c r="E19" s="1180">
        <f t="shared" ref="E19:F23" si="0">C19*$C$25</f>
        <v>228.6</v>
      </c>
      <c r="F19" s="1190">
        <f t="shared" si="0"/>
        <v>304.79999999999995</v>
      </c>
      <c r="G19" s="1191">
        <f t="shared" ref="G19:H23" si="1">C19-1</f>
        <v>8</v>
      </c>
      <c r="H19" s="1180">
        <f t="shared" si="1"/>
        <v>11</v>
      </c>
      <c r="I19" s="1180">
        <f t="shared" ref="I19:J23" si="2">G19*$C$25</f>
        <v>203.2</v>
      </c>
      <c r="J19" s="1190">
        <f t="shared" si="2"/>
        <v>279.39999999999998</v>
      </c>
      <c r="K19" s="1191">
        <f>ROUNDDOWN(J19/($C$5+2*$G$10),0)</f>
        <v>2</v>
      </c>
      <c r="L19" s="1180">
        <f t="shared" ref="L19:M23" si="3">ROUNDDOWN(I19/($C$6+2*$G$10),0)</f>
        <v>3</v>
      </c>
      <c r="M19" s="1180">
        <f t="shared" si="3"/>
        <v>4</v>
      </c>
      <c r="N19" s="1190">
        <f>ROUNDDOWN(I19/($C$5+2*$G$10),0)</f>
        <v>2</v>
      </c>
      <c r="O19" s="1189">
        <f>(Q19*$C$5*$C$6)/(E19*F19)</f>
        <v>0.5746492974467432</v>
      </c>
      <c r="P19" s="1180" t="s">
        <v>4038</v>
      </c>
      <c r="Q19" s="1188">
        <f>MAX(PRODUCT(K19:L19),PRODUCT(M19:N19))</f>
        <v>8</v>
      </c>
    </row>
    <row r="20" spans="2:17">
      <c r="B20" s="1192" t="s">
        <v>4037</v>
      </c>
      <c r="C20" s="1191">
        <v>12</v>
      </c>
      <c r="D20" s="1180">
        <v>18</v>
      </c>
      <c r="E20" s="1180">
        <f t="shared" si="0"/>
        <v>304.79999999999995</v>
      </c>
      <c r="F20" s="1190">
        <f t="shared" si="0"/>
        <v>457.2</v>
      </c>
      <c r="G20" s="1191">
        <f t="shared" si="1"/>
        <v>11</v>
      </c>
      <c r="H20" s="1180">
        <f t="shared" si="1"/>
        <v>17</v>
      </c>
      <c r="I20" s="1180">
        <f t="shared" si="2"/>
        <v>279.39999999999998</v>
      </c>
      <c r="J20" s="1190">
        <f t="shared" si="2"/>
        <v>431.79999999999995</v>
      </c>
      <c r="K20" s="1191">
        <f>ROUNDDOWN(J20/($C$5+2*$G$10),0)</f>
        <v>4</v>
      </c>
      <c r="L20" s="1180">
        <f t="shared" si="3"/>
        <v>4</v>
      </c>
      <c r="M20" s="1180">
        <f t="shared" si="3"/>
        <v>7</v>
      </c>
      <c r="N20" s="1190">
        <f>ROUNDDOWN(I20/($C$5+2*$G$10),0)</f>
        <v>2</v>
      </c>
      <c r="O20" s="1189">
        <f>(Q20*$C$5*$C$6)/(E20*F20)</f>
        <v>0.5746492974467432</v>
      </c>
      <c r="P20" s="1180" t="s">
        <v>4037</v>
      </c>
      <c r="Q20" s="1188">
        <f>MAX(PRODUCT(K20:L20),PRODUCT(M20:N20))</f>
        <v>16</v>
      </c>
    </row>
    <row r="21" spans="2:17">
      <c r="B21" s="1192" t="s">
        <v>4036</v>
      </c>
      <c r="C21" s="1191">
        <v>18</v>
      </c>
      <c r="D21" s="1180">
        <v>24</v>
      </c>
      <c r="E21" s="1180">
        <f t="shared" si="0"/>
        <v>457.2</v>
      </c>
      <c r="F21" s="1190">
        <f t="shared" si="0"/>
        <v>609.59999999999991</v>
      </c>
      <c r="G21" s="1191">
        <f t="shared" si="1"/>
        <v>17</v>
      </c>
      <c r="H21" s="1180">
        <f t="shared" si="1"/>
        <v>23</v>
      </c>
      <c r="I21" s="1180">
        <f t="shared" si="2"/>
        <v>431.79999999999995</v>
      </c>
      <c r="J21" s="1190">
        <f t="shared" si="2"/>
        <v>584.19999999999993</v>
      </c>
      <c r="K21" s="1191">
        <f>ROUNDDOWN(J21/($C$5+2*$G$10),0)</f>
        <v>6</v>
      </c>
      <c r="L21" s="1180">
        <f t="shared" si="3"/>
        <v>7</v>
      </c>
      <c r="M21" s="1180">
        <f t="shared" si="3"/>
        <v>9</v>
      </c>
      <c r="N21" s="1190">
        <f>ROUNDDOWN(I21/($C$5+2*$G$10),0)</f>
        <v>4</v>
      </c>
      <c r="O21" s="1193">
        <f>(Q21*$C$5*$C$6)/(E21*F21)</f>
        <v>0.75422720289885037</v>
      </c>
      <c r="P21" s="1180" t="s">
        <v>4036</v>
      </c>
      <c r="Q21" s="1188">
        <f>MAX(PRODUCT(K21:L21),PRODUCT(M21:N21))</f>
        <v>42</v>
      </c>
    </row>
    <row r="22" spans="2:17">
      <c r="B22" s="1192" t="s">
        <v>4035</v>
      </c>
      <c r="C22" s="1191">
        <v>18</v>
      </c>
      <c r="D22" s="1180">
        <v>21</v>
      </c>
      <c r="E22" s="1180">
        <f t="shared" si="0"/>
        <v>457.2</v>
      </c>
      <c r="F22" s="1190">
        <f t="shared" si="0"/>
        <v>533.4</v>
      </c>
      <c r="G22" s="1191">
        <f t="shared" si="1"/>
        <v>17</v>
      </c>
      <c r="H22" s="1180">
        <f t="shared" si="1"/>
        <v>20</v>
      </c>
      <c r="I22" s="1180">
        <f t="shared" si="2"/>
        <v>431.79999999999995</v>
      </c>
      <c r="J22" s="1190">
        <f t="shared" si="2"/>
        <v>508</v>
      </c>
      <c r="K22" s="1191">
        <f>ROUNDDOWN(J22/($C$5+2*$G$10),0)</f>
        <v>5</v>
      </c>
      <c r="L22" s="1180">
        <f t="shared" si="3"/>
        <v>7</v>
      </c>
      <c r="M22" s="1180">
        <f t="shared" si="3"/>
        <v>8</v>
      </c>
      <c r="N22" s="1190">
        <f>ROUNDDOWN(I22/($C$5+2*$G$10),0)</f>
        <v>4</v>
      </c>
      <c r="O22" s="1189">
        <f>(Q22*$C$5*$C$6)/(E22*F22)</f>
        <v>0.71831162180842889</v>
      </c>
      <c r="P22" s="1180" t="s">
        <v>4035</v>
      </c>
      <c r="Q22" s="1188">
        <f>MAX(PRODUCT(K22:L22),PRODUCT(M22:N22))</f>
        <v>35</v>
      </c>
    </row>
    <row r="23" spans="2:17" ht="15.75" thickBot="1">
      <c r="B23" s="1187" t="s">
        <v>4034</v>
      </c>
      <c r="C23" s="1186">
        <v>21</v>
      </c>
      <c r="D23" s="1228">
        <v>24</v>
      </c>
      <c r="E23" s="1228">
        <f t="shared" si="0"/>
        <v>533.4</v>
      </c>
      <c r="F23" s="1185">
        <f t="shared" si="0"/>
        <v>609.59999999999991</v>
      </c>
      <c r="G23" s="1186">
        <f t="shared" si="1"/>
        <v>20</v>
      </c>
      <c r="H23" s="1228">
        <f t="shared" si="1"/>
        <v>23</v>
      </c>
      <c r="I23" s="1228">
        <f t="shared" si="2"/>
        <v>508</v>
      </c>
      <c r="J23" s="1185">
        <f t="shared" si="2"/>
        <v>584.19999999999993</v>
      </c>
      <c r="K23" s="1186">
        <f>ROUNDDOWN(J23/($C$5+2*$G$10),0)</f>
        <v>6</v>
      </c>
      <c r="L23" s="1228">
        <f t="shared" si="3"/>
        <v>8</v>
      </c>
      <c r="M23" s="1228">
        <f t="shared" si="3"/>
        <v>9</v>
      </c>
      <c r="N23" s="1185">
        <f>ROUNDDOWN(I23/($C$5+2*$G$10),0)</f>
        <v>5</v>
      </c>
      <c r="O23" s="1184">
        <f>(Q23*$C$5*$C$6)/(E23*F23)</f>
        <v>0.73883481100295545</v>
      </c>
      <c r="P23" s="1228" t="s">
        <v>4034</v>
      </c>
      <c r="Q23" s="1183">
        <f>MAX(PRODUCT(K23:L23),PRODUCT(M23:N23))</f>
        <v>48</v>
      </c>
    </row>
    <row r="25" spans="2:17">
      <c r="B25" s="1182" t="s">
        <v>4033</v>
      </c>
      <c r="C25" s="1181">
        <v>25.4</v>
      </c>
    </row>
  </sheetData>
  <mergeCells count="1">
    <mergeCell ref="B16:Q16"/>
  </mergeCells>
  <conditionalFormatting sqref="C11">
    <cfRule type="cellIs" dxfId="878" priority="1" operator="greaterThan">
      <formula>0.7</formula>
    </cfRule>
  </conditionalFormatting>
  <pageMargins left="0.7" right="0.7" top="0.78740157499999996" bottom="0.78740157499999996" header="0.3" footer="0.3"/>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4BB3B-85F0-44D3-B361-A9850D5B470A}">
  <sheetPr codeName="Tabelle5">
    <outlinePr summaryBelow="0" summaryRight="0"/>
    <pageSetUpPr fitToPage="1"/>
  </sheetPr>
  <dimension ref="A1:AB96"/>
  <sheetViews>
    <sheetView showGridLines="0" showZeros="0" zoomScale="85" zoomScaleNormal="85" workbookViewId="0">
      <pane xSplit="6" ySplit="5" topLeftCell="G40" activePane="bottomRight" state="frozen"/>
      <selection pane="topRight" activeCell="G1" sqref="G1"/>
      <selection pane="bottomLeft" activeCell="A6" sqref="A6"/>
      <selection pane="bottomRight" activeCell="O40" sqref="O40"/>
    </sheetView>
  </sheetViews>
  <sheetFormatPr baseColWidth="10" defaultColWidth="12.28515625" defaultRowHeight="11.25"/>
  <cols>
    <col min="1" max="1" width="6.28515625" style="1229" customWidth="1"/>
    <col min="2" max="2" width="17.28515625" style="1229" customWidth="1"/>
    <col min="3" max="3" width="22.85546875" style="1229" bestFit="1" customWidth="1"/>
    <col min="4" max="4" width="25.42578125" style="1229" customWidth="1"/>
    <col min="5" max="7" width="11.7109375" style="1229" customWidth="1"/>
    <col min="8" max="8" width="26.85546875" style="1229" bestFit="1" customWidth="1"/>
    <col min="9" max="9" width="33.28515625" style="1229" bestFit="1" customWidth="1"/>
    <col min="10" max="12" width="22.85546875" style="1229" customWidth="1"/>
    <col min="13" max="13" width="26.7109375" style="1229" customWidth="1"/>
    <col min="14" max="14" width="29.42578125" style="1229" bestFit="1" customWidth="1"/>
    <col min="15" max="15" width="28.28515625" style="1229" customWidth="1"/>
    <col min="16" max="16" width="21.28515625" style="1229" customWidth="1"/>
    <col min="17" max="17" width="21.28515625" style="1229" hidden="1" customWidth="1"/>
    <col min="18" max="18" width="20" style="1230" customWidth="1"/>
    <col min="19" max="19" width="11.7109375" style="1231" customWidth="1"/>
    <col min="20" max="20" width="14.7109375" style="1231" customWidth="1"/>
    <col min="21" max="25" width="16.28515625" style="1229" customWidth="1"/>
    <col min="26" max="26" width="28.5703125" style="1229" customWidth="1"/>
    <col min="27" max="16384" width="12.28515625" style="1229"/>
  </cols>
  <sheetData>
    <row r="1" spans="1:28" ht="10.9" customHeight="1"/>
    <row r="2" spans="1:28" ht="10.9" customHeight="1">
      <c r="C2" s="1232" t="s">
        <v>3532</v>
      </c>
      <c r="H2" s="1232" t="s">
        <v>3531</v>
      </c>
      <c r="J2" s="1232" t="s">
        <v>3320</v>
      </c>
      <c r="K2" s="1232" t="s">
        <v>3321</v>
      </c>
      <c r="L2" s="1232" t="s">
        <v>3533</v>
      </c>
      <c r="M2" s="1232" t="s">
        <v>3534</v>
      </c>
      <c r="N2" s="1232" t="s">
        <v>3535</v>
      </c>
      <c r="O2" s="1233" t="s">
        <v>3536</v>
      </c>
      <c r="T2" s="1234" t="s">
        <v>3554</v>
      </c>
      <c r="U2" s="1433" t="str" cm="1">
        <f t="array" ref="U2">IFERROR(IF(GetUserDomain()="AWS",HYPERLINK("M:\02 WD\02 Technologien\23 Elektronik - Elektrik\98 Taskforce EE\02 Materialkosten (Degression, C-Teile)\Degression","Info"),""),"")</f>
        <v>Info</v>
      </c>
      <c r="W2" s="1232" t="s">
        <v>3585</v>
      </c>
    </row>
    <row r="3" spans="1:28" ht="10.9" customHeight="1">
      <c r="C3" s="1235">
        <f>Y46</f>
        <v>10.024187102699948</v>
      </c>
      <c r="H3" s="1236">
        <v>800000</v>
      </c>
      <c r="J3" s="1237">
        <v>91</v>
      </c>
      <c r="K3" s="1237">
        <v>55</v>
      </c>
      <c r="L3" s="1237" t="s">
        <v>4068</v>
      </c>
      <c r="M3" s="1237">
        <f>MAT!E8</f>
        <v>1.5740000000000001</v>
      </c>
      <c r="N3" s="1238">
        <f>IFERROR(SUMPRODUCT(EBOM48[Quantity 
Total],EBOM48[No of Pins/Pads])/((J3*K3)/100),0)</f>
        <v>16.123876123876126</v>
      </c>
      <c r="O3" s="1238">
        <f>(1*1*0.2*8.4/1000)*SUMPRODUCT(EBOM48[No of Pins/Pads],EBOM48[Quantity 
Total])</f>
        <v>1.3557600000000001</v>
      </c>
      <c r="T3" s="1239">
        <v>0.8</v>
      </c>
      <c r="U3" s="1433"/>
      <c r="W3" s="1317">
        <f>'Nutzenberechnung Small PCB'!C11</f>
        <v>0.75422720289885037</v>
      </c>
    </row>
    <row r="4" spans="1:28" ht="10.9" customHeight="1">
      <c r="E4" s="1241"/>
      <c r="F4" s="1241"/>
      <c r="G4" s="1241"/>
      <c r="H4" s="1241"/>
      <c r="I4" s="1241"/>
      <c r="J4" s="1241"/>
      <c r="K4" s="1241"/>
    </row>
    <row r="5" spans="1:28" s="1246" customFormat="1" ht="25.9" customHeight="1">
      <c r="A5" s="1242" t="s">
        <v>76</v>
      </c>
      <c r="B5" s="1243" t="s">
        <v>3513</v>
      </c>
      <c r="C5" s="1243" t="s">
        <v>3514</v>
      </c>
      <c r="D5" s="1243" t="s">
        <v>3515</v>
      </c>
      <c r="E5" s="1243" t="s">
        <v>3516</v>
      </c>
      <c r="F5" s="1243" t="s">
        <v>3580</v>
      </c>
      <c r="G5" s="1243" t="s">
        <v>3517</v>
      </c>
      <c r="H5" s="1243" t="s">
        <v>3472</v>
      </c>
      <c r="I5" s="1243" t="s">
        <v>69</v>
      </c>
      <c r="J5" s="1243" t="s">
        <v>3518</v>
      </c>
      <c r="K5" s="1243" t="s">
        <v>3519</v>
      </c>
      <c r="L5" s="1243" t="s">
        <v>3520</v>
      </c>
      <c r="M5" s="1243" t="s">
        <v>3521</v>
      </c>
      <c r="N5" s="1243" t="s">
        <v>3522</v>
      </c>
      <c r="O5" s="1243" t="s">
        <v>915</v>
      </c>
      <c r="P5" s="1243" t="s">
        <v>3523</v>
      </c>
      <c r="Q5" s="1243" t="s">
        <v>3556</v>
      </c>
      <c r="R5" s="1244" t="s">
        <v>3524</v>
      </c>
      <c r="S5" s="1243" t="s">
        <v>3555</v>
      </c>
      <c r="T5" s="1243" t="s">
        <v>3554</v>
      </c>
      <c r="U5" s="1243" t="s">
        <v>3365</v>
      </c>
      <c r="V5" s="1243" t="s">
        <v>3525</v>
      </c>
      <c r="W5" s="1243" t="s">
        <v>3526</v>
      </c>
      <c r="X5" s="1243" t="s">
        <v>3527</v>
      </c>
      <c r="Y5" s="1243" t="s">
        <v>3532</v>
      </c>
      <c r="Z5" s="1245" t="s">
        <v>3528</v>
      </c>
    </row>
    <row r="6" spans="1:28" ht="25.9" customHeight="1">
      <c r="A6" s="1247"/>
      <c r="B6" s="1248" t="s">
        <v>4069</v>
      </c>
      <c r="C6" s="1248"/>
      <c r="D6" s="1248"/>
      <c r="E6" s="1237"/>
      <c r="F6" s="1237"/>
      <c r="G6" s="1238"/>
      <c r="H6" s="1237"/>
      <c r="I6" s="1248"/>
      <c r="J6" s="1249"/>
      <c r="K6" s="1248"/>
      <c r="L6" s="1248"/>
      <c r="M6" s="1248"/>
      <c r="N6" s="1248"/>
      <c r="O6" s="1250"/>
      <c r="P6" s="1251"/>
      <c r="Q6" s="1251"/>
      <c r="R6" s="1252"/>
      <c r="S6" s="1253"/>
      <c r="T6" s="1254">
        <v>1</v>
      </c>
      <c r="U6" s="1255">
        <v>1</v>
      </c>
      <c r="V6" s="1255">
        <f t="shared" ref="V6:V45" si="0">R6*U6*T6</f>
        <v>0</v>
      </c>
      <c r="W6" s="1256"/>
      <c r="X6" s="1256"/>
      <c r="Y6" s="1257">
        <f>IF(OR(ISBLANK(M3),ISBLANK(K3),ISBLANK(J3)),"Bitte alle Felder ausfüllen",((J3*K3)/10000)*M3/W3)</f>
        <v>1.0444956068571425</v>
      </c>
      <c r="Z6" s="1258"/>
      <c r="AA6" s="1246"/>
      <c r="AB6" s="1246"/>
    </row>
    <row r="7" spans="1:28" ht="25.9" customHeight="1">
      <c r="A7" s="1247"/>
      <c r="B7" s="1248" t="s">
        <v>3553</v>
      </c>
      <c r="C7" s="1248"/>
      <c r="D7" s="1248"/>
      <c r="E7" s="1237"/>
      <c r="F7" s="1237"/>
      <c r="G7" s="1238">
        <f>E7+F7</f>
        <v>0</v>
      </c>
      <c r="H7" s="1237"/>
      <c r="I7" s="1248"/>
      <c r="J7" s="1249"/>
      <c r="K7" s="1248"/>
      <c r="L7" s="1248"/>
      <c r="M7" s="1248"/>
      <c r="N7" s="1248"/>
      <c r="O7" s="1250"/>
      <c r="P7" s="1251"/>
      <c r="Q7" s="1251"/>
      <c r="R7" s="1252"/>
      <c r="S7" s="1253"/>
      <c r="T7" s="1254">
        <v>1</v>
      </c>
      <c r="U7" s="1255">
        <v>1</v>
      </c>
      <c r="V7" s="1255">
        <f t="shared" si="0"/>
        <v>0</v>
      </c>
      <c r="W7" s="1256">
        <f>E7*V7</f>
        <v>0</v>
      </c>
      <c r="X7" s="1256">
        <f>F7*V7</f>
        <v>0</v>
      </c>
      <c r="Y7" s="1256">
        <f>O3/1000*20</f>
        <v>2.7115200000000002E-2</v>
      </c>
      <c r="Z7" s="1258"/>
      <c r="AA7" s="1246"/>
      <c r="AB7" s="1246"/>
    </row>
    <row r="8" spans="1:28" ht="25.9" customHeight="1">
      <c r="A8" s="1259"/>
      <c r="B8" s="1260" t="s">
        <v>3529</v>
      </c>
      <c r="C8" s="1248"/>
      <c r="D8" s="1249"/>
      <c r="E8" s="1237"/>
      <c r="F8" s="1237"/>
      <c r="G8" s="1238">
        <f t="shared" ref="G8:G44" si="1">E8+F8</f>
        <v>0</v>
      </c>
      <c r="H8" s="1237"/>
      <c r="I8" s="1249"/>
      <c r="J8" s="1248"/>
      <c r="K8" s="1248"/>
      <c r="L8" s="1248"/>
      <c r="M8" s="1248"/>
      <c r="N8" s="1248"/>
      <c r="O8" s="1250"/>
      <c r="P8" s="1251"/>
      <c r="Q8" s="1251"/>
      <c r="R8" s="1252"/>
      <c r="S8" s="1253"/>
      <c r="T8" s="1254"/>
      <c r="U8" s="1255" cm="1">
        <f t="array" ref="U8">EBOM_Factor</f>
        <v>0</v>
      </c>
      <c r="V8" s="1255">
        <f t="shared" si="0"/>
        <v>0</v>
      </c>
      <c r="W8" s="1256"/>
      <c r="X8" s="1256"/>
      <c r="Y8" s="1256">
        <f t="shared" ref="Y8" si="2">X8+W8</f>
        <v>0</v>
      </c>
      <c r="Z8" s="1258"/>
      <c r="AA8" s="1246"/>
      <c r="AB8" s="1246"/>
    </row>
    <row r="9" spans="1:28" ht="25.9" customHeight="1">
      <c r="A9" s="1247">
        <f>ROW()-8</f>
        <v>1</v>
      </c>
      <c r="B9" s="1248" t="s">
        <v>3538</v>
      </c>
      <c r="C9" s="1248" t="s">
        <v>3560</v>
      </c>
      <c r="D9" s="1248"/>
      <c r="E9" s="1237">
        <v>11</v>
      </c>
      <c r="F9" s="1237"/>
      <c r="G9" s="1238">
        <f t="shared" si="1"/>
        <v>11</v>
      </c>
      <c r="H9" s="1237" t="s">
        <v>3491</v>
      </c>
      <c r="I9" s="1248"/>
      <c r="J9" s="1249"/>
      <c r="K9" s="1248"/>
      <c r="L9" s="1248"/>
      <c r="M9" s="1248">
        <v>2</v>
      </c>
      <c r="N9" s="1248" t="s">
        <v>4074</v>
      </c>
      <c r="O9" s="1250" t="s">
        <v>4068</v>
      </c>
      <c r="P9" s="1251">
        <v>1000</v>
      </c>
      <c r="Q9" s="1251"/>
      <c r="R9" s="1252">
        <v>8.9999999999999998E-4</v>
      </c>
      <c r="S9" s="1253">
        <v>45453</v>
      </c>
      <c r="T9" s="1254">
        <f>Project_Factor</f>
        <v>0.8</v>
      </c>
      <c r="U9" s="1255" cm="1">
        <f t="array" ref="U9">EBOM_Factor</f>
        <v>1</v>
      </c>
      <c r="V9" s="1255">
        <f>R9*U9*T9</f>
        <v>7.2000000000000005E-4</v>
      </c>
      <c r="W9" s="1256">
        <f>E9*V9</f>
        <v>7.92E-3</v>
      </c>
      <c r="X9" s="1256">
        <f>F9*V9</f>
        <v>0</v>
      </c>
      <c r="Y9" s="1256">
        <f>X9+W9</f>
        <v>7.92E-3</v>
      </c>
      <c r="Z9" s="1258"/>
    </row>
    <row r="10" spans="1:28" ht="25.9" customHeight="1">
      <c r="A10" s="1247">
        <f>ROW()-8</f>
        <v>2</v>
      </c>
      <c r="B10" s="1248" t="s">
        <v>3538</v>
      </c>
      <c r="C10" s="1248" t="s">
        <v>3560</v>
      </c>
      <c r="D10" s="1248"/>
      <c r="E10" s="1237">
        <v>8</v>
      </c>
      <c r="F10" s="1237"/>
      <c r="G10" s="1238">
        <f t="shared" si="1"/>
        <v>8</v>
      </c>
      <c r="H10" s="1237" t="s">
        <v>3491</v>
      </c>
      <c r="I10" s="1248"/>
      <c r="J10" s="1249"/>
      <c r="K10" s="1248"/>
      <c r="L10" s="1248"/>
      <c r="M10" s="1248">
        <v>2</v>
      </c>
      <c r="N10" s="1248" t="s">
        <v>4076</v>
      </c>
      <c r="O10" s="1250" t="s">
        <v>4068</v>
      </c>
      <c r="P10" s="1251">
        <v>1000</v>
      </c>
      <c r="Q10" s="1251"/>
      <c r="R10" s="1252">
        <v>5.4999999999999997E-3</v>
      </c>
      <c r="S10" s="1253">
        <v>45453</v>
      </c>
      <c r="T10" s="1254">
        <f>Project_Factor</f>
        <v>0.8</v>
      </c>
      <c r="U10" s="1255" cm="1">
        <f t="array" ref="U10">EBOM_Factor</f>
        <v>1</v>
      </c>
      <c r="V10" s="1255">
        <f>R10*U10*T10</f>
        <v>4.4000000000000003E-3</v>
      </c>
      <c r="W10" s="1256">
        <f>E10*V10</f>
        <v>3.5200000000000002E-2</v>
      </c>
      <c r="X10" s="1256">
        <f>F10*V10</f>
        <v>0</v>
      </c>
      <c r="Y10" s="1256">
        <f>X10+W10</f>
        <v>3.5200000000000002E-2</v>
      </c>
      <c r="Z10" s="1258"/>
    </row>
    <row r="11" spans="1:28" ht="25.9" customHeight="1">
      <c r="A11" s="1247">
        <f>ROW()-8</f>
        <v>3</v>
      </c>
      <c r="B11" s="1248" t="s">
        <v>3538</v>
      </c>
      <c r="C11" s="1248" t="s">
        <v>3560</v>
      </c>
      <c r="D11" s="1248"/>
      <c r="E11" s="1237">
        <v>20</v>
      </c>
      <c r="F11" s="1237"/>
      <c r="G11" s="1238">
        <f t="shared" si="1"/>
        <v>20</v>
      </c>
      <c r="H11" s="1237" t="s">
        <v>3491</v>
      </c>
      <c r="I11" s="1248"/>
      <c r="J11" s="1249"/>
      <c r="K11" s="1248"/>
      <c r="L11" s="1248"/>
      <c r="M11" s="1248">
        <v>2</v>
      </c>
      <c r="N11" s="1248" t="s">
        <v>4078</v>
      </c>
      <c r="O11" s="1250" t="s">
        <v>4068</v>
      </c>
      <c r="P11" s="1251">
        <v>1000</v>
      </c>
      <c r="Q11" s="1251"/>
      <c r="R11" s="1252">
        <v>5.1000000000000004E-3</v>
      </c>
      <c r="S11" s="1253">
        <v>45453</v>
      </c>
      <c r="T11" s="1254">
        <f>Project_Factor</f>
        <v>0.8</v>
      </c>
      <c r="U11" s="1255" cm="1">
        <f t="array" ref="U11">EBOM_Factor</f>
        <v>1</v>
      </c>
      <c r="V11" s="1255">
        <f>R11*U11*T11</f>
        <v>4.0800000000000003E-3</v>
      </c>
      <c r="W11" s="1256">
        <f>E11*V11</f>
        <v>8.1600000000000006E-2</v>
      </c>
      <c r="X11" s="1256">
        <f>F11*V11</f>
        <v>0</v>
      </c>
      <c r="Y11" s="1256">
        <f>X11+W11</f>
        <v>8.1600000000000006E-2</v>
      </c>
      <c r="Z11" s="1258"/>
    </row>
    <row r="12" spans="1:28" ht="25.9" customHeight="1">
      <c r="A12" s="1247">
        <f>ROW()-8</f>
        <v>4</v>
      </c>
      <c r="B12" s="1248" t="s">
        <v>3538</v>
      </c>
      <c r="C12" s="1248" t="s">
        <v>3558</v>
      </c>
      <c r="D12" s="1248"/>
      <c r="E12" s="1237">
        <v>19</v>
      </c>
      <c r="F12" s="1237"/>
      <c r="G12" s="1238">
        <f t="shared" si="1"/>
        <v>19</v>
      </c>
      <c r="H12" s="1237" t="s">
        <v>3491</v>
      </c>
      <c r="I12" s="1248"/>
      <c r="J12" s="1249"/>
      <c r="K12" s="1248"/>
      <c r="L12" s="1248"/>
      <c r="M12" s="1248">
        <v>2</v>
      </c>
      <c r="N12" s="1248" t="s">
        <v>4074</v>
      </c>
      <c r="O12" s="1250" t="s">
        <v>4068</v>
      </c>
      <c r="P12" s="1251">
        <v>1000</v>
      </c>
      <c r="Q12" s="1251"/>
      <c r="R12" s="1252">
        <v>1.8E-3</v>
      </c>
      <c r="S12" s="1253">
        <v>45453</v>
      </c>
      <c r="T12" s="1254">
        <f>Project_Factor</f>
        <v>0.8</v>
      </c>
      <c r="U12" s="1255" cm="1">
        <f t="array" ref="U12">EBOM_Factor</f>
        <v>1</v>
      </c>
      <c r="V12" s="1255">
        <f>R12*U12*T12</f>
        <v>1.4400000000000001E-3</v>
      </c>
      <c r="W12" s="1256">
        <f>E12*V12</f>
        <v>2.7360000000000002E-2</v>
      </c>
      <c r="X12" s="1256">
        <f>F12*V12</f>
        <v>0</v>
      </c>
      <c r="Y12" s="1256">
        <f>X12+W12</f>
        <v>2.7360000000000002E-2</v>
      </c>
      <c r="Z12" s="1258"/>
    </row>
    <row r="13" spans="1:28" ht="25.9" customHeight="1">
      <c r="A13" s="1247">
        <f t="shared" ref="A13" si="3">ROW()-8</f>
        <v>5</v>
      </c>
      <c r="B13" s="1248" t="s">
        <v>3538</v>
      </c>
      <c r="C13" s="1248" t="s">
        <v>3558</v>
      </c>
      <c r="D13" s="1248"/>
      <c r="E13" s="1237">
        <v>2</v>
      </c>
      <c r="F13" s="1237"/>
      <c r="G13" s="1238">
        <f t="shared" si="1"/>
        <v>2</v>
      </c>
      <c r="H13" s="1237" t="s">
        <v>3491</v>
      </c>
      <c r="I13" s="1248"/>
      <c r="J13" s="1249"/>
      <c r="K13" s="1248"/>
      <c r="L13" s="1248"/>
      <c r="M13" s="1248">
        <v>2</v>
      </c>
      <c r="N13" s="1248" t="s">
        <v>4078</v>
      </c>
      <c r="O13" s="1250" t="s">
        <v>4068</v>
      </c>
      <c r="P13" s="1251">
        <v>1000</v>
      </c>
      <c r="Q13" s="1251"/>
      <c r="R13" s="1252">
        <v>5.7000000000000002E-3</v>
      </c>
      <c r="S13" s="1253">
        <v>45453</v>
      </c>
      <c r="T13" s="1254">
        <f t="shared" ref="T13" si="4">Project_Factor</f>
        <v>0.8</v>
      </c>
      <c r="U13" s="1255" cm="1">
        <f t="array" ref="U13">EBOM_Factor</f>
        <v>1</v>
      </c>
      <c r="V13" s="1255">
        <f t="shared" si="0"/>
        <v>4.5600000000000007E-3</v>
      </c>
      <c r="W13" s="1256">
        <f t="shared" ref="W13" si="5">E13*V13</f>
        <v>9.1200000000000014E-3</v>
      </c>
      <c r="X13" s="1256">
        <f t="shared" ref="X13" si="6">F13*V13</f>
        <v>0</v>
      </c>
      <c r="Y13" s="1256">
        <f t="shared" ref="Y13" si="7">X13+W13</f>
        <v>9.1200000000000014E-3</v>
      </c>
      <c r="Z13" s="1258"/>
    </row>
    <row r="14" spans="1:28" ht="25.9" customHeight="1">
      <c r="A14" s="1247">
        <f>ROW()-8</f>
        <v>6</v>
      </c>
      <c r="B14" s="1248" t="s">
        <v>3538</v>
      </c>
      <c r="C14" s="1248" t="s">
        <v>3558</v>
      </c>
      <c r="D14" s="1248"/>
      <c r="E14" s="1237">
        <v>6</v>
      </c>
      <c r="F14" s="1237"/>
      <c r="G14" s="1238">
        <f t="shared" si="1"/>
        <v>6</v>
      </c>
      <c r="H14" s="1237" t="s">
        <v>3491</v>
      </c>
      <c r="I14" s="1248"/>
      <c r="J14" s="1249"/>
      <c r="K14" s="1248"/>
      <c r="L14" s="1248"/>
      <c r="M14" s="1248">
        <v>2</v>
      </c>
      <c r="N14" s="1248" t="s">
        <v>4080</v>
      </c>
      <c r="O14" s="1250" t="s">
        <v>4068</v>
      </c>
      <c r="P14" s="1251">
        <v>1000</v>
      </c>
      <c r="Q14" s="1251"/>
      <c r="R14" s="1252">
        <v>1.83E-2</v>
      </c>
      <c r="S14" s="1253">
        <v>45453</v>
      </c>
      <c r="T14" s="1254">
        <f t="shared" ref="T14" si="8">Project_Factor</f>
        <v>0.8</v>
      </c>
      <c r="U14" s="1255" cm="1">
        <f t="array" ref="U14">EBOM_Factor</f>
        <v>1</v>
      </c>
      <c r="V14" s="1255">
        <f t="shared" si="0"/>
        <v>1.464E-2</v>
      </c>
      <c r="W14" s="1256">
        <f>E14*V14</f>
        <v>8.7840000000000001E-2</v>
      </c>
      <c r="X14" s="1256">
        <f>F14*V14</f>
        <v>0</v>
      </c>
      <c r="Y14" s="1256">
        <f>X14+W14</f>
        <v>8.7840000000000001E-2</v>
      </c>
      <c r="Z14" s="1258"/>
    </row>
    <row r="15" spans="1:28" ht="25.9" customHeight="1">
      <c r="A15" s="1247">
        <f t="shared" ref="A15:A16" si="9">ROW()-8</f>
        <v>7</v>
      </c>
      <c r="B15" s="1248" t="s">
        <v>3539</v>
      </c>
      <c r="C15" s="1248" t="s">
        <v>3495</v>
      </c>
      <c r="D15" s="1248"/>
      <c r="E15" s="1237">
        <v>2</v>
      </c>
      <c r="F15" s="1237"/>
      <c r="G15" s="1238">
        <f t="shared" si="1"/>
        <v>2</v>
      </c>
      <c r="H15" s="1237" t="s">
        <v>3491</v>
      </c>
      <c r="I15" s="1248"/>
      <c r="J15" s="1249"/>
      <c r="K15" s="1248"/>
      <c r="L15" s="1248"/>
      <c r="M15" s="1248">
        <v>2</v>
      </c>
      <c r="N15" s="1248" t="s">
        <v>4085</v>
      </c>
      <c r="O15" s="1250" t="s">
        <v>4068</v>
      </c>
      <c r="P15" s="1251">
        <v>1000</v>
      </c>
      <c r="Q15" s="1251"/>
      <c r="R15" s="1252">
        <v>1.72E-2</v>
      </c>
      <c r="S15" s="1253">
        <v>45453</v>
      </c>
      <c r="T15" s="1254">
        <f t="shared" ref="T15" si="10">Project_Factor</f>
        <v>0.8</v>
      </c>
      <c r="U15" s="1255" cm="1">
        <f t="array" ref="U15">EBOM_Factor</f>
        <v>1</v>
      </c>
      <c r="V15" s="1255">
        <f t="shared" si="0"/>
        <v>1.3760000000000001E-2</v>
      </c>
      <c r="W15" s="1256">
        <f t="shared" ref="W15:W30" si="11">E15*V15</f>
        <v>2.7520000000000003E-2</v>
      </c>
      <c r="X15" s="1256">
        <f t="shared" ref="X15:X30" si="12">F15*V15</f>
        <v>0</v>
      </c>
      <c r="Y15" s="1256">
        <f t="shared" ref="Y15" si="13">X15+W15</f>
        <v>2.7520000000000003E-2</v>
      </c>
      <c r="Z15" s="1258"/>
    </row>
    <row r="16" spans="1:28" ht="25.9" customHeight="1">
      <c r="A16" s="1247">
        <f t="shared" si="9"/>
        <v>8</v>
      </c>
      <c r="B16" s="1248" t="s">
        <v>3539</v>
      </c>
      <c r="C16" s="1248" t="s">
        <v>3495</v>
      </c>
      <c r="D16" s="1248"/>
      <c r="E16" s="1237">
        <v>2</v>
      </c>
      <c r="F16" s="1237"/>
      <c r="G16" s="1238">
        <f t="shared" si="1"/>
        <v>2</v>
      </c>
      <c r="H16" s="1237" t="s">
        <v>3491</v>
      </c>
      <c r="I16" s="1248"/>
      <c r="J16" s="1249"/>
      <c r="K16" s="1248"/>
      <c r="L16" s="1248"/>
      <c r="M16" s="1248">
        <v>3</v>
      </c>
      <c r="N16" s="1248" t="s">
        <v>4089</v>
      </c>
      <c r="O16" s="1250" t="s">
        <v>4068</v>
      </c>
      <c r="P16" s="1251">
        <v>1000</v>
      </c>
      <c r="Q16" s="1251"/>
      <c r="R16" s="1252">
        <v>8.0000000000000002E-3</v>
      </c>
      <c r="S16" s="1253">
        <v>45453</v>
      </c>
      <c r="T16" s="1254">
        <f t="shared" ref="T16" si="14">Project_Factor</f>
        <v>0.8</v>
      </c>
      <c r="U16" s="1255" cm="1">
        <f t="array" ref="U16">EBOM_Factor</f>
        <v>1</v>
      </c>
      <c r="V16" s="1255">
        <f t="shared" si="0"/>
        <v>6.4000000000000003E-3</v>
      </c>
      <c r="W16" s="1256">
        <f t="shared" si="11"/>
        <v>1.2800000000000001E-2</v>
      </c>
      <c r="X16" s="1256">
        <f t="shared" si="12"/>
        <v>0</v>
      </c>
      <c r="Y16" s="1256">
        <f t="shared" ref="Y16:Y29" si="15">X16+W16</f>
        <v>1.2800000000000001E-2</v>
      </c>
      <c r="Z16" s="1258"/>
    </row>
    <row r="17" spans="1:26" ht="25.9" customHeight="1">
      <c r="A17" s="1247">
        <f t="shared" ref="A17:A29" si="16">ROW()-8</f>
        <v>9</v>
      </c>
      <c r="B17" s="1248"/>
      <c r="C17" s="1248"/>
      <c r="D17" s="1248"/>
      <c r="E17" s="1237"/>
      <c r="F17" s="1237"/>
      <c r="G17" s="1238">
        <f t="shared" si="1"/>
        <v>0</v>
      </c>
      <c r="H17" s="1237"/>
      <c r="I17" s="1248"/>
      <c r="J17" s="1249"/>
      <c r="K17" s="1248"/>
      <c r="L17" s="1248"/>
      <c r="M17" s="1248"/>
      <c r="N17" s="1248"/>
      <c r="O17" s="1250"/>
      <c r="P17" s="1251"/>
      <c r="Q17" s="1251"/>
      <c r="R17" s="1252"/>
      <c r="S17" s="1253"/>
      <c r="T17" s="1254">
        <f t="shared" ref="T17:T29" si="17">Project_Factor</f>
        <v>0.8</v>
      </c>
      <c r="U17" s="1255" cm="1">
        <f t="array" ref="U17">EBOM_Factor</f>
        <v>0</v>
      </c>
      <c r="V17" s="1255">
        <f t="shared" ref="V17:V29" si="18">R17*U17*T17</f>
        <v>0</v>
      </c>
      <c r="W17" s="1256">
        <f t="shared" ref="W17:W29" si="19">E17*V17</f>
        <v>0</v>
      </c>
      <c r="X17" s="1256">
        <f t="shared" ref="X17:X29" si="20">F17*V17</f>
        <v>0</v>
      </c>
      <c r="Y17" s="1256">
        <f t="shared" si="15"/>
        <v>0</v>
      </c>
      <c r="Z17" s="1258"/>
    </row>
    <row r="18" spans="1:26" ht="84" customHeight="1">
      <c r="A18" s="1247">
        <f t="shared" si="16"/>
        <v>10</v>
      </c>
      <c r="B18" s="1248" t="s">
        <v>3538</v>
      </c>
      <c r="C18" s="1248" t="s">
        <v>3561</v>
      </c>
      <c r="D18" s="1249" t="s">
        <v>4095</v>
      </c>
      <c r="E18" s="1237">
        <v>1</v>
      </c>
      <c r="F18" s="1237"/>
      <c r="G18" s="1238">
        <f t="shared" si="1"/>
        <v>1</v>
      </c>
      <c r="H18" s="1237" t="s">
        <v>3491</v>
      </c>
      <c r="I18" s="1248" t="s">
        <v>4266</v>
      </c>
      <c r="J18" s="1249" t="s">
        <v>4267</v>
      </c>
      <c r="K18" s="1248" t="s">
        <v>4268</v>
      </c>
      <c r="L18" s="1248"/>
      <c r="M18" s="1248">
        <v>2</v>
      </c>
      <c r="N18" s="1248" t="s">
        <v>4265</v>
      </c>
      <c r="O18" s="1323" t="s">
        <v>4269</v>
      </c>
      <c r="P18" s="1251">
        <v>2500</v>
      </c>
      <c r="Q18" s="1251"/>
      <c r="R18" s="1252">
        <v>0.51237999999999995</v>
      </c>
      <c r="S18" s="1253">
        <v>45453</v>
      </c>
      <c r="T18" s="1254">
        <f t="shared" si="17"/>
        <v>0.8</v>
      </c>
      <c r="U18" s="1255" cm="1">
        <f t="array" ref="U18">EBOM_Factor</f>
        <v>0.36441710509418296</v>
      </c>
      <c r="V18" s="1255">
        <f t="shared" si="18"/>
        <v>0.14937602904652597</v>
      </c>
      <c r="W18" s="1256">
        <f t="shared" si="19"/>
        <v>0.14937602904652597</v>
      </c>
      <c r="X18" s="1256">
        <f t="shared" si="20"/>
        <v>0</v>
      </c>
      <c r="Y18" s="1256">
        <f t="shared" si="15"/>
        <v>0.14937602904652597</v>
      </c>
      <c r="Z18" s="1258"/>
    </row>
    <row r="19" spans="1:26" ht="81" customHeight="1">
      <c r="A19" s="1247">
        <f t="shared" si="16"/>
        <v>11</v>
      </c>
      <c r="B19" s="1248" t="s">
        <v>3538</v>
      </c>
      <c r="C19" s="1248" t="s">
        <v>3561</v>
      </c>
      <c r="D19" s="1249" t="s">
        <v>4096</v>
      </c>
      <c r="E19" s="1237">
        <v>1</v>
      </c>
      <c r="F19" s="1237"/>
      <c r="G19" s="1238">
        <f t="shared" si="1"/>
        <v>1</v>
      </c>
      <c r="H19" s="1237" t="s">
        <v>3491</v>
      </c>
      <c r="I19" s="1248" t="s">
        <v>4271</v>
      </c>
      <c r="J19" s="1249" t="s">
        <v>4270</v>
      </c>
      <c r="K19" s="1248" t="s">
        <v>4273</v>
      </c>
      <c r="L19" s="1248"/>
      <c r="M19" s="1248">
        <v>2</v>
      </c>
      <c r="N19" s="1248" t="s">
        <v>4265</v>
      </c>
      <c r="O19" s="1323" t="s">
        <v>4272</v>
      </c>
      <c r="P19" s="1251">
        <v>1000</v>
      </c>
      <c r="Q19" s="1251"/>
      <c r="R19" s="1252">
        <v>0.40986</v>
      </c>
      <c r="S19" s="1253">
        <v>45453</v>
      </c>
      <c r="T19" s="1254">
        <f t="shared" si="17"/>
        <v>0.8</v>
      </c>
      <c r="U19" s="1255" cm="1">
        <f t="array" ref="U19">EBOM_Factor</f>
        <v>0.31042683161762363</v>
      </c>
      <c r="V19" s="1255">
        <f t="shared" si="18"/>
        <v>0.10178523296543938</v>
      </c>
      <c r="W19" s="1256">
        <f t="shared" si="19"/>
        <v>0.10178523296543938</v>
      </c>
      <c r="X19" s="1256">
        <f t="shared" si="20"/>
        <v>0</v>
      </c>
      <c r="Y19" s="1256">
        <f t="shared" si="15"/>
        <v>0.10178523296543938</v>
      </c>
      <c r="Z19" s="1258"/>
    </row>
    <row r="20" spans="1:26" ht="73.900000000000006" customHeight="1">
      <c r="A20" s="1247">
        <f t="shared" si="16"/>
        <v>12</v>
      </c>
      <c r="B20" s="1248" t="s">
        <v>3564</v>
      </c>
      <c r="C20" s="1248" t="s">
        <v>3564</v>
      </c>
      <c r="D20" s="1249" t="s">
        <v>4097</v>
      </c>
      <c r="E20" s="1237">
        <v>1</v>
      </c>
      <c r="F20" s="1237"/>
      <c r="G20" s="1238">
        <f t="shared" si="1"/>
        <v>1</v>
      </c>
      <c r="H20" s="1237" t="s">
        <v>3491</v>
      </c>
      <c r="I20" s="1248" t="s">
        <v>4297</v>
      </c>
      <c r="J20" s="1249" t="s">
        <v>4296</v>
      </c>
      <c r="K20" s="1248"/>
      <c r="L20" s="1248" t="s">
        <v>4298</v>
      </c>
      <c r="M20" s="1248">
        <v>2</v>
      </c>
      <c r="N20" s="1248" t="s">
        <v>4299</v>
      </c>
      <c r="O20" s="1323" t="s">
        <v>4300</v>
      </c>
      <c r="P20" s="1251">
        <v>1000</v>
      </c>
      <c r="Q20" s="1251"/>
      <c r="R20" s="1252">
        <v>0.1444</v>
      </c>
      <c r="S20" s="1253">
        <v>45453</v>
      </c>
      <c r="T20" s="1254">
        <f t="shared" si="17"/>
        <v>0.8</v>
      </c>
      <c r="U20" s="1255" cm="1">
        <f t="array" ref="U20">EBOM_Factor</f>
        <v>0.31042683161762363</v>
      </c>
      <c r="V20" s="1255">
        <f t="shared" si="18"/>
        <v>3.5860507588467885E-2</v>
      </c>
      <c r="W20" s="1256">
        <f t="shared" si="19"/>
        <v>3.5860507588467885E-2</v>
      </c>
      <c r="X20" s="1256">
        <f t="shared" si="20"/>
        <v>0</v>
      </c>
      <c r="Y20" s="1256">
        <f t="shared" si="15"/>
        <v>3.5860507588467885E-2</v>
      </c>
      <c r="Z20" s="1258"/>
    </row>
    <row r="21" spans="1:26" ht="73.150000000000006" customHeight="1">
      <c r="A21" s="1247">
        <f t="shared" si="16"/>
        <v>13</v>
      </c>
      <c r="B21" s="1248" t="s">
        <v>667</v>
      </c>
      <c r="C21" s="1248" t="s">
        <v>3505</v>
      </c>
      <c r="D21" s="1249" t="s">
        <v>4098</v>
      </c>
      <c r="E21" s="1237">
        <v>1</v>
      </c>
      <c r="F21" s="1237"/>
      <c r="G21" s="1238">
        <f t="shared" si="1"/>
        <v>1</v>
      </c>
      <c r="H21" s="1237" t="s">
        <v>3491</v>
      </c>
      <c r="I21" s="1248" t="s">
        <v>4303</v>
      </c>
      <c r="J21" s="1249" t="s">
        <v>4301</v>
      </c>
      <c r="K21" s="1248" t="s">
        <v>4302</v>
      </c>
      <c r="L21" s="1248"/>
      <c r="M21" s="1248">
        <v>40</v>
      </c>
      <c r="N21" s="1249" t="s">
        <v>4304</v>
      </c>
      <c r="O21" s="1323" t="s">
        <v>4305</v>
      </c>
      <c r="P21" s="1251">
        <v>1000</v>
      </c>
      <c r="Q21" s="1251"/>
      <c r="R21" s="1252">
        <v>0.31801000000000001</v>
      </c>
      <c r="S21" s="1253">
        <v>45453</v>
      </c>
      <c r="T21" s="1254">
        <f t="shared" si="17"/>
        <v>0.8</v>
      </c>
      <c r="U21" s="1255" cm="1">
        <f t="array" ref="U21">EBOM_Factor</f>
        <v>0.31042683161762363</v>
      </c>
      <c r="V21" s="1255">
        <f t="shared" si="18"/>
        <v>7.8975069378176402E-2</v>
      </c>
      <c r="W21" s="1256">
        <f t="shared" si="19"/>
        <v>7.8975069378176402E-2</v>
      </c>
      <c r="X21" s="1256">
        <f t="shared" si="20"/>
        <v>0</v>
      </c>
      <c r="Y21" s="1256">
        <f t="shared" si="15"/>
        <v>7.8975069378176402E-2</v>
      </c>
      <c r="Z21" s="1258"/>
    </row>
    <row r="22" spans="1:26" ht="61.9" customHeight="1">
      <c r="A22" s="1247">
        <f t="shared" si="16"/>
        <v>14</v>
      </c>
      <c r="B22" s="1248" t="s">
        <v>667</v>
      </c>
      <c r="C22" s="1248"/>
      <c r="D22" s="1249" t="s">
        <v>4295</v>
      </c>
      <c r="E22" s="1237">
        <v>1</v>
      </c>
      <c r="F22" s="1237"/>
      <c r="G22" s="1238">
        <f t="shared" si="1"/>
        <v>1</v>
      </c>
      <c r="H22" s="1237" t="s">
        <v>3491</v>
      </c>
      <c r="I22" s="1248" t="s">
        <v>4307</v>
      </c>
      <c r="J22" s="1249" t="s">
        <v>4306</v>
      </c>
      <c r="K22" s="1248" t="s">
        <v>4308</v>
      </c>
      <c r="L22" s="1248"/>
      <c r="M22" s="1248">
        <v>2</v>
      </c>
      <c r="N22" s="1248"/>
      <c r="O22" s="1323" t="s">
        <v>4309</v>
      </c>
      <c r="P22" s="1251">
        <v>1100</v>
      </c>
      <c r="Q22" s="1251"/>
      <c r="R22" s="1252">
        <v>1.8872</v>
      </c>
      <c r="S22" s="1253">
        <v>45453</v>
      </c>
      <c r="T22" s="1254">
        <f t="shared" si="17"/>
        <v>0.8</v>
      </c>
      <c r="U22" s="1255" cm="1">
        <f t="array" ref="U22">EBOM_Factor</f>
        <v>0.31564794932089857</v>
      </c>
      <c r="V22" s="1255">
        <f t="shared" si="18"/>
        <v>0.47655264796671981</v>
      </c>
      <c r="W22" s="1256">
        <f t="shared" si="19"/>
        <v>0.47655264796671981</v>
      </c>
      <c r="X22" s="1256">
        <f t="shared" si="20"/>
        <v>0</v>
      </c>
      <c r="Y22" s="1256">
        <f t="shared" si="15"/>
        <v>0.47655264796671981</v>
      </c>
      <c r="Z22" s="1258"/>
    </row>
    <row r="23" spans="1:26" ht="25.9" customHeight="1">
      <c r="A23" s="1247">
        <f t="shared" si="16"/>
        <v>15</v>
      </c>
      <c r="B23" s="1248"/>
      <c r="C23" s="1248"/>
      <c r="D23" s="1248"/>
      <c r="E23" s="1237"/>
      <c r="F23" s="1237"/>
      <c r="G23" s="1238">
        <f t="shared" si="1"/>
        <v>0</v>
      </c>
      <c r="H23" s="1237"/>
      <c r="I23" s="1248"/>
      <c r="J23" s="1249"/>
      <c r="K23" s="1248"/>
      <c r="L23" s="1248"/>
      <c r="M23" s="1248"/>
      <c r="N23" s="1248"/>
      <c r="O23" s="1250"/>
      <c r="P23" s="1251"/>
      <c r="Q23" s="1251"/>
      <c r="R23" s="1252"/>
      <c r="S23" s="1253"/>
      <c r="T23" s="1254"/>
      <c r="U23" s="1255" cm="1">
        <f t="array" ref="U23">EBOM_Factor</f>
        <v>0</v>
      </c>
      <c r="V23" s="1255">
        <f t="shared" si="18"/>
        <v>0</v>
      </c>
      <c r="W23" s="1256">
        <f t="shared" si="19"/>
        <v>0</v>
      </c>
      <c r="X23" s="1256">
        <f t="shared" si="20"/>
        <v>0</v>
      </c>
      <c r="Y23" s="1256">
        <f t="shared" si="15"/>
        <v>0</v>
      </c>
      <c r="Z23" s="1258"/>
    </row>
    <row r="24" spans="1:26" ht="84.6" customHeight="1">
      <c r="A24" s="1247">
        <f t="shared" si="16"/>
        <v>16</v>
      </c>
      <c r="B24" s="1248" t="s">
        <v>3504</v>
      </c>
      <c r="C24" s="1248"/>
      <c r="D24" s="1249" t="s">
        <v>4099</v>
      </c>
      <c r="E24" s="1237">
        <v>1</v>
      </c>
      <c r="F24" s="1237"/>
      <c r="G24" s="1238">
        <f t="shared" si="1"/>
        <v>1</v>
      </c>
      <c r="H24" s="1237" t="s">
        <v>3491</v>
      </c>
      <c r="I24" s="1248"/>
      <c r="J24" s="1249" t="s">
        <v>4259</v>
      </c>
      <c r="K24" s="1248" t="s">
        <v>4258</v>
      </c>
      <c r="L24" s="1248"/>
      <c r="M24" s="1248">
        <v>54</v>
      </c>
      <c r="N24" s="1248" t="s">
        <v>4261</v>
      </c>
      <c r="O24" s="1323" t="s">
        <v>4260</v>
      </c>
      <c r="P24" s="1251">
        <v>1000</v>
      </c>
      <c r="Q24" s="1251"/>
      <c r="R24" s="1252">
        <v>4.5410000000000004</v>
      </c>
      <c r="S24" s="1253">
        <v>45453</v>
      </c>
      <c r="T24" s="1254">
        <f t="shared" si="17"/>
        <v>0.8</v>
      </c>
      <c r="U24" s="1255" cm="1">
        <f t="array" ref="U24">EBOM_Factor</f>
        <v>0.31042683161762363</v>
      </c>
      <c r="V24" s="1255">
        <f t="shared" si="18"/>
        <v>1.1277185939005034</v>
      </c>
      <c r="W24" s="1256">
        <f t="shared" si="19"/>
        <v>1.1277185939005034</v>
      </c>
      <c r="X24" s="1256">
        <f t="shared" si="20"/>
        <v>0</v>
      </c>
      <c r="Y24" s="1256">
        <f t="shared" si="15"/>
        <v>1.1277185939005034</v>
      </c>
      <c r="Z24" s="1258"/>
    </row>
    <row r="25" spans="1:26" ht="88.9" customHeight="1">
      <c r="A25" s="1247">
        <f t="shared" si="16"/>
        <v>17</v>
      </c>
      <c r="B25" s="1248" t="s">
        <v>3504</v>
      </c>
      <c r="C25" s="1248" t="s">
        <v>4281</v>
      </c>
      <c r="D25" s="1249" t="s">
        <v>4100</v>
      </c>
      <c r="E25" s="1237">
        <v>1</v>
      </c>
      <c r="F25" s="1237"/>
      <c r="G25" s="1238">
        <f t="shared" si="1"/>
        <v>1</v>
      </c>
      <c r="H25" s="1237" t="s">
        <v>3491</v>
      </c>
      <c r="I25" s="1248"/>
      <c r="J25" s="1249" t="s">
        <v>4275</v>
      </c>
      <c r="K25" s="1248" t="s">
        <v>4276</v>
      </c>
      <c r="L25" s="1248"/>
      <c r="M25" s="1248">
        <v>76</v>
      </c>
      <c r="N25" s="1248"/>
      <c r="O25" s="1323" t="s">
        <v>4274</v>
      </c>
      <c r="P25" s="1251">
        <v>1000</v>
      </c>
      <c r="Q25" s="1251"/>
      <c r="R25" s="1252">
        <v>1.4</v>
      </c>
      <c r="S25" s="1253">
        <v>45453</v>
      </c>
      <c r="T25" s="1254">
        <f t="shared" si="17"/>
        <v>0.8</v>
      </c>
      <c r="U25" s="1255" cm="1">
        <f t="array" ref="U25">EBOM_Factor</f>
        <v>0.31042683161762363</v>
      </c>
      <c r="V25" s="1255">
        <f t="shared" si="18"/>
        <v>0.34767805141173846</v>
      </c>
      <c r="W25" s="1256">
        <f t="shared" si="19"/>
        <v>0.34767805141173846</v>
      </c>
      <c r="X25" s="1256">
        <f t="shared" si="20"/>
        <v>0</v>
      </c>
      <c r="Y25" s="1256">
        <f t="shared" si="15"/>
        <v>0.34767805141173846</v>
      </c>
      <c r="Z25" s="1258"/>
    </row>
    <row r="26" spans="1:26" ht="58.9" customHeight="1">
      <c r="A26" s="1247">
        <f t="shared" si="16"/>
        <v>18</v>
      </c>
      <c r="B26" s="1248" t="s">
        <v>3504</v>
      </c>
      <c r="C26" s="1248" t="s">
        <v>4280</v>
      </c>
      <c r="D26" s="1249" t="s">
        <v>4101</v>
      </c>
      <c r="E26" s="1237">
        <v>1</v>
      </c>
      <c r="F26" s="1237"/>
      <c r="G26" s="1238">
        <f t="shared" si="1"/>
        <v>1</v>
      </c>
      <c r="H26" s="1237" t="s">
        <v>3491</v>
      </c>
      <c r="I26" s="1248" t="s">
        <v>4279</v>
      </c>
      <c r="J26" s="1249" t="s">
        <v>4170</v>
      </c>
      <c r="K26" s="1248" t="s">
        <v>4278</v>
      </c>
      <c r="L26" s="1248"/>
      <c r="M26" s="1248">
        <v>6</v>
      </c>
      <c r="N26" s="1248" t="s">
        <v>4091</v>
      </c>
      <c r="O26" s="1323" t="s">
        <v>4277</v>
      </c>
      <c r="P26" s="1251">
        <v>3000</v>
      </c>
      <c r="Q26" s="1251"/>
      <c r="R26" s="1252">
        <v>0.44691999999999998</v>
      </c>
      <c r="S26" s="1253">
        <v>45453</v>
      </c>
      <c r="T26" s="1254">
        <f t="shared" si="17"/>
        <v>0.8</v>
      </c>
      <c r="U26" s="1255" cm="1">
        <f t="array" ref="U26">EBOM_Factor</f>
        <v>0.37623177530304458</v>
      </c>
      <c r="V26" s="1255">
        <f t="shared" si="18"/>
        <v>0.13451640401474935</v>
      </c>
      <c r="W26" s="1256">
        <f t="shared" si="19"/>
        <v>0.13451640401474935</v>
      </c>
      <c r="X26" s="1256">
        <f t="shared" si="20"/>
        <v>0</v>
      </c>
      <c r="Y26" s="1256">
        <f t="shared" si="15"/>
        <v>0.13451640401474935</v>
      </c>
      <c r="Z26" s="1258"/>
    </row>
    <row r="27" spans="1:26" ht="84" customHeight="1">
      <c r="A27" s="1247">
        <f t="shared" si="16"/>
        <v>19</v>
      </c>
      <c r="B27" s="1248" t="s">
        <v>3504</v>
      </c>
      <c r="C27" s="1248" t="s">
        <v>4288</v>
      </c>
      <c r="D27" s="1249" t="s">
        <v>4282</v>
      </c>
      <c r="E27" s="1237">
        <v>2</v>
      </c>
      <c r="F27" s="1237"/>
      <c r="G27" s="1238">
        <f t="shared" si="1"/>
        <v>2</v>
      </c>
      <c r="H27" s="1237" t="s">
        <v>3491</v>
      </c>
      <c r="I27" s="1248" t="s">
        <v>4286</v>
      </c>
      <c r="J27" s="1249" t="s">
        <v>4285</v>
      </c>
      <c r="K27" s="1248" t="s">
        <v>4284</v>
      </c>
      <c r="L27" s="1248"/>
      <c r="M27" s="1248">
        <v>12</v>
      </c>
      <c r="N27" s="1248" t="s">
        <v>4287</v>
      </c>
      <c r="O27" s="1323" t="s">
        <v>4283</v>
      </c>
      <c r="P27" s="1251">
        <v>1000</v>
      </c>
      <c r="Q27" s="1251"/>
      <c r="R27" s="1252">
        <v>2.19</v>
      </c>
      <c r="S27" s="1253">
        <v>45453</v>
      </c>
      <c r="T27" s="1254">
        <f t="shared" si="17"/>
        <v>0.8</v>
      </c>
      <c r="U27" s="1255" cm="1">
        <f t="array" ref="U27">EBOM_Factor</f>
        <v>0.27496600450474862</v>
      </c>
      <c r="V27" s="1255">
        <f t="shared" si="18"/>
        <v>0.48174043989231957</v>
      </c>
      <c r="W27" s="1256">
        <f t="shared" si="19"/>
        <v>0.96348087978463914</v>
      </c>
      <c r="X27" s="1256">
        <f t="shared" si="20"/>
        <v>0</v>
      </c>
      <c r="Y27" s="1256">
        <f t="shared" si="15"/>
        <v>0.96348087978463914</v>
      </c>
      <c r="Z27" s="1258"/>
    </row>
    <row r="28" spans="1:26" ht="92.45" customHeight="1">
      <c r="A28" s="1247">
        <f t="shared" si="16"/>
        <v>20</v>
      </c>
      <c r="B28" s="1248" t="s">
        <v>3504</v>
      </c>
      <c r="C28" s="1248" t="s">
        <v>4280</v>
      </c>
      <c r="D28" s="1249" t="s">
        <v>4102</v>
      </c>
      <c r="E28" s="1237">
        <v>1</v>
      </c>
      <c r="F28" s="1237"/>
      <c r="G28" s="1238">
        <f t="shared" si="1"/>
        <v>1</v>
      </c>
      <c r="H28" s="1237" t="s">
        <v>3491</v>
      </c>
      <c r="I28" s="1248" t="s">
        <v>4294</v>
      </c>
      <c r="J28" s="1249" t="s">
        <v>4292</v>
      </c>
      <c r="K28" s="1248" t="s">
        <v>4293</v>
      </c>
      <c r="L28" s="1248"/>
      <c r="M28" s="1248">
        <v>56</v>
      </c>
      <c r="N28" s="1248" t="s">
        <v>4291</v>
      </c>
      <c r="O28" s="1323" t="s">
        <v>4290</v>
      </c>
      <c r="P28" s="1251">
        <v>1152</v>
      </c>
      <c r="Q28" s="1251"/>
      <c r="R28" s="1252">
        <v>5.8086000000000002</v>
      </c>
      <c r="S28" s="1253">
        <v>45453</v>
      </c>
      <c r="T28" s="1254">
        <f t="shared" si="17"/>
        <v>0.8</v>
      </c>
      <c r="U28" s="1255" cm="1">
        <f t="array" ref="U28">EBOM_Factor</f>
        <v>0.31820971610992121</v>
      </c>
      <c r="V28" s="1255">
        <f t="shared" si="18"/>
        <v>1.4786823655968708</v>
      </c>
      <c r="W28" s="1256">
        <f t="shared" si="19"/>
        <v>1.4786823655968708</v>
      </c>
      <c r="X28" s="1256">
        <f t="shared" si="20"/>
        <v>0</v>
      </c>
      <c r="Y28" s="1256">
        <f t="shared" si="15"/>
        <v>1.4786823655968708</v>
      </c>
      <c r="Z28" s="1258"/>
    </row>
    <row r="29" spans="1:26" ht="25.9" customHeight="1">
      <c r="A29" s="1247">
        <f t="shared" si="16"/>
        <v>21</v>
      </c>
      <c r="B29" s="1248"/>
      <c r="C29" s="1248"/>
      <c r="D29" s="1248"/>
      <c r="E29" s="1237"/>
      <c r="F29" s="1237"/>
      <c r="G29" s="1238">
        <f t="shared" si="1"/>
        <v>0</v>
      </c>
      <c r="H29" s="1237"/>
      <c r="I29" s="1248"/>
      <c r="J29" s="1249"/>
      <c r="K29" s="1248"/>
      <c r="L29" s="1248"/>
      <c r="M29" s="1248"/>
      <c r="N29" s="1248"/>
      <c r="O29" s="1250"/>
      <c r="P29" s="1251"/>
      <c r="Q29" s="1251"/>
      <c r="R29" s="1252"/>
      <c r="S29" s="1253"/>
      <c r="T29" s="1254">
        <f t="shared" si="17"/>
        <v>0.8</v>
      </c>
      <c r="U29" s="1255" cm="1">
        <f t="array" ref="U29">EBOM_Factor</f>
        <v>0</v>
      </c>
      <c r="V29" s="1255">
        <f t="shared" si="18"/>
        <v>0</v>
      </c>
      <c r="W29" s="1256">
        <f t="shared" si="19"/>
        <v>0</v>
      </c>
      <c r="X29" s="1256">
        <f t="shared" si="20"/>
        <v>0</v>
      </c>
      <c r="Y29" s="1256">
        <f t="shared" si="15"/>
        <v>0</v>
      </c>
      <c r="Z29" s="1258"/>
    </row>
    <row r="30" spans="1:26" ht="25.9" customHeight="1">
      <c r="A30" s="1259"/>
      <c r="B30" s="1260" t="s">
        <v>3530</v>
      </c>
      <c r="C30" s="1248"/>
      <c r="D30" s="1249"/>
      <c r="E30" s="1237"/>
      <c r="F30" s="1237"/>
      <c r="G30" s="1238">
        <f t="shared" si="1"/>
        <v>0</v>
      </c>
      <c r="H30" s="1237"/>
      <c r="I30" s="1249"/>
      <c r="J30" s="1248"/>
      <c r="K30" s="1248"/>
      <c r="L30" s="1248"/>
      <c r="M30" s="1248"/>
      <c r="N30" s="1248"/>
      <c r="O30" s="1250"/>
      <c r="P30" s="1251"/>
      <c r="Q30" s="1251"/>
      <c r="R30" s="1252"/>
      <c r="S30" s="1253"/>
      <c r="T30" s="1254">
        <f t="shared" ref="T30" si="21">Project_Factor</f>
        <v>0.8</v>
      </c>
      <c r="U30" s="1255" cm="1">
        <f t="array" ref="U30">EBOM_Factor</f>
        <v>0</v>
      </c>
      <c r="V30" s="1255">
        <f t="shared" si="0"/>
        <v>0</v>
      </c>
      <c r="W30" s="1256">
        <f t="shared" si="11"/>
        <v>0</v>
      </c>
      <c r="X30" s="1256">
        <f t="shared" si="12"/>
        <v>0</v>
      </c>
      <c r="Y30" s="1256">
        <f t="shared" ref="Y30" si="22">X30+W30</f>
        <v>0</v>
      </c>
      <c r="Z30" s="1258"/>
    </row>
    <row r="31" spans="1:26" ht="25.9" customHeight="1">
      <c r="A31" s="1247">
        <f t="shared" ref="A31:A41" si="23">ROW()-8</f>
        <v>23</v>
      </c>
      <c r="B31" s="1248" t="s">
        <v>3538</v>
      </c>
      <c r="C31" s="1248" t="s">
        <v>3560</v>
      </c>
      <c r="D31" s="1248"/>
      <c r="E31" s="1237"/>
      <c r="F31" s="1237">
        <v>40</v>
      </c>
      <c r="G31" s="1238">
        <f t="shared" si="1"/>
        <v>40</v>
      </c>
      <c r="H31" s="1237" t="s">
        <v>3491</v>
      </c>
      <c r="I31" s="1248"/>
      <c r="J31" s="1249"/>
      <c r="K31" s="1248"/>
      <c r="L31" s="1248"/>
      <c r="M31" s="1248">
        <v>2</v>
      </c>
      <c r="N31" s="1248" t="s">
        <v>4074</v>
      </c>
      <c r="O31" s="1250" t="s">
        <v>4068</v>
      </c>
      <c r="P31" s="1251">
        <v>1000</v>
      </c>
      <c r="Q31" s="1251"/>
      <c r="R31" s="1252">
        <v>8.9999999999999998E-4</v>
      </c>
      <c r="S31" s="1253">
        <v>45453</v>
      </c>
      <c r="T31" s="1254">
        <f t="shared" ref="T31" si="24">Project_Factor</f>
        <v>0.8</v>
      </c>
      <c r="U31" s="1255" cm="1">
        <f t="array" ref="U31">EBOM_Factor</f>
        <v>1</v>
      </c>
      <c r="V31" s="1255">
        <f t="shared" si="0"/>
        <v>7.2000000000000005E-4</v>
      </c>
      <c r="W31" s="1256">
        <f t="shared" ref="W31:W41" si="25">E31*V31</f>
        <v>0</v>
      </c>
      <c r="X31" s="1256">
        <f t="shared" ref="X31:X41" si="26">F31*V31</f>
        <v>2.8800000000000003E-2</v>
      </c>
      <c r="Y31" s="1256">
        <f t="shared" ref="Y31:Y41" si="27">X31+W31</f>
        <v>2.8800000000000003E-2</v>
      </c>
      <c r="Z31" s="1258"/>
    </row>
    <row r="32" spans="1:26" ht="25.9" customHeight="1">
      <c r="A32" s="1247">
        <f t="shared" si="23"/>
        <v>24</v>
      </c>
      <c r="B32" s="1248" t="s">
        <v>3538</v>
      </c>
      <c r="C32" s="1248" t="s">
        <v>3560</v>
      </c>
      <c r="D32" s="1248"/>
      <c r="E32" s="1237"/>
      <c r="F32" s="1237">
        <v>11</v>
      </c>
      <c r="G32" s="1238">
        <f t="shared" si="1"/>
        <v>11</v>
      </c>
      <c r="H32" s="1237" t="s">
        <v>3491</v>
      </c>
      <c r="I32" s="1248"/>
      <c r="J32" s="1249"/>
      <c r="K32" s="1248"/>
      <c r="L32" s="1248"/>
      <c r="M32" s="1248">
        <v>2</v>
      </c>
      <c r="N32" s="1248" t="s">
        <v>4078</v>
      </c>
      <c r="O32" s="1250" t="s">
        <v>4068</v>
      </c>
      <c r="P32" s="1251">
        <v>1000</v>
      </c>
      <c r="Q32" s="1251"/>
      <c r="R32" s="1252">
        <v>5.1000000000000004E-3</v>
      </c>
      <c r="S32" s="1253">
        <v>45453</v>
      </c>
      <c r="T32" s="1254">
        <f t="shared" ref="T32:T41" si="28">Project_Factor</f>
        <v>0.8</v>
      </c>
      <c r="U32" s="1255" cm="1">
        <f t="array" ref="U32">EBOM_Factor</f>
        <v>1</v>
      </c>
      <c r="V32" s="1255">
        <f t="shared" ref="V32:V41" si="29">R32*U32*T32</f>
        <v>4.0800000000000003E-3</v>
      </c>
      <c r="W32" s="1256">
        <f t="shared" si="25"/>
        <v>0</v>
      </c>
      <c r="X32" s="1256">
        <f t="shared" si="26"/>
        <v>4.4880000000000003E-2</v>
      </c>
      <c r="Y32" s="1256">
        <f t="shared" si="27"/>
        <v>4.4880000000000003E-2</v>
      </c>
      <c r="Z32" s="1258"/>
    </row>
    <row r="33" spans="1:26" ht="25.9" customHeight="1">
      <c r="A33" s="1247">
        <f t="shared" si="23"/>
        <v>25</v>
      </c>
      <c r="B33" s="1248" t="s">
        <v>3538</v>
      </c>
      <c r="C33" s="1248" t="s">
        <v>3558</v>
      </c>
      <c r="D33" s="1248"/>
      <c r="E33" s="1237"/>
      <c r="F33" s="1237">
        <v>66</v>
      </c>
      <c r="G33" s="1238">
        <f t="shared" si="1"/>
        <v>66</v>
      </c>
      <c r="H33" s="1237" t="s">
        <v>3491</v>
      </c>
      <c r="I33" s="1248"/>
      <c r="J33" s="1249"/>
      <c r="K33" s="1248"/>
      <c r="L33" s="1248"/>
      <c r="M33" s="1248">
        <v>2</v>
      </c>
      <c r="N33" s="1248" t="s">
        <v>4074</v>
      </c>
      <c r="O33" s="1250" t="s">
        <v>4068</v>
      </c>
      <c r="P33" s="1251">
        <v>1000</v>
      </c>
      <c r="Q33" s="1251"/>
      <c r="R33" s="1252">
        <v>1.8E-3</v>
      </c>
      <c r="S33" s="1253">
        <v>45453</v>
      </c>
      <c r="T33" s="1254">
        <f t="shared" si="28"/>
        <v>0.8</v>
      </c>
      <c r="U33" s="1255" cm="1">
        <f t="array" ref="U33">EBOM_Factor</f>
        <v>1</v>
      </c>
      <c r="V33" s="1255">
        <f t="shared" si="29"/>
        <v>1.4400000000000001E-3</v>
      </c>
      <c r="W33" s="1256">
        <f t="shared" si="25"/>
        <v>0</v>
      </c>
      <c r="X33" s="1256">
        <f t="shared" si="26"/>
        <v>9.5039999999999999E-2</v>
      </c>
      <c r="Y33" s="1256">
        <f t="shared" si="27"/>
        <v>9.5039999999999999E-2</v>
      </c>
      <c r="Z33" s="1258"/>
    </row>
    <row r="34" spans="1:26" ht="25.9" customHeight="1">
      <c r="A34" s="1247">
        <f t="shared" si="23"/>
        <v>26</v>
      </c>
      <c r="B34" s="1248" t="s">
        <v>3538</v>
      </c>
      <c r="C34" s="1248" t="s">
        <v>3558</v>
      </c>
      <c r="D34" s="1248"/>
      <c r="E34" s="1237"/>
      <c r="F34" s="1237">
        <v>10</v>
      </c>
      <c r="G34" s="1238">
        <f t="shared" si="1"/>
        <v>10</v>
      </c>
      <c r="H34" s="1237" t="s">
        <v>3491</v>
      </c>
      <c r="I34" s="1248"/>
      <c r="J34" s="1249"/>
      <c r="K34" s="1248"/>
      <c r="L34" s="1248"/>
      <c r="M34" s="1248">
        <v>2</v>
      </c>
      <c r="N34" s="1248" t="s">
        <v>4078</v>
      </c>
      <c r="O34" s="1250" t="s">
        <v>4068</v>
      </c>
      <c r="P34" s="1251">
        <v>1000</v>
      </c>
      <c r="Q34" s="1251"/>
      <c r="R34" s="1252">
        <v>5.7000000000000002E-3</v>
      </c>
      <c r="S34" s="1253">
        <v>45453</v>
      </c>
      <c r="T34" s="1254">
        <f t="shared" si="28"/>
        <v>0.8</v>
      </c>
      <c r="U34" s="1255" cm="1">
        <f t="array" ref="U34">EBOM_Factor</f>
        <v>1</v>
      </c>
      <c r="V34" s="1255">
        <f t="shared" si="29"/>
        <v>4.5600000000000007E-3</v>
      </c>
      <c r="W34" s="1256">
        <f t="shared" si="25"/>
        <v>0</v>
      </c>
      <c r="X34" s="1256">
        <f t="shared" si="26"/>
        <v>4.5600000000000009E-2</v>
      </c>
      <c r="Y34" s="1256">
        <f t="shared" si="27"/>
        <v>4.5600000000000009E-2</v>
      </c>
      <c r="Z34" s="1258"/>
    </row>
    <row r="35" spans="1:26" ht="25.9" customHeight="1">
      <c r="A35" s="1247">
        <f t="shared" si="23"/>
        <v>27</v>
      </c>
      <c r="B35" s="1248" t="s">
        <v>3538</v>
      </c>
      <c r="C35" s="1248" t="s">
        <v>3558</v>
      </c>
      <c r="D35" s="1248"/>
      <c r="E35" s="1237"/>
      <c r="F35" s="1237">
        <v>2</v>
      </c>
      <c r="G35" s="1238">
        <f t="shared" si="1"/>
        <v>2</v>
      </c>
      <c r="H35" s="1237" t="s">
        <v>3491</v>
      </c>
      <c r="I35" s="1248"/>
      <c r="J35" s="1249"/>
      <c r="K35" s="1248"/>
      <c r="L35" s="1248"/>
      <c r="M35" s="1248">
        <v>2</v>
      </c>
      <c r="N35" s="1248" t="s">
        <v>4080</v>
      </c>
      <c r="O35" s="1250" t="s">
        <v>4068</v>
      </c>
      <c r="P35" s="1251">
        <v>1000</v>
      </c>
      <c r="Q35" s="1251"/>
      <c r="R35" s="1252">
        <v>1.83E-2</v>
      </c>
      <c r="S35" s="1253">
        <v>45453</v>
      </c>
      <c r="T35" s="1254">
        <f t="shared" si="28"/>
        <v>0.8</v>
      </c>
      <c r="U35" s="1255" cm="1">
        <f t="array" ref="U35">EBOM_Factor</f>
        <v>1</v>
      </c>
      <c r="V35" s="1255">
        <f t="shared" si="29"/>
        <v>1.464E-2</v>
      </c>
      <c r="W35" s="1256">
        <f t="shared" si="25"/>
        <v>0</v>
      </c>
      <c r="X35" s="1256">
        <f t="shared" si="26"/>
        <v>2.928E-2</v>
      </c>
      <c r="Y35" s="1256">
        <f t="shared" si="27"/>
        <v>2.928E-2</v>
      </c>
      <c r="Z35" s="1258"/>
    </row>
    <row r="36" spans="1:26" ht="25.9" customHeight="1">
      <c r="A36" s="1247">
        <f t="shared" si="23"/>
        <v>28</v>
      </c>
      <c r="B36" s="1248" t="s">
        <v>3539</v>
      </c>
      <c r="C36" s="1248" t="s">
        <v>3495</v>
      </c>
      <c r="D36" s="1248"/>
      <c r="E36" s="1237"/>
      <c r="F36" s="1237">
        <v>1</v>
      </c>
      <c r="G36" s="1238">
        <f t="shared" si="1"/>
        <v>1</v>
      </c>
      <c r="H36" s="1237" t="s">
        <v>3491</v>
      </c>
      <c r="I36" s="1248"/>
      <c r="J36" s="1249"/>
      <c r="K36" s="1248"/>
      <c r="L36" s="1248"/>
      <c r="M36" s="1248">
        <v>2</v>
      </c>
      <c r="N36" s="1248" t="s">
        <v>4085</v>
      </c>
      <c r="O36" s="1250" t="s">
        <v>4068</v>
      </c>
      <c r="P36" s="1251">
        <v>1000</v>
      </c>
      <c r="Q36" s="1251"/>
      <c r="R36" s="1252">
        <v>1.72E-2</v>
      </c>
      <c r="S36" s="1253">
        <v>45453</v>
      </c>
      <c r="T36" s="1254">
        <f t="shared" si="28"/>
        <v>0.8</v>
      </c>
      <c r="U36" s="1255" cm="1">
        <f t="array" ref="U36">EBOM_Factor</f>
        <v>1</v>
      </c>
      <c r="V36" s="1255">
        <f t="shared" si="29"/>
        <v>1.3760000000000001E-2</v>
      </c>
      <c r="W36" s="1256">
        <f t="shared" si="25"/>
        <v>0</v>
      </c>
      <c r="X36" s="1256">
        <f t="shared" si="26"/>
        <v>1.3760000000000001E-2</v>
      </c>
      <c r="Y36" s="1256">
        <f t="shared" si="27"/>
        <v>1.3760000000000001E-2</v>
      </c>
      <c r="Z36" s="1258"/>
    </row>
    <row r="37" spans="1:26" ht="25.9" customHeight="1">
      <c r="A37" s="1247">
        <f t="shared" si="23"/>
        <v>29</v>
      </c>
      <c r="B37" s="1248" t="s">
        <v>3539</v>
      </c>
      <c r="C37" s="1248" t="s">
        <v>3495</v>
      </c>
      <c r="D37" s="1248"/>
      <c r="E37" s="1237"/>
      <c r="F37" s="1237">
        <v>1</v>
      </c>
      <c r="G37" s="1238">
        <f t="shared" si="1"/>
        <v>1</v>
      </c>
      <c r="H37" s="1237" t="s">
        <v>3491</v>
      </c>
      <c r="I37" s="1248"/>
      <c r="J37" s="1249"/>
      <c r="K37" s="1248"/>
      <c r="L37" s="1248"/>
      <c r="M37" s="1248">
        <v>2</v>
      </c>
      <c r="N37" s="1248" t="s">
        <v>4083</v>
      </c>
      <c r="O37" s="1250" t="s">
        <v>4068</v>
      </c>
      <c r="P37" s="1251">
        <v>1000</v>
      </c>
      <c r="Q37" s="1251"/>
      <c r="R37" s="1252">
        <v>2.8199999999999999E-2</v>
      </c>
      <c r="S37" s="1253">
        <v>45453</v>
      </c>
      <c r="T37" s="1254">
        <f t="shared" si="28"/>
        <v>0.8</v>
      </c>
      <c r="U37" s="1255" cm="1">
        <f t="array" ref="U37">EBOM_Factor</f>
        <v>1</v>
      </c>
      <c r="V37" s="1255">
        <f t="shared" si="29"/>
        <v>2.256E-2</v>
      </c>
      <c r="W37" s="1256">
        <f t="shared" si="25"/>
        <v>0</v>
      </c>
      <c r="X37" s="1256">
        <f t="shared" si="26"/>
        <v>2.256E-2</v>
      </c>
      <c r="Y37" s="1256">
        <f t="shared" si="27"/>
        <v>2.256E-2</v>
      </c>
      <c r="Z37" s="1258"/>
    </row>
    <row r="38" spans="1:26" ht="25.9" customHeight="1">
      <c r="A38" s="1247">
        <f t="shared" si="23"/>
        <v>30</v>
      </c>
      <c r="B38" s="1248" t="s">
        <v>3539</v>
      </c>
      <c r="C38" s="1248" t="s">
        <v>3495</v>
      </c>
      <c r="D38" s="1248"/>
      <c r="E38" s="1237"/>
      <c r="F38" s="1237">
        <v>1</v>
      </c>
      <c r="G38" s="1238">
        <f t="shared" si="1"/>
        <v>1</v>
      </c>
      <c r="H38" s="1237" t="s">
        <v>3491</v>
      </c>
      <c r="I38" s="1248"/>
      <c r="J38" s="1249"/>
      <c r="K38" s="1248"/>
      <c r="L38" s="1248"/>
      <c r="M38" s="1248">
        <v>3</v>
      </c>
      <c r="N38" s="1248" t="s">
        <v>4089</v>
      </c>
      <c r="O38" s="1250" t="s">
        <v>4068</v>
      </c>
      <c r="P38" s="1251">
        <v>1000</v>
      </c>
      <c r="Q38" s="1251"/>
      <c r="R38" s="1252">
        <v>8.0000000000000002E-3</v>
      </c>
      <c r="S38" s="1253">
        <v>45453</v>
      </c>
      <c r="T38" s="1254">
        <f t="shared" si="28"/>
        <v>0.8</v>
      </c>
      <c r="U38" s="1255" cm="1">
        <f t="array" ref="U38">EBOM_Factor</f>
        <v>1</v>
      </c>
      <c r="V38" s="1255">
        <f t="shared" si="29"/>
        <v>6.4000000000000003E-3</v>
      </c>
      <c r="W38" s="1256">
        <f t="shared" si="25"/>
        <v>0</v>
      </c>
      <c r="X38" s="1256">
        <f t="shared" si="26"/>
        <v>6.4000000000000003E-3</v>
      </c>
      <c r="Y38" s="1256">
        <f t="shared" si="27"/>
        <v>6.4000000000000003E-3</v>
      </c>
      <c r="Z38" s="1258"/>
    </row>
    <row r="39" spans="1:26" ht="25.9" customHeight="1">
      <c r="A39" s="1247">
        <f t="shared" si="23"/>
        <v>31</v>
      </c>
      <c r="B39" s="1248"/>
      <c r="C39" s="1248"/>
      <c r="D39" s="1248"/>
      <c r="E39" s="1237"/>
      <c r="F39" s="1237"/>
      <c r="G39" s="1238">
        <f t="shared" si="1"/>
        <v>0</v>
      </c>
      <c r="H39" s="1237"/>
      <c r="I39" s="1248"/>
      <c r="J39" s="1249"/>
      <c r="K39" s="1248"/>
      <c r="L39" s="1248"/>
      <c r="M39" s="1248"/>
      <c r="N39" s="1248"/>
      <c r="O39" s="1250"/>
      <c r="P39" s="1251"/>
      <c r="Q39" s="1251"/>
      <c r="R39" s="1252"/>
      <c r="S39" s="1253"/>
      <c r="T39" s="1254">
        <f t="shared" si="28"/>
        <v>0.8</v>
      </c>
      <c r="U39" s="1255" cm="1">
        <f t="array" ref="U39">EBOM_Factor</f>
        <v>0</v>
      </c>
      <c r="V39" s="1255">
        <f t="shared" si="29"/>
        <v>0</v>
      </c>
      <c r="W39" s="1256">
        <f t="shared" si="25"/>
        <v>0</v>
      </c>
      <c r="X39" s="1256">
        <f t="shared" si="26"/>
        <v>0</v>
      </c>
      <c r="Y39" s="1256">
        <f t="shared" si="27"/>
        <v>0</v>
      </c>
      <c r="Z39" s="1258"/>
    </row>
    <row r="40" spans="1:26" ht="73.150000000000006" customHeight="1">
      <c r="A40" s="1247">
        <f t="shared" si="23"/>
        <v>32</v>
      </c>
      <c r="B40" s="1248" t="s">
        <v>667</v>
      </c>
      <c r="C40" s="1248" t="s">
        <v>3505</v>
      </c>
      <c r="D40" s="1249" t="s">
        <v>4103</v>
      </c>
      <c r="E40" s="1237"/>
      <c r="F40" s="1237">
        <v>2</v>
      </c>
      <c r="G40" s="1238">
        <f t="shared" si="1"/>
        <v>2</v>
      </c>
      <c r="H40" s="1237" t="s">
        <v>3491</v>
      </c>
      <c r="I40" s="1248" t="s">
        <v>4203</v>
      </c>
      <c r="J40" s="1249" t="s">
        <v>4202</v>
      </c>
      <c r="K40" s="1248"/>
      <c r="L40" s="1248" t="s">
        <v>4204</v>
      </c>
      <c r="M40" s="1248">
        <v>30</v>
      </c>
      <c r="N40" s="1249" t="s">
        <v>4205</v>
      </c>
      <c r="O40" s="1323" t="s">
        <v>4201</v>
      </c>
      <c r="P40" s="1251">
        <v>1375</v>
      </c>
      <c r="Q40" s="1251"/>
      <c r="R40" s="1252">
        <v>3.59904</v>
      </c>
      <c r="S40" s="1253">
        <v>45453</v>
      </c>
      <c r="T40" s="1254">
        <f t="shared" si="28"/>
        <v>0.8</v>
      </c>
      <c r="U40" s="1255" cm="1">
        <f t="array" ref="U40">EBOM_Factor</f>
        <v>0.29072472957031698</v>
      </c>
      <c r="V40" s="1255">
        <f t="shared" si="29"/>
        <v>0.83706394457020294</v>
      </c>
      <c r="W40" s="1256">
        <f t="shared" si="25"/>
        <v>0</v>
      </c>
      <c r="X40" s="1256">
        <f t="shared" si="26"/>
        <v>1.6741278891404059</v>
      </c>
      <c r="Y40" s="1256">
        <f t="shared" si="27"/>
        <v>1.6741278891404059</v>
      </c>
      <c r="Z40" s="1258"/>
    </row>
    <row r="41" spans="1:26" ht="25.9" customHeight="1">
      <c r="A41" s="1247">
        <f t="shared" si="23"/>
        <v>33</v>
      </c>
      <c r="B41" s="1248"/>
      <c r="C41" s="1248"/>
      <c r="D41" s="1248"/>
      <c r="E41" s="1237"/>
      <c r="F41" s="1237"/>
      <c r="G41" s="1238">
        <f t="shared" si="1"/>
        <v>0</v>
      </c>
      <c r="H41" s="1237"/>
      <c r="I41" s="1248"/>
      <c r="J41" s="1249"/>
      <c r="K41" s="1248"/>
      <c r="L41" s="1248"/>
      <c r="M41" s="1248"/>
      <c r="N41" s="1248"/>
      <c r="O41" s="1250"/>
      <c r="P41" s="1251"/>
      <c r="Q41" s="1251"/>
      <c r="R41" s="1252"/>
      <c r="S41" s="1253"/>
      <c r="T41" s="1254">
        <f t="shared" si="28"/>
        <v>0.8</v>
      </c>
      <c r="U41" s="1255" cm="1">
        <f t="array" ref="U41">EBOM_Factor</f>
        <v>0</v>
      </c>
      <c r="V41" s="1255">
        <f t="shared" si="29"/>
        <v>0</v>
      </c>
      <c r="W41" s="1256">
        <f t="shared" si="25"/>
        <v>0</v>
      </c>
      <c r="X41" s="1256">
        <f t="shared" si="26"/>
        <v>0</v>
      </c>
      <c r="Y41" s="1256">
        <f t="shared" si="27"/>
        <v>0</v>
      </c>
      <c r="Z41" s="1258"/>
    </row>
    <row r="42" spans="1:26" ht="76.150000000000006" customHeight="1">
      <c r="A42" s="1247">
        <f t="shared" ref="A42:A45" si="30">ROW()-8</f>
        <v>34</v>
      </c>
      <c r="B42" s="1248" t="s">
        <v>3504</v>
      </c>
      <c r="C42" s="1248" t="s">
        <v>4280</v>
      </c>
      <c r="D42" s="1249" t="s">
        <v>4104</v>
      </c>
      <c r="E42" s="1237"/>
      <c r="F42" s="1237">
        <v>1</v>
      </c>
      <c r="G42" s="1238">
        <f t="shared" si="1"/>
        <v>1</v>
      </c>
      <c r="H42" s="1237" t="s">
        <v>3491</v>
      </c>
      <c r="I42" s="1248" t="s">
        <v>4251</v>
      </c>
      <c r="J42" s="1249" t="s">
        <v>4249</v>
      </c>
      <c r="K42" s="1248" t="s">
        <v>4250</v>
      </c>
      <c r="L42" s="1248"/>
      <c r="M42" s="1248">
        <v>8</v>
      </c>
      <c r="N42" s="1248" t="s">
        <v>4252</v>
      </c>
      <c r="O42" s="1323" t="s">
        <v>4253</v>
      </c>
      <c r="P42" s="1251">
        <v>1000</v>
      </c>
      <c r="Q42" s="1251"/>
      <c r="R42" s="1252">
        <v>0.35087000000000002</v>
      </c>
      <c r="S42" s="1253">
        <v>45453</v>
      </c>
      <c r="T42" s="1254">
        <f t="shared" ref="T42" si="31">Project_Factor</f>
        <v>0.8</v>
      </c>
      <c r="U42" s="1255" cm="1">
        <f t="array" ref="U42">EBOM_Factor</f>
        <v>0.31042683161762363</v>
      </c>
      <c r="V42" s="1255">
        <f t="shared" si="0"/>
        <v>8.7135569927740492E-2</v>
      </c>
      <c r="W42" s="1256">
        <f t="shared" ref="W42:W45" si="32">E42*V42</f>
        <v>0</v>
      </c>
      <c r="X42" s="1256">
        <f t="shared" ref="X42:X45" si="33">F42*V42</f>
        <v>8.7135569927740492E-2</v>
      </c>
      <c r="Y42" s="1256">
        <f t="shared" ref="Y42:Y45" si="34">X42+W42</f>
        <v>8.7135569927740492E-2</v>
      </c>
      <c r="Z42" s="1258"/>
    </row>
    <row r="43" spans="1:26" ht="76.900000000000006" customHeight="1">
      <c r="A43" s="1247">
        <f t="shared" si="30"/>
        <v>35</v>
      </c>
      <c r="B43" s="1248" t="s">
        <v>3504</v>
      </c>
      <c r="C43" s="1248" t="s">
        <v>4289</v>
      </c>
      <c r="D43" s="1249" t="s">
        <v>4105</v>
      </c>
      <c r="E43" s="1237"/>
      <c r="F43" s="1237">
        <v>1</v>
      </c>
      <c r="G43" s="1238">
        <f t="shared" si="1"/>
        <v>1</v>
      </c>
      <c r="H43" s="1237" t="s">
        <v>3491</v>
      </c>
      <c r="I43" s="1248" t="s">
        <v>4255</v>
      </c>
      <c r="J43" s="1249" t="s">
        <v>4254</v>
      </c>
      <c r="K43" s="1248" t="s">
        <v>4255</v>
      </c>
      <c r="L43" s="1248"/>
      <c r="M43" s="1248">
        <v>14</v>
      </c>
      <c r="N43" s="1248" t="s">
        <v>4256</v>
      </c>
      <c r="O43" s="1323" t="s">
        <v>4257</v>
      </c>
      <c r="P43" s="1251">
        <v>1250</v>
      </c>
      <c r="Q43" s="1251"/>
      <c r="R43" s="1252">
        <v>2.2975099999999999</v>
      </c>
      <c r="S43" s="1253">
        <v>45453</v>
      </c>
      <c r="T43" s="1254">
        <f t="shared" ref="T43" si="35">Project_Factor</f>
        <v>0.8</v>
      </c>
      <c r="U43" s="1255" cm="1">
        <f t="array" ref="U43">EBOM_Factor</f>
        <v>0.32278883509773859</v>
      </c>
      <c r="V43" s="1255">
        <f t="shared" si="0"/>
        <v>0.5932884612203243</v>
      </c>
      <c r="W43" s="1256">
        <f t="shared" si="32"/>
        <v>0</v>
      </c>
      <c r="X43" s="1256">
        <f t="shared" si="33"/>
        <v>0.5932884612203243</v>
      </c>
      <c r="Y43" s="1256">
        <f t="shared" si="34"/>
        <v>0.5932884612203243</v>
      </c>
      <c r="Z43" s="1258"/>
    </row>
    <row r="44" spans="1:26" ht="86.45" customHeight="1">
      <c r="A44" s="1247">
        <f t="shared" si="30"/>
        <v>36</v>
      </c>
      <c r="B44" s="1248" t="s">
        <v>3504</v>
      </c>
      <c r="C44" s="1248"/>
      <c r="D44" s="1249" t="s">
        <v>4099</v>
      </c>
      <c r="E44" s="1237"/>
      <c r="F44" s="1237">
        <v>1</v>
      </c>
      <c r="G44" s="1238">
        <f t="shared" si="1"/>
        <v>1</v>
      </c>
      <c r="H44" s="1237" t="s">
        <v>3491</v>
      </c>
      <c r="I44" s="1248"/>
      <c r="J44" s="1249" t="s">
        <v>4259</v>
      </c>
      <c r="K44" s="1248" t="s">
        <v>4258</v>
      </c>
      <c r="L44" s="1248"/>
      <c r="M44" s="1248">
        <v>54</v>
      </c>
      <c r="N44" s="1248" t="s">
        <v>4261</v>
      </c>
      <c r="O44" s="1323" t="s">
        <v>4260</v>
      </c>
      <c r="P44" s="1251">
        <v>1000</v>
      </c>
      <c r="Q44" s="1251"/>
      <c r="R44" s="1252">
        <v>4.5410000000000004</v>
      </c>
      <c r="S44" s="1253">
        <v>45453</v>
      </c>
      <c r="T44" s="1254">
        <f t="shared" ref="T44" si="36">Project_Factor</f>
        <v>0.8</v>
      </c>
      <c r="U44" s="1255" cm="1">
        <f t="array" ref="U44">EBOM_Factor</f>
        <v>0.31042683161762363</v>
      </c>
      <c r="V44" s="1255">
        <f t="shared" si="0"/>
        <v>1.1277185939005034</v>
      </c>
      <c r="W44" s="1256">
        <f t="shared" si="32"/>
        <v>0</v>
      </c>
      <c r="X44" s="1256">
        <f t="shared" si="33"/>
        <v>1.1277185939005034</v>
      </c>
      <c r="Y44" s="1256">
        <f t="shared" si="34"/>
        <v>1.1277185939005034</v>
      </c>
      <c r="Z44" s="1258"/>
    </row>
    <row r="45" spans="1:26" ht="25.9" customHeight="1">
      <c r="A45" s="1247">
        <f t="shared" si="30"/>
        <v>37</v>
      </c>
      <c r="B45" s="1248"/>
      <c r="C45" s="1248"/>
      <c r="D45" s="1248"/>
      <c r="E45" s="1237"/>
      <c r="F45" s="1237"/>
      <c r="G45" s="1238">
        <f t="shared" ref="G45" si="37">E45+F45</f>
        <v>0</v>
      </c>
      <c r="H45" s="1237"/>
      <c r="I45" s="1248"/>
      <c r="J45" s="1249"/>
      <c r="K45" s="1248"/>
      <c r="L45" s="1248"/>
      <c r="M45" s="1248"/>
      <c r="N45" s="1248"/>
      <c r="O45" s="1250"/>
      <c r="P45" s="1251"/>
      <c r="Q45" s="1251"/>
      <c r="R45" s="1252"/>
      <c r="S45" s="1253"/>
      <c r="T45" s="1254">
        <f t="shared" ref="T45" si="38">Project_Factor</f>
        <v>0.8</v>
      </c>
      <c r="U45" s="1255" cm="1">
        <f t="array" ref="U45">EBOM_Factor</f>
        <v>0</v>
      </c>
      <c r="V45" s="1255">
        <f t="shared" si="0"/>
        <v>0</v>
      </c>
      <c r="W45" s="1256">
        <f t="shared" si="32"/>
        <v>0</v>
      </c>
      <c r="X45" s="1256">
        <f t="shared" si="33"/>
        <v>0</v>
      </c>
      <c r="Y45" s="1256">
        <f t="shared" si="34"/>
        <v>0</v>
      </c>
      <c r="Z45" s="1258"/>
    </row>
    <row r="46" spans="1:26" ht="25.9" customHeight="1">
      <c r="A46" s="1261"/>
      <c r="B46" s="1262" t="s">
        <v>3537</v>
      </c>
      <c r="C46" s="1262"/>
      <c r="D46" s="1262"/>
      <c r="E46" s="1262"/>
      <c r="F46" s="1262"/>
      <c r="G46" s="1262"/>
      <c r="H46" s="1262"/>
      <c r="I46" s="1262"/>
      <c r="J46" s="1262"/>
      <c r="K46" s="1262"/>
      <c r="L46" s="1262"/>
      <c r="M46" s="1262"/>
      <c r="N46" s="1262"/>
      <c r="O46" s="1262"/>
      <c r="P46" s="1262"/>
      <c r="Q46" s="1262"/>
      <c r="R46" s="1263">
        <f>SUM(R6:R45)</f>
        <v>28.594489999999997</v>
      </c>
      <c r="S46" s="1262"/>
      <c r="T46" s="1262"/>
      <c r="U46" s="1264"/>
      <c r="V46" s="1264"/>
      <c r="W46" s="1264">
        <f>SUM(EBOM48[Price Top Side])</f>
        <v>5.1839857816538313</v>
      </c>
      <c r="X46" s="1264">
        <f>SUM(EBOM48[Price Bottom Side])</f>
        <v>3.7685905141889746</v>
      </c>
      <c r="Y46" s="1264">
        <f>SUM(EBOM48[Total Price])</f>
        <v>10.024187102699948</v>
      </c>
      <c r="Z46" s="1264"/>
    </row>
    <row r="47" spans="1:26" ht="25.9" customHeight="1"/>
    <row r="48" spans="1:26" ht="25.9" customHeight="1" thickBot="1">
      <c r="E48" s="1265"/>
      <c r="F48" s="1265"/>
      <c r="G48" s="1265"/>
      <c r="H48" s="1437" t="s">
        <v>3529</v>
      </c>
      <c r="I48" s="1437"/>
      <c r="K48" s="1437" t="s">
        <v>3530</v>
      </c>
      <c r="L48" s="1437"/>
      <c r="N48" s="1265"/>
      <c r="P48" s="1265"/>
      <c r="Q48" s="1265"/>
      <c r="R48" s="1266"/>
      <c r="S48" s="1267"/>
      <c r="T48" s="1267"/>
      <c r="U48" s="1268"/>
      <c r="V48" s="1269"/>
      <c r="X48" s="1265"/>
    </row>
    <row r="49" spans="5:24" ht="25.9" customHeight="1">
      <c r="E49" s="1265"/>
      <c r="F49" s="1265"/>
      <c r="G49" s="1265"/>
      <c r="H49" s="1270" t="s">
        <v>3491</v>
      </c>
      <c r="I49" s="1271">
        <f>SUMIF(EBOM48[SMD/THT],"SMD",EBOM48[Quantity 
Top Side])</f>
        <v>81</v>
      </c>
      <c r="K49" s="1270" t="s">
        <v>3491</v>
      </c>
      <c r="L49" s="1271">
        <f>SUMIF(EBOM48[SMD/THT],"SMD",EBOM48[Quantity 
Bottom Side])</f>
        <v>137</v>
      </c>
      <c r="N49" s="1265"/>
      <c r="R49" s="1266"/>
      <c r="S49" s="1267"/>
      <c r="T49" s="1267"/>
      <c r="U49" s="1268"/>
      <c r="V49" s="1269"/>
      <c r="W49" s="1268"/>
      <c r="X49" s="1265"/>
    </row>
    <row r="50" spans="5:24" ht="25.9" customHeight="1">
      <c r="E50" s="1265"/>
      <c r="F50" s="1265"/>
      <c r="G50" s="1265"/>
      <c r="H50" s="1272" t="s">
        <v>3498</v>
      </c>
      <c r="I50" s="1273">
        <f>SUMIF(EBOM48[SMD/THT],"THT-radial",EBOM48[Quantity 
Top Side])</f>
        <v>0</v>
      </c>
      <c r="K50" s="1272" t="s">
        <v>3498</v>
      </c>
      <c r="L50" s="1273">
        <f>SUMIF(EBOM48[SMD/THT],"THT-radial",EBOM48[Quantity 
Bottom Side])</f>
        <v>0</v>
      </c>
      <c r="N50" s="1265"/>
      <c r="R50" s="1266"/>
      <c r="S50" s="1267"/>
      <c r="T50" s="1267"/>
      <c r="U50" s="1268"/>
      <c r="V50" s="1269"/>
      <c r="W50" s="1268"/>
      <c r="X50" s="1265"/>
    </row>
    <row r="51" spans="5:24" ht="25.9" customHeight="1">
      <c r="E51" s="1265"/>
      <c r="F51" s="1265"/>
      <c r="G51" s="1265"/>
      <c r="H51" s="1272" t="s">
        <v>3499</v>
      </c>
      <c r="I51" s="1273">
        <f>SUMIF(EBOM48[SMD/THT],"THT-axial",EBOM48[Quantity 
Top Side])</f>
        <v>0</v>
      </c>
      <c r="K51" s="1272" t="s">
        <v>3499</v>
      </c>
      <c r="L51" s="1273">
        <f>SUMIF(EBOM48[SMD/THT],"THT-axial",EBOM48[Quantity 
Bottom Side])</f>
        <v>0</v>
      </c>
      <c r="N51" s="1265"/>
      <c r="R51" s="1266"/>
      <c r="S51" s="1267"/>
      <c r="T51" s="1267"/>
      <c r="U51" s="1268"/>
      <c r="V51" s="1269"/>
      <c r="W51" s="1268"/>
      <c r="X51" s="1265"/>
    </row>
    <row r="52" spans="5:24" ht="25.9" customHeight="1" thickBot="1">
      <c r="E52" s="1265"/>
      <c r="F52" s="1265"/>
      <c r="G52" s="1265"/>
      <c r="H52" s="1274" t="s">
        <v>3548</v>
      </c>
      <c r="I52" s="1275">
        <f>SUMIF(EBOM48[SMD/THT],H52,EBOM48[Quantity 
Top Side])</f>
        <v>0</v>
      </c>
      <c r="K52" s="1274" t="s">
        <v>3548</v>
      </c>
      <c r="L52" s="1275">
        <f>SUMIF(EBOM48[SMD/THT],K52,EBOM48[Quantity 
Bottom Side])</f>
        <v>0</v>
      </c>
      <c r="N52" s="1265"/>
      <c r="R52" s="1266"/>
      <c r="S52" s="1267"/>
      <c r="T52" s="1267"/>
      <c r="U52" s="1268"/>
      <c r="V52" s="1269"/>
      <c r="W52" s="1268"/>
      <c r="X52" s="1265"/>
    </row>
    <row r="53" spans="5:24" ht="25.9" customHeight="1" thickBot="1"/>
    <row r="54" spans="5:24" ht="25.9" customHeight="1">
      <c r="H54" s="1276" t="s">
        <v>4070</v>
      </c>
      <c r="I54" s="1277" t="str">
        <f>H48</f>
        <v>TOP SIDE</v>
      </c>
      <c r="J54" s="1278" t="str">
        <f>K48</f>
        <v>BOTTOM SIDE</v>
      </c>
    </row>
    <row r="55" spans="5:24" ht="25.9" customHeight="1">
      <c r="H55" s="1279" t="str">
        <f>C86</f>
        <v>Resistor</v>
      </c>
      <c r="I55" s="1237">
        <f>SUMIFS(EBOM48[Quantity 
Top Side],EBOM48[SMD/THT],"SMD",EBOM48[Type],H55)</f>
        <v>39</v>
      </c>
      <c r="J55" s="1280">
        <f>SUMIFS(EBOM48[Quantity 
Bottom Side],EBOM48[SMD/THT],"SMD",EBOM48[Type],H55)</f>
        <v>51</v>
      </c>
    </row>
    <row r="56" spans="5:24" ht="25.9" customHeight="1">
      <c r="H56" s="1279" t="str">
        <f>C84</f>
        <v>Capacitor</v>
      </c>
      <c r="I56" s="1237">
        <f>SUMIFS(EBOM48[Quantity 
Top Side],EBOM48[SMD/THT],"SMD",EBOM48[Type],H56)</f>
        <v>27</v>
      </c>
      <c r="J56" s="1280">
        <f>SUMIFS(EBOM48[Quantity 
Bottom Side],EBOM48[SMD/THT],"SMD",EBOM48[Type],H56)</f>
        <v>78</v>
      </c>
    </row>
    <row r="57" spans="5:24" ht="25.9" customHeight="1">
      <c r="H57" s="1279" t="s">
        <v>3550</v>
      </c>
      <c r="I57" s="1237">
        <f>IF((SUMIFS(EBOM48[Quantity 
Top Side],EBOM48[SMD/THT],"SMD",EBOM48[Source],"Shortlist")+SUMIFS(EBOM48[Quantity 
Top Side],EBOM48[SMD/THT],"SMD",EBOM48[Source],"Standard")-I55-I56)&lt;0,"Tabellenspalte 'Link' ausfüllen",SUMIFS(EBOM48[Quantity 
Top Side],EBOM48[SMD/THT],"SMD",EBOM48[Source],"Shortlist")+SUMIFS(EBOM48[Quantity 
Top Side],EBOM48[SMD/THT],"SMD",EBOM48[Source],"Standard")-I55-I56)</f>
        <v>4</v>
      </c>
      <c r="J57" s="1280">
        <f>IF((SUMIFS(EBOM48[Quantity 
Bottom Side],EBOM48[SMD/THT],"SMD",EBOM48[Source],"Shortlist")+SUMIFS(EBOM48[Quantity 
Bottom Side],EBOM48[SMD/THT],"SMD",EBOM48[Source],"Standard")-J55-J56)&lt;0,"Tabellenspalte 'Link' ausfüllen",SUMIFS(EBOM48[Quantity 
Bottom Side],EBOM48[SMD/THT],"SMD",EBOM48[Source],"Shortlist")+SUMIFS(EBOM48[Quantity 
Bottom Side],EBOM48[SMD/THT],"SMD",EBOM48[Source],"Standard")-J55-J56)</f>
        <v>3</v>
      </c>
    </row>
    <row r="58" spans="5:24" ht="25.9" customHeight="1">
      <c r="H58" s="1279" t="s">
        <v>3551</v>
      </c>
      <c r="I58" s="1237">
        <f>I49-I55-I56-I57-I59</f>
        <v>5</v>
      </c>
      <c r="J58" s="1280">
        <f>L49-J55-J56-J57-J59</f>
        <v>5</v>
      </c>
    </row>
    <row r="59" spans="5:24" ht="25.9" customHeight="1" thickBot="1">
      <c r="H59" s="1281" t="s">
        <v>3552</v>
      </c>
      <c r="I59" s="1282">
        <f>I60+I61</f>
        <v>6</v>
      </c>
      <c r="J59" s="1283"/>
    </row>
    <row r="60" spans="5:24" ht="25.9" customHeight="1">
      <c r="H60" s="1284" t="s">
        <v>3504</v>
      </c>
      <c r="I60" s="1285">
        <f>SUMIFS(EBOM48[Quantity 
Top Side],EBOM48[Group],H60,EBOM48[SMD/THT],"SMD")</f>
        <v>6</v>
      </c>
      <c r="J60" s="1286">
        <f>SUMIFS(EBOM48[Quantity 
Bottom Side],EBOM48[SMD/THT],"SMD",EBOM48[Group],H60)</f>
        <v>3</v>
      </c>
    </row>
    <row r="61" spans="5:24" ht="25.9" customHeight="1">
      <c r="H61" s="1287" t="s">
        <v>3540</v>
      </c>
      <c r="I61" s="1288">
        <f>SUMIFS(EBOM48[Quantity 
Top Side],EBOM48[Group],H61,EBOM48[SMD/THT],"SMD")</f>
        <v>0</v>
      </c>
      <c r="J61" s="1289">
        <f>SUMIFS(EBOM48[Quantity 
Bottom Side],EBOM48[SMD/THT],"SMD",EBOM48[Group],H61)</f>
        <v>0</v>
      </c>
    </row>
    <row r="62" spans="5:24" ht="25.9" customHeight="1"/>
    <row r="63" spans="5:24" ht="25.9" customHeight="1"/>
    <row r="64" spans="5:24" ht="25.9" customHeight="1"/>
    <row r="65" spans="1:11" ht="25.9" customHeight="1"/>
    <row r="66" spans="1:11" ht="25.9" customHeight="1"/>
    <row r="67" spans="1:11" ht="25.9" hidden="1" customHeight="1" thickBot="1">
      <c r="A67" s="1290" t="s">
        <v>4071</v>
      </c>
      <c r="B67" s="1291"/>
      <c r="C67" s="1291"/>
      <c r="D67" s="1291"/>
      <c r="E67" s="1291"/>
      <c r="F67" s="1291"/>
      <c r="G67" s="1291"/>
      <c r="H67" s="1291"/>
      <c r="I67" s="1291"/>
      <c r="J67" s="1291"/>
      <c r="K67" s="1292"/>
    </row>
    <row r="68" spans="1:11" ht="25.9" hidden="1" customHeight="1">
      <c r="A68" s="1293" t="s">
        <v>4071</v>
      </c>
      <c r="H68" s="1276" t="s">
        <v>4070</v>
      </c>
      <c r="I68" s="1277" t="str">
        <f>H48</f>
        <v>TOP SIDE</v>
      </c>
      <c r="J68" s="1278" t="str">
        <f>K48</f>
        <v>BOTTOM SIDE</v>
      </c>
      <c r="K68" s="1286"/>
    </row>
    <row r="69" spans="1:11" ht="25.9" hidden="1" customHeight="1">
      <c r="A69" s="1293" t="s">
        <v>4071</v>
      </c>
      <c r="H69" s="1279" t="s">
        <v>3560</v>
      </c>
      <c r="I69" s="1237">
        <f>SUMIFS(EBOM48[Quantity 
Top Side],EBOM48[SMD/THT],"SMD",EBOM48[Type],H69)</f>
        <v>39</v>
      </c>
      <c r="J69" s="1280">
        <f>SUMIFS(EBOM48[Quantity 
Bottom Side],EBOM48[SMD/THT],"SMD",EBOM48[Type],"Widerstand")</f>
        <v>0</v>
      </c>
      <c r="K69" s="1286"/>
    </row>
    <row r="70" spans="1:11" ht="25.9" hidden="1" customHeight="1">
      <c r="A70" s="1293" t="s">
        <v>4071</v>
      </c>
      <c r="H70" s="1279" t="s">
        <v>3558</v>
      </c>
      <c r="I70" s="1237">
        <f>SUMIFS(EBOM48[Quantity 
Top Side],EBOM48[SMD/THT],"SMD",EBOM48[Type],H70)</f>
        <v>27</v>
      </c>
      <c r="J70" s="1280">
        <f>SUMIFS(EBOM48[Quantity 
Bottom Side],EBOM48[SMD/THT],"SMD",EBOM48[Type],"Kondensator")</f>
        <v>0</v>
      </c>
      <c r="K70" s="1286"/>
    </row>
    <row r="71" spans="1:11" ht="25.9" hidden="1" customHeight="1">
      <c r="A71" s="1293" t="s">
        <v>4071</v>
      </c>
      <c r="H71" s="1279" t="s">
        <v>3550</v>
      </c>
      <c r="I71" s="1237">
        <f>SUMIFS(EBOM48[Quantity 
Top Side],EBOM48[SMD/THT],"SMD",EBOM48[Source],"Shortlist")+SUMIFS(EBOM48[Quantity 
Top Side],EBOM48[SMD/THT],"SMD",EBOM48[Source],"Standard")-I70-I69</f>
        <v>4</v>
      </c>
      <c r="J71" s="1280">
        <f>SUMIFS(EBOM48[Quantity 
Bottom Side],EBOM48[SMD/THT],"SMD",EBOM48[Source],"Standard")-J70-J69</f>
        <v>132</v>
      </c>
      <c r="K71" s="1286"/>
    </row>
    <row r="72" spans="1:11" ht="25.9" hidden="1" customHeight="1">
      <c r="A72" s="1293" t="s">
        <v>4071</v>
      </c>
      <c r="H72" s="1279" t="s">
        <v>3551</v>
      </c>
      <c r="I72" s="1237">
        <f>I49-I69-I70-I71-I73</f>
        <v>5</v>
      </c>
      <c r="J72" s="1280">
        <f>L49-J69-J70-J71-J73</f>
        <v>2</v>
      </c>
      <c r="K72" s="1286"/>
    </row>
    <row r="73" spans="1:11" ht="25.9" hidden="1" customHeight="1" thickBot="1">
      <c r="A73" s="1293" t="s">
        <v>4071</v>
      </c>
      <c r="H73" s="1281" t="s">
        <v>3552</v>
      </c>
      <c r="I73" s="1282">
        <f>I74+I75</f>
        <v>6</v>
      </c>
      <c r="J73" s="1283">
        <f>J74+J75</f>
        <v>3</v>
      </c>
      <c r="K73" s="1286"/>
    </row>
    <row r="74" spans="1:11" ht="25.9" hidden="1" customHeight="1">
      <c r="A74" s="1293" t="s">
        <v>4071</v>
      </c>
      <c r="H74" s="1284" t="s">
        <v>3504</v>
      </c>
      <c r="I74" s="1229">
        <f>SUMIFS(EBOM48[Quantity 
Top Side],EBOM48[SMD/THT],"SMD",EBOM48[Group],H74)</f>
        <v>6</v>
      </c>
      <c r="J74" s="1286">
        <f>SUMIFS(EBOM48[Quantity 
Bottom Side],EBOM48[SMD/THT],"SMD",EBOM48[Group],H74)</f>
        <v>3</v>
      </c>
      <c r="K74" s="1286"/>
    </row>
    <row r="75" spans="1:11" ht="25.9" hidden="1" customHeight="1">
      <c r="A75" s="1293" t="s">
        <v>4071</v>
      </c>
      <c r="H75" s="1287" t="s">
        <v>3540</v>
      </c>
      <c r="I75" s="1294">
        <f>SUMIFS(EBOM48[Quantity 
Top Side],EBOM48[SMD/THT],"SMD",EBOM48[Group],H75)</f>
        <v>0</v>
      </c>
      <c r="J75" s="1289">
        <f>SUMIFS(EBOM48[Quantity 
Bottom Side],EBOM48[SMD/THT],"SMD",EBOM48[Group],H75)</f>
        <v>0</v>
      </c>
      <c r="K75" s="1286"/>
    </row>
    <row r="76" spans="1:11" ht="25.9" hidden="1" customHeight="1">
      <c r="A76" s="1293" t="s">
        <v>4071</v>
      </c>
      <c r="K76" s="1286"/>
    </row>
    <row r="77" spans="1:11" ht="25.9" hidden="1" customHeight="1">
      <c r="A77" s="1293" t="s">
        <v>4071</v>
      </c>
      <c r="K77" s="1286"/>
    </row>
    <row r="78" spans="1:11" ht="25.9" hidden="1" customHeight="1">
      <c r="A78" s="1293" t="s">
        <v>4071</v>
      </c>
      <c r="K78" s="1286"/>
    </row>
    <row r="79" spans="1:11" ht="25.9" hidden="1" customHeight="1">
      <c r="A79" s="1293" t="s">
        <v>4071</v>
      </c>
      <c r="K79" s="1286"/>
    </row>
    <row r="80" spans="1:11" ht="25.9" hidden="1" customHeight="1">
      <c r="A80" s="1293" t="s">
        <v>4071</v>
      </c>
      <c r="K80" s="1286"/>
    </row>
    <row r="81" spans="1:20" ht="25.9" hidden="1" customHeight="1">
      <c r="A81" s="1293" t="s">
        <v>4071</v>
      </c>
      <c r="B81" s="1435" t="s">
        <v>4072</v>
      </c>
      <c r="C81" s="1436"/>
      <c r="K81" s="1286"/>
    </row>
    <row r="82" spans="1:20" ht="25.9" hidden="1" customHeight="1">
      <c r="A82" s="1293" t="s">
        <v>4071</v>
      </c>
      <c r="B82" s="1296" t="s">
        <v>4073</v>
      </c>
      <c r="C82" s="1297" t="s">
        <v>3514</v>
      </c>
      <c r="D82" s="1296" t="s">
        <v>3472</v>
      </c>
      <c r="F82" s="1297" t="s">
        <v>3558</v>
      </c>
      <c r="G82" s="1297" t="s">
        <v>3560</v>
      </c>
      <c r="H82" s="1297" t="s">
        <v>3495</v>
      </c>
      <c r="I82" s="1297" t="s">
        <v>3557</v>
      </c>
      <c r="J82" s="1297" t="s">
        <v>3559</v>
      </c>
      <c r="K82" s="1286"/>
      <c r="Q82" s="1298"/>
      <c r="T82" s="1229"/>
    </row>
    <row r="83" spans="1:20" ht="25.9" hidden="1" customHeight="1">
      <c r="A83" s="1293" t="s">
        <v>4071</v>
      </c>
      <c r="B83" s="1299" t="s">
        <v>3538</v>
      </c>
      <c r="C83" s="1229" t="s">
        <v>3557</v>
      </c>
      <c r="D83" s="1299" t="s">
        <v>3491</v>
      </c>
      <c r="F83" s="1229" t="s">
        <v>4074</v>
      </c>
      <c r="G83" s="1295" t="s">
        <v>4074</v>
      </c>
      <c r="H83" s="1229" t="s">
        <v>4075</v>
      </c>
      <c r="I83" s="1229" t="s">
        <v>4074</v>
      </c>
      <c r="J83" s="1229" t="s">
        <v>4074</v>
      </c>
      <c r="K83" s="1286"/>
      <c r="Q83" s="1298"/>
      <c r="T83" s="1229"/>
    </row>
    <row r="84" spans="1:20" ht="25.9" hidden="1" customHeight="1">
      <c r="A84" s="1293" t="s">
        <v>4071</v>
      </c>
      <c r="B84" s="1299" t="s">
        <v>3539</v>
      </c>
      <c r="C84" s="1229" t="s">
        <v>3558</v>
      </c>
      <c r="D84" s="1299" t="s">
        <v>3498</v>
      </c>
      <c r="F84" s="1229" t="s">
        <v>4076</v>
      </c>
      <c r="G84" s="1295" t="s">
        <v>4076</v>
      </c>
      <c r="H84" s="1229" t="s">
        <v>4077</v>
      </c>
      <c r="I84" s="1229" t="s">
        <v>4076</v>
      </c>
      <c r="J84" s="1229" t="s">
        <v>4076</v>
      </c>
      <c r="K84" s="1286"/>
      <c r="Q84" s="1298"/>
      <c r="T84" s="1229"/>
    </row>
    <row r="85" spans="1:20" ht="25.9" hidden="1" customHeight="1">
      <c r="A85" s="1293" t="s">
        <v>4071</v>
      </c>
      <c r="B85" s="1299" t="s">
        <v>3504</v>
      </c>
      <c r="C85" s="1229" t="s">
        <v>3559</v>
      </c>
      <c r="D85" s="1299" t="s">
        <v>3499</v>
      </c>
      <c r="F85" s="1229" t="s">
        <v>4078</v>
      </c>
      <c r="G85" s="1295" t="s">
        <v>4078</v>
      </c>
      <c r="H85" s="1229" t="s">
        <v>4079</v>
      </c>
      <c r="I85" s="1229" t="s">
        <v>4078</v>
      </c>
      <c r="J85" s="1229" t="s">
        <v>4078</v>
      </c>
      <c r="K85" s="1286"/>
      <c r="Q85" s="1298"/>
      <c r="T85" s="1229"/>
    </row>
    <row r="86" spans="1:20" ht="25.9" hidden="1" customHeight="1">
      <c r="A86" s="1293" t="s">
        <v>4071</v>
      </c>
      <c r="B86" s="1299" t="s">
        <v>3564</v>
      </c>
      <c r="C86" s="1229" t="s">
        <v>3560</v>
      </c>
      <c r="D86" s="1299" t="s">
        <v>3548</v>
      </c>
      <c r="F86" s="1229" t="s">
        <v>4080</v>
      </c>
      <c r="G86" s="1295" t="s">
        <v>4080</v>
      </c>
      <c r="H86" s="1229" t="s">
        <v>4081</v>
      </c>
      <c r="I86" s="1229" t="s">
        <v>4080</v>
      </c>
      <c r="J86" s="1229" t="s">
        <v>4080</v>
      </c>
      <c r="K86" s="1286"/>
      <c r="Q86" s="1298"/>
      <c r="T86" s="1229"/>
    </row>
    <row r="87" spans="1:20" ht="25.9" hidden="1" customHeight="1">
      <c r="A87" s="1293" t="s">
        <v>4071</v>
      </c>
      <c r="B87" s="1299" t="s">
        <v>3540</v>
      </c>
      <c r="C87" s="1229" t="s">
        <v>3495</v>
      </c>
      <c r="D87" s="1299"/>
      <c r="F87" s="1229" t="s">
        <v>4082</v>
      </c>
      <c r="G87" s="1295" t="s">
        <v>4082</v>
      </c>
      <c r="H87" s="1229" t="s">
        <v>4083</v>
      </c>
      <c r="K87" s="1286"/>
      <c r="Q87" s="1298"/>
      <c r="T87" s="1229"/>
    </row>
    <row r="88" spans="1:20" ht="25.9" hidden="1" customHeight="1">
      <c r="A88" s="1293" t="s">
        <v>4071</v>
      </c>
      <c r="B88" s="1299" t="s">
        <v>3541</v>
      </c>
      <c r="C88" s="1229" t="s">
        <v>3561</v>
      </c>
      <c r="D88" s="1299"/>
      <c r="G88" s="1295" t="s">
        <v>4084</v>
      </c>
      <c r="H88" s="1229" t="s">
        <v>4085</v>
      </c>
      <c r="K88" s="1286"/>
      <c r="Q88" s="1298"/>
      <c r="T88" s="1229"/>
    </row>
    <row r="89" spans="1:20" ht="25.9" hidden="1" customHeight="1">
      <c r="A89" s="1293" t="s">
        <v>4071</v>
      </c>
      <c r="B89" s="1299" t="s">
        <v>3542</v>
      </c>
      <c r="C89" s="1229" t="s">
        <v>3562</v>
      </c>
      <c r="D89" s="1299"/>
      <c r="G89" s="1295" t="s">
        <v>4086</v>
      </c>
      <c r="H89" s="1229" t="s">
        <v>4087</v>
      </c>
      <c r="K89" s="1286"/>
      <c r="Q89" s="1298"/>
      <c r="T89" s="1229"/>
    </row>
    <row r="90" spans="1:20" ht="25.9" hidden="1" customHeight="1">
      <c r="A90" s="1293" t="s">
        <v>4071</v>
      </c>
      <c r="B90" s="1299" t="s">
        <v>3511</v>
      </c>
      <c r="C90" s="1229" t="s">
        <v>3563</v>
      </c>
      <c r="D90" s="1299"/>
      <c r="H90" s="1229" t="s">
        <v>4088</v>
      </c>
      <c r="K90" s="1286"/>
      <c r="Q90" s="1298"/>
      <c r="T90" s="1229"/>
    </row>
    <row r="91" spans="1:20" ht="25.9" hidden="1" customHeight="1">
      <c r="A91" s="1293" t="s">
        <v>4071</v>
      </c>
      <c r="B91" s="1300" t="s">
        <v>667</v>
      </c>
      <c r="C91" s="1229" t="s">
        <v>3564</v>
      </c>
      <c r="D91" s="1300"/>
      <c r="H91" s="1229" t="s">
        <v>4089</v>
      </c>
      <c r="K91" s="1286"/>
      <c r="Q91" s="1298"/>
      <c r="T91" s="1229"/>
    </row>
    <row r="92" spans="1:20" ht="25.9" hidden="1" customHeight="1">
      <c r="A92" s="1293" t="s">
        <v>4071</v>
      </c>
      <c r="H92" s="1229" t="s">
        <v>4090</v>
      </c>
      <c r="K92" s="1286"/>
      <c r="Q92" s="1298"/>
      <c r="T92" s="1229"/>
    </row>
    <row r="93" spans="1:20" ht="25.9" hidden="1" customHeight="1">
      <c r="A93" s="1293" t="s">
        <v>4071</v>
      </c>
      <c r="B93" s="1229" t="s">
        <v>54</v>
      </c>
      <c r="C93" s="1229" t="str">
        <f>IF(Language="EN","Please enter price","Bitte Preis eintragen")</f>
        <v>Please enter price</v>
      </c>
      <c r="H93" s="1229" t="s">
        <v>4091</v>
      </c>
      <c r="K93" s="1286"/>
      <c r="Q93" s="1298"/>
      <c r="T93" s="1229"/>
    </row>
    <row r="94" spans="1:20" ht="25.9" hidden="1" customHeight="1">
      <c r="A94" s="1293" t="s">
        <v>4071</v>
      </c>
      <c r="H94" s="1229" t="s">
        <v>4092</v>
      </c>
      <c r="K94" s="1286"/>
      <c r="Q94" s="1298"/>
      <c r="T94" s="1229"/>
    </row>
    <row r="95" spans="1:20" ht="25.9" hidden="1" customHeight="1">
      <c r="A95" s="1293" t="s">
        <v>4071</v>
      </c>
      <c r="H95" s="1229" t="s">
        <v>4093</v>
      </c>
      <c r="K95" s="1286"/>
      <c r="Q95" s="1298"/>
      <c r="T95" s="1229"/>
    </row>
    <row r="96" spans="1:20" ht="25.9" hidden="1" customHeight="1">
      <c r="A96" s="1301" t="s">
        <v>4071</v>
      </c>
      <c r="B96" s="1294"/>
      <c r="C96" s="1294"/>
      <c r="D96" s="1294"/>
      <c r="E96" s="1294"/>
      <c r="F96" s="1294"/>
      <c r="G96" s="1294"/>
      <c r="H96" s="1294"/>
      <c r="I96" s="1294"/>
      <c r="J96" s="1294"/>
      <c r="K96" s="1289"/>
      <c r="Q96" s="1298"/>
      <c r="T96" s="1229"/>
    </row>
  </sheetData>
  <mergeCells count="4">
    <mergeCell ref="U2:U3"/>
    <mergeCell ref="H48:I48"/>
    <mergeCell ref="K48:L48"/>
    <mergeCell ref="B81:C81"/>
  </mergeCells>
  <conditionalFormatting sqref="R9:R16 T31:T45">
    <cfRule type="cellIs" dxfId="877" priority="11" operator="greaterThan">
      <formula>5</formula>
    </cfRule>
  </conditionalFormatting>
  <conditionalFormatting sqref="J3:L3">
    <cfRule type="cellIs" dxfId="876" priority="10" operator="equal">
      <formula>""</formula>
    </cfRule>
  </conditionalFormatting>
  <conditionalFormatting sqref="O7:O45">
    <cfRule type="cellIs" dxfId="875" priority="9" operator="equal">
      <formula>"[Link]"</formula>
    </cfRule>
  </conditionalFormatting>
  <conditionalFormatting sqref="H3">
    <cfRule type="cellIs" dxfId="874" priority="8" operator="equal">
      <formula>""</formula>
    </cfRule>
  </conditionalFormatting>
  <conditionalFormatting sqref="M7:M45">
    <cfRule type="expression" dxfId="873" priority="7">
      <formula>AND(NOT(ISBLANK(C7)),ISBLANK(M7))</formula>
    </cfRule>
  </conditionalFormatting>
  <conditionalFormatting sqref="R6">
    <cfRule type="cellIs" dxfId="872" priority="6" operator="greaterThan">
      <formula>5</formula>
    </cfRule>
  </conditionalFormatting>
  <conditionalFormatting sqref="O6">
    <cfRule type="cellIs" dxfId="871" priority="5" operator="equal">
      <formula>"[Link]"</formula>
    </cfRule>
  </conditionalFormatting>
  <conditionalFormatting sqref="M6">
    <cfRule type="expression" dxfId="870" priority="4">
      <formula>AND(NOT(ISBLANK(C6)),ISBLANK(M6))</formula>
    </cfRule>
  </conditionalFormatting>
  <conditionalFormatting sqref="W3">
    <cfRule type="cellIs" dxfId="869" priority="3" operator="equal">
      <formula>""</formula>
    </cfRule>
  </conditionalFormatting>
  <conditionalFormatting sqref="T3">
    <cfRule type="cellIs" dxfId="868" priority="2" operator="equal">
      <formula>""</formula>
    </cfRule>
  </conditionalFormatting>
  <conditionalFormatting sqref="T45">
    <cfRule type="cellIs" dxfId="867" priority="1" operator="greaterThan">
      <formula>5</formula>
    </cfRule>
  </conditionalFormatting>
  <dataValidations xWindow="185" yWindow="541" count="8">
    <dataValidation type="list" allowBlank="1" showInputMessage="1" showErrorMessage="1" sqref="B9:B29 B31:B45" xr:uid="{3FCF2575-65CF-4740-8340-5A6E5C811F15}">
      <formula1>$B$83:$B$91</formula1>
    </dataValidation>
    <dataValidation allowBlank="1" prompt="andere Eingaben möglich - im Dropdown sind die häufigsten aufgelistet" sqref="C6:C7" xr:uid="{0C5FE160-138A-4C06-8027-FA17786D6B92}"/>
    <dataValidation type="list" allowBlank="1" showInputMessage="1" showErrorMessage="1" sqref="H4" xr:uid="{CC3F3C67-09FD-45CF-B4D3-1C914F4361EE}">
      <formula1>"2-layers,4-layers,6-layers,8-layers,10-layers,12-layers"</formula1>
    </dataValidation>
    <dataValidation type="list" allowBlank="1" showInputMessage="1" showErrorMessage="1" sqref="G4 L3" xr:uid="{3910E029-0CA5-408D-80C2-5B10E8864CC8}">
      <formula1>"Standard,HDI, HiFr,IMS (Aluminum)"</formula1>
    </dataValidation>
    <dataValidation type="list" allowBlank="1" showInputMessage="1" prompt="andere Eingaben möglich - im Dropdown sind die häufigsten aufgelistet" sqref="N6:N45" xr:uid="{24ACA00B-B338-420A-8837-8891DCAAC72A}">
      <formula1>IF(OR(C6=$F$82,C6=$G$82,C6=$H$82,C6=$I$82,C6=$J$82),INDIRECT("tbl_Code_housing["&amp;C6&amp;"]"),NA())</formula1>
    </dataValidation>
    <dataValidation type="list" allowBlank="1" showInputMessage="1" prompt="andere Eingaben möglich - im Dropdown sind die häufigsten aufgelistet" sqref="C8:C45" xr:uid="{76D5BC58-E352-4F5D-BEA7-229296D381AB}">
      <formula1>$C$83:$C$91</formula1>
    </dataValidation>
    <dataValidation type="list" errorStyle="warning" allowBlank="1" showInputMessage="1" showErrorMessage="1" sqref="H6:H45" xr:uid="{71434EE3-C0F7-45BA-9C1A-D4B6F0C02652}">
      <formula1>$D$83:$D$86</formula1>
    </dataValidation>
    <dataValidation type="list" allowBlank="1" sqref="O6:O45" xr:uid="{559D88D4-D4E6-46FB-936D-078A195DCF92}">
      <formula1>"[Link],Standard,Shortlist"</formula1>
    </dataValidation>
  </dataValidations>
  <hyperlinks>
    <hyperlink ref="O40" r:id="rId1" xr:uid="{8BD8B6B9-C11A-4808-AC60-91E65F99BE43}"/>
    <hyperlink ref="O42" r:id="rId2" xr:uid="{C2D8F00E-5F9C-44FF-9C05-00707BECB4A9}"/>
    <hyperlink ref="O43" r:id="rId3" xr:uid="{DBF99E71-B462-479A-8846-49B0FEA4C922}"/>
    <hyperlink ref="O18" r:id="rId4" xr:uid="{7ED13A0F-EEB6-435A-A75F-42808DFDE85A}"/>
    <hyperlink ref="O19" r:id="rId5" xr:uid="{FA9A577C-79E3-4B07-A6D7-042855BDF500}"/>
    <hyperlink ref="O25" r:id="rId6" xr:uid="{89CCEDD7-086F-4939-9AA7-215944FEBA0C}"/>
    <hyperlink ref="O26" r:id="rId7" xr:uid="{ED64BE19-FF4F-4500-B6B3-54A6D04B1044}"/>
    <hyperlink ref="O24" r:id="rId8" xr:uid="{4345ACC0-1BDC-4D59-895D-7C5C01B2515C}"/>
    <hyperlink ref="O44" r:id="rId9" xr:uid="{31F6FD39-82C1-4BB6-972C-54FC6FC85F09}"/>
    <hyperlink ref="O27" r:id="rId10" xr:uid="{0B555A36-1CFC-4A49-9E79-13BCB35581D3}"/>
    <hyperlink ref="O28" r:id="rId11" xr:uid="{69A17DEF-AC67-445D-9DC2-6B6A4728F4D0}"/>
    <hyperlink ref="O20" r:id="rId12" xr:uid="{D8970363-1D5E-4FD2-9E73-A16F271FA0D5}"/>
    <hyperlink ref="O21" r:id="rId13" xr:uid="{1122E2EC-57E0-44FA-A7E8-C8C1DF54AE4D}"/>
    <hyperlink ref="O22" r:id="rId14" xr:uid="{4A033135-7BF0-4232-8EA6-10A11854C551}"/>
  </hyperlinks>
  <printOptions horizontalCentered="1"/>
  <pageMargins left="0.78740157480314965" right="0.78740157480314965" top="0.78740157480314965" bottom="0.78740157480314965" header="0.51181102362204722" footer="0.51181102362204722"/>
  <pageSetup paperSize="9" scale="46" fitToHeight="5" orientation="landscape" horizontalDpi="300" verticalDpi="300" r:id="rId15"/>
  <headerFooter alignWithMargins="0">
    <oddFooter>Seite &amp;P von &amp;N</oddFooter>
  </headerFooter>
  <drawing r:id="rId16"/>
  <legacyDrawing r:id="rId17"/>
  <tableParts count="3">
    <tablePart r:id="rId18"/>
    <tablePart r:id="rId19"/>
    <tablePart r:id="rId20"/>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5B050B-9D0A-4346-8191-87ED074B74D5}">
  <dimension ref="B3:Q25"/>
  <sheetViews>
    <sheetView zoomScale="85" zoomScaleNormal="85" workbookViewId="0">
      <selection activeCell="C7" sqref="C7"/>
    </sheetView>
  </sheetViews>
  <sheetFormatPr baseColWidth="10" defaultColWidth="12.42578125" defaultRowHeight="15"/>
  <cols>
    <col min="1" max="1" width="2.140625" style="1180" customWidth="1"/>
    <col min="2" max="2" width="32.140625" style="1180" customWidth="1"/>
    <col min="3" max="15" width="13" style="1180" customWidth="1"/>
    <col min="16" max="16" width="13" style="1180" hidden="1" customWidth="1"/>
    <col min="17" max="17" width="13" style="1180" customWidth="1"/>
    <col min="18" max="18" width="2.42578125" style="1180" customWidth="1"/>
    <col min="19" max="16384" width="12.42578125" style="1180"/>
  </cols>
  <sheetData>
    <row r="3" spans="2:17" ht="18.75">
      <c r="B3" s="1227" t="s">
        <v>4067</v>
      </c>
      <c r="C3" s="1226"/>
      <c r="D3" s="1226"/>
      <c r="E3" s="1226"/>
      <c r="F3" s="1226"/>
      <c r="G3" s="1225"/>
    </row>
    <row r="4" spans="2:17">
      <c r="B4" s="1223" t="s">
        <v>4066</v>
      </c>
      <c r="C4" s="1224"/>
      <c r="D4" s="1223" t="s">
        <v>4065</v>
      </c>
      <c r="E4" s="1222"/>
      <c r="F4" s="1222"/>
      <c r="G4" s="1221" t="s">
        <v>4064</v>
      </c>
      <c r="P4" s="1210"/>
    </row>
    <row r="5" spans="2:17">
      <c r="B5" s="1219" t="s">
        <v>3182</v>
      </c>
      <c r="C5" s="1213">
        <v>85</v>
      </c>
      <c r="D5" s="1207"/>
      <c r="E5" s="1206"/>
      <c r="F5" s="1206"/>
      <c r="G5" s="1205"/>
      <c r="K5" s="1220"/>
    </row>
    <row r="6" spans="2:17">
      <c r="B6" s="1219" t="s">
        <v>3184</v>
      </c>
      <c r="C6" s="1213">
        <v>76.599999999999994</v>
      </c>
      <c r="D6" s="1216" t="s">
        <v>4063</v>
      </c>
      <c r="E6" s="1215"/>
      <c r="F6" s="1215"/>
      <c r="G6" s="1214">
        <f>C9*C10</f>
        <v>325160.63999999996</v>
      </c>
      <c r="K6" s="1218"/>
      <c r="P6" s="1210"/>
    </row>
    <row r="7" spans="2:17">
      <c r="B7" s="1207"/>
      <c r="C7" s="1213"/>
      <c r="D7" s="1216" t="s">
        <v>4062</v>
      </c>
      <c r="E7" s="1215"/>
      <c r="F7" s="1215"/>
      <c r="G7" s="1205">
        <f>C5*C6</f>
        <v>6510.9999999999991</v>
      </c>
    </row>
    <row r="8" spans="2:17" ht="33" customHeight="1">
      <c r="B8" s="1217" t="s">
        <v>4061</v>
      </c>
      <c r="C8" s="1213" t="str">
        <f>VLOOKUP(C11,O19:P23,2,FALSE)</f>
        <v>21x24 Inch</v>
      </c>
      <c r="D8" s="1216" t="s">
        <v>4060</v>
      </c>
      <c r="E8" s="1215"/>
      <c r="F8" s="1215"/>
      <c r="G8" s="1214">
        <f>(G6-(G7*C12))/C12</f>
        <v>2521.2399999999998</v>
      </c>
    </row>
    <row r="9" spans="2:17">
      <c r="B9" s="1207" t="s">
        <v>4059</v>
      </c>
      <c r="C9" s="1213">
        <f>VLOOKUP(C8,B18:D23,2,FALSE)*C25</f>
        <v>533.4</v>
      </c>
      <c r="D9" s="1216" t="s">
        <v>4058</v>
      </c>
      <c r="E9" s="1215"/>
      <c r="F9" s="1215"/>
      <c r="G9" s="1214">
        <f>G8+G7</f>
        <v>9032.239999999998</v>
      </c>
    </row>
    <row r="10" spans="2:17">
      <c r="B10" s="1207" t="s">
        <v>4057</v>
      </c>
      <c r="C10" s="1213">
        <f>VLOOKUP(C8,B18:D23,3,FALSE)*C25</f>
        <v>609.59999999999991</v>
      </c>
      <c r="D10" s="1209" t="s">
        <v>4056</v>
      </c>
      <c r="E10" s="1212"/>
      <c r="F10" s="1212"/>
      <c r="G10" s="1211">
        <v>2</v>
      </c>
      <c r="Q10" s="1210"/>
    </row>
    <row r="11" spans="2:17">
      <c r="B11" s="1209" t="s">
        <v>4055</v>
      </c>
      <c r="C11" s="1208">
        <f>MAX(O19:O23)</f>
        <v>0.72086215601002634</v>
      </c>
      <c r="D11" s="1207"/>
      <c r="E11" s="1206"/>
      <c r="F11" s="1206"/>
      <c r="G11" s="1205"/>
    </row>
    <row r="12" spans="2:17">
      <c r="B12" s="1204" t="s">
        <v>4054</v>
      </c>
      <c r="C12" s="1203">
        <f>VLOOKUP(MAX(O19:O23),O19:Q23,3,FALSE)</f>
        <v>36</v>
      </c>
      <c r="D12" s="1202"/>
      <c r="E12" s="1201"/>
      <c r="F12" s="1201"/>
      <c r="G12" s="1200"/>
    </row>
    <row r="13" spans="2:17">
      <c r="D13" s="1199"/>
      <c r="E13" s="1198"/>
    </row>
    <row r="14" spans="2:17">
      <c r="D14" s="1199"/>
      <c r="E14" s="1198"/>
    </row>
    <row r="15" spans="2:17">
      <c r="D15" s="1199"/>
      <c r="E15" s="1198"/>
    </row>
    <row r="16" spans="2:17">
      <c r="B16" s="1432" t="s">
        <v>4053</v>
      </c>
      <c r="C16" s="1432"/>
      <c r="D16" s="1432"/>
      <c r="E16" s="1432"/>
      <c r="F16" s="1432"/>
      <c r="G16" s="1432"/>
      <c r="H16" s="1432"/>
      <c r="I16" s="1432"/>
      <c r="J16" s="1432"/>
      <c r="K16" s="1432"/>
      <c r="L16" s="1432"/>
      <c r="M16" s="1432"/>
      <c r="N16" s="1432"/>
      <c r="O16" s="1432"/>
      <c r="P16" s="1432"/>
      <c r="Q16" s="1432"/>
    </row>
    <row r="17" spans="2:17" ht="7.15" customHeight="1" thickBot="1"/>
    <row r="18" spans="2:17" ht="45">
      <c r="B18" s="1197" t="s">
        <v>4052</v>
      </c>
      <c r="C18" s="1196" t="s">
        <v>4051</v>
      </c>
      <c r="D18" s="1195" t="s">
        <v>4050</v>
      </c>
      <c r="E18" s="1195" t="s">
        <v>3182</v>
      </c>
      <c r="F18" s="1194" t="s">
        <v>3184</v>
      </c>
      <c r="G18" s="1196" t="s">
        <v>4049</v>
      </c>
      <c r="H18" s="1195" t="s">
        <v>4048</v>
      </c>
      <c r="I18" s="1195" t="s">
        <v>4047</v>
      </c>
      <c r="J18" s="1194" t="s">
        <v>4046</v>
      </c>
      <c r="K18" s="1196" t="s">
        <v>4045</v>
      </c>
      <c r="L18" s="1195" t="s">
        <v>4044</v>
      </c>
      <c r="M18" s="1195" t="s">
        <v>4043</v>
      </c>
      <c r="N18" s="1194" t="s">
        <v>4042</v>
      </c>
      <c r="O18" s="1196" t="s">
        <v>4041</v>
      </c>
      <c r="P18" s="1195" t="s">
        <v>4040</v>
      </c>
      <c r="Q18" s="1194" t="s">
        <v>4039</v>
      </c>
    </row>
    <row r="19" spans="2:17">
      <c r="B19" s="1192" t="s">
        <v>4038</v>
      </c>
      <c r="C19" s="1191">
        <v>9</v>
      </c>
      <c r="D19" s="1180">
        <v>12</v>
      </c>
      <c r="E19" s="1180">
        <f t="shared" ref="E19:F23" si="0">C19*$C$25</f>
        <v>228.6</v>
      </c>
      <c r="F19" s="1190">
        <f t="shared" si="0"/>
        <v>304.79999999999995</v>
      </c>
      <c r="G19" s="1191">
        <f t="shared" ref="G19:H23" si="1">C19-1</f>
        <v>8</v>
      </c>
      <c r="H19" s="1180">
        <f t="shared" si="1"/>
        <v>11</v>
      </c>
      <c r="I19" s="1180">
        <f t="shared" ref="I19:J23" si="2">G19*$C$25</f>
        <v>203.2</v>
      </c>
      <c r="J19" s="1190">
        <f t="shared" si="2"/>
        <v>279.39999999999998</v>
      </c>
      <c r="K19" s="1191">
        <f>ROUNDDOWN(J19/($C$5+2*$G$10),0)</f>
        <v>3</v>
      </c>
      <c r="L19" s="1180">
        <f t="shared" ref="L19:M23" si="3">ROUNDDOWN(I19/($C$6+2*$G$10),0)</f>
        <v>2</v>
      </c>
      <c r="M19" s="1180">
        <f t="shared" si="3"/>
        <v>3</v>
      </c>
      <c r="N19" s="1190">
        <f>ROUNDDOWN(I19/($C$5+2*$G$10),0)</f>
        <v>2</v>
      </c>
      <c r="O19" s="1189">
        <f>(Q19*$C$5*$C$6)/(E19*F19)</f>
        <v>0.56067056578557617</v>
      </c>
      <c r="P19" s="1180" t="s">
        <v>4038</v>
      </c>
      <c r="Q19" s="1188">
        <f>MAX(PRODUCT(K19:L19),PRODUCT(M19:N19))</f>
        <v>6</v>
      </c>
    </row>
    <row r="20" spans="2:17">
      <c r="B20" s="1192" t="s">
        <v>4037</v>
      </c>
      <c r="C20" s="1191">
        <v>12</v>
      </c>
      <c r="D20" s="1180">
        <v>18</v>
      </c>
      <c r="E20" s="1180">
        <f t="shared" si="0"/>
        <v>304.79999999999995</v>
      </c>
      <c r="F20" s="1190">
        <f t="shared" si="0"/>
        <v>457.2</v>
      </c>
      <c r="G20" s="1191">
        <f t="shared" si="1"/>
        <v>11</v>
      </c>
      <c r="H20" s="1180">
        <f t="shared" si="1"/>
        <v>17</v>
      </c>
      <c r="I20" s="1180">
        <f t="shared" si="2"/>
        <v>279.39999999999998</v>
      </c>
      <c r="J20" s="1190">
        <f t="shared" si="2"/>
        <v>431.79999999999995</v>
      </c>
      <c r="K20" s="1191">
        <f>ROUNDDOWN(J20/($C$5+2*$G$10),0)</f>
        <v>4</v>
      </c>
      <c r="L20" s="1180">
        <f t="shared" si="3"/>
        <v>3</v>
      </c>
      <c r="M20" s="1180">
        <f t="shared" si="3"/>
        <v>5</v>
      </c>
      <c r="N20" s="1190">
        <f>ROUNDDOWN(I20/($C$5+2*$G$10),0)</f>
        <v>3</v>
      </c>
      <c r="O20" s="1189">
        <f>(Q20*$C$5*$C$6)/(E20*F20)</f>
        <v>0.70083820723197021</v>
      </c>
      <c r="P20" s="1180" t="s">
        <v>4037</v>
      </c>
      <c r="Q20" s="1188">
        <f>MAX(PRODUCT(K20:L20),PRODUCT(M20:N20))</f>
        <v>15</v>
      </c>
    </row>
    <row r="21" spans="2:17">
      <c r="B21" s="1192" t="s">
        <v>4036</v>
      </c>
      <c r="C21" s="1191">
        <v>18</v>
      </c>
      <c r="D21" s="1180">
        <v>24</v>
      </c>
      <c r="E21" s="1180">
        <f t="shared" si="0"/>
        <v>457.2</v>
      </c>
      <c r="F21" s="1190">
        <f t="shared" si="0"/>
        <v>609.59999999999991</v>
      </c>
      <c r="G21" s="1191">
        <f t="shared" si="1"/>
        <v>17</v>
      </c>
      <c r="H21" s="1180">
        <f t="shared" si="1"/>
        <v>23</v>
      </c>
      <c r="I21" s="1180">
        <f t="shared" si="2"/>
        <v>431.79999999999995</v>
      </c>
      <c r="J21" s="1190">
        <f t="shared" si="2"/>
        <v>584.19999999999993</v>
      </c>
      <c r="K21" s="1191">
        <f>ROUNDDOWN(J21/($C$5+2*$G$10),0)</f>
        <v>6</v>
      </c>
      <c r="L21" s="1180">
        <f t="shared" si="3"/>
        <v>5</v>
      </c>
      <c r="M21" s="1180">
        <f t="shared" si="3"/>
        <v>7</v>
      </c>
      <c r="N21" s="1190">
        <f>ROUNDDOWN(I21/($C$5+2*$G$10),0)</f>
        <v>4</v>
      </c>
      <c r="O21" s="1193">
        <f>(Q21*$C$5*$C$6)/(E21*F21)</f>
        <v>0.70083820723197021</v>
      </c>
      <c r="P21" s="1180" t="s">
        <v>4036</v>
      </c>
      <c r="Q21" s="1188">
        <f>MAX(PRODUCT(K21:L21),PRODUCT(M21:N21))</f>
        <v>30</v>
      </c>
    </row>
    <row r="22" spans="2:17">
      <c r="B22" s="1192" t="s">
        <v>4035</v>
      </c>
      <c r="C22" s="1191">
        <v>18</v>
      </c>
      <c r="D22" s="1180">
        <v>21</v>
      </c>
      <c r="E22" s="1180">
        <f t="shared" si="0"/>
        <v>457.2</v>
      </c>
      <c r="F22" s="1190">
        <f t="shared" si="0"/>
        <v>533.4</v>
      </c>
      <c r="G22" s="1191">
        <f t="shared" si="1"/>
        <v>17</v>
      </c>
      <c r="H22" s="1180">
        <f t="shared" si="1"/>
        <v>20</v>
      </c>
      <c r="I22" s="1180">
        <f t="shared" si="2"/>
        <v>431.79999999999995</v>
      </c>
      <c r="J22" s="1190">
        <f t="shared" si="2"/>
        <v>508</v>
      </c>
      <c r="K22" s="1191">
        <f>ROUNDDOWN(J22/($C$5+2*$G$10),0)</f>
        <v>5</v>
      </c>
      <c r="L22" s="1180">
        <f t="shared" si="3"/>
        <v>5</v>
      </c>
      <c r="M22" s="1180">
        <f t="shared" si="3"/>
        <v>6</v>
      </c>
      <c r="N22" s="1190">
        <f>ROUNDDOWN(I22/($C$5+2*$G$10),0)</f>
        <v>4</v>
      </c>
      <c r="O22" s="1189">
        <f>(Q22*$C$5*$C$6)/(E22*F22)</f>
        <v>0.66746495926854288</v>
      </c>
      <c r="P22" s="1180" t="s">
        <v>4035</v>
      </c>
      <c r="Q22" s="1188">
        <f>MAX(PRODUCT(K22:L22),PRODUCT(M22:N22))</f>
        <v>25</v>
      </c>
    </row>
    <row r="23" spans="2:17" ht="15.75" thickBot="1">
      <c r="B23" s="1187" t="s">
        <v>4034</v>
      </c>
      <c r="C23" s="1186">
        <v>21</v>
      </c>
      <c r="D23" s="1228">
        <v>24</v>
      </c>
      <c r="E23" s="1228">
        <f t="shared" si="0"/>
        <v>533.4</v>
      </c>
      <c r="F23" s="1185">
        <f t="shared" si="0"/>
        <v>609.59999999999991</v>
      </c>
      <c r="G23" s="1186">
        <f t="shared" si="1"/>
        <v>20</v>
      </c>
      <c r="H23" s="1228">
        <f t="shared" si="1"/>
        <v>23</v>
      </c>
      <c r="I23" s="1228">
        <f t="shared" si="2"/>
        <v>508</v>
      </c>
      <c r="J23" s="1185">
        <f t="shared" si="2"/>
        <v>584.19999999999993</v>
      </c>
      <c r="K23" s="1186">
        <f>ROUNDDOWN(J23/($C$5+2*$G$10),0)</f>
        <v>6</v>
      </c>
      <c r="L23" s="1228">
        <f t="shared" si="3"/>
        <v>6</v>
      </c>
      <c r="M23" s="1228">
        <f t="shared" si="3"/>
        <v>7</v>
      </c>
      <c r="N23" s="1185">
        <f>ROUNDDOWN(I23/($C$5+2*$G$10),0)</f>
        <v>5</v>
      </c>
      <c r="O23" s="1184">
        <f>(Q23*$C$5*$C$6)/(E23*F23)</f>
        <v>0.72086215601002634</v>
      </c>
      <c r="P23" s="1228" t="s">
        <v>4034</v>
      </c>
      <c r="Q23" s="1183">
        <f>MAX(PRODUCT(K23:L23),PRODUCT(M23:N23))</f>
        <v>36</v>
      </c>
    </row>
    <row r="25" spans="2:17">
      <c r="B25" s="1182" t="s">
        <v>4033</v>
      </c>
      <c r="C25" s="1181">
        <v>25.4</v>
      </c>
    </row>
  </sheetData>
  <mergeCells count="1">
    <mergeCell ref="B16:Q16"/>
  </mergeCells>
  <conditionalFormatting sqref="C11">
    <cfRule type="cellIs" dxfId="824" priority="1" operator="greaterThan">
      <formula>0.7</formula>
    </cfRule>
  </conditionalFormatting>
  <pageMargins left="0.7" right="0.7" top="0.78740157499999996" bottom="0.78740157499999996" header="0.3" footer="0.3"/>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846A4-2A6C-4F84-865B-8E9083B90DF0}">
  <sheetPr codeName="Tabelle3">
    <outlinePr summaryBelow="0" summaryRight="0"/>
    <pageSetUpPr fitToPage="1"/>
  </sheetPr>
  <dimension ref="A1:AB72"/>
  <sheetViews>
    <sheetView showGridLines="0" showZeros="0" zoomScale="85" zoomScaleNormal="85" workbookViewId="0">
      <pane xSplit="6" ySplit="5" topLeftCell="G6" activePane="bottomRight" state="frozen"/>
      <selection pane="topRight" activeCell="G1" sqref="G1"/>
      <selection pane="bottomLeft" activeCell="A6" sqref="A6"/>
      <selection pane="bottomRight" activeCell="P20" sqref="P20"/>
    </sheetView>
  </sheetViews>
  <sheetFormatPr baseColWidth="10" defaultColWidth="12.28515625" defaultRowHeight="11.25"/>
  <cols>
    <col min="1" max="1" width="6.28515625" style="1229" customWidth="1"/>
    <col min="2" max="2" width="17.28515625" style="1229" customWidth="1"/>
    <col min="3" max="3" width="21.7109375" style="1229" bestFit="1" customWidth="1"/>
    <col min="4" max="4" width="25.42578125" style="1229" customWidth="1"/>
    <col min="5" max="7" width="11.7109375" style="1229" customWidth="1"/>
    <col min="8" max="8" width="22.85546875" style="1229" customWidth="1"/>
    <col min="9" max="9" width="33.28515625" style="1229" bestFit="1" customWidth="1"/>
    <col min="10" max="12" width="22.85546875" style="1229" customWidth="1"/>
    <col min="13" max="13" width="26.7109375" style="1229" customWidth="1"/>
    <col min="14" max="14" width="27.42578125" style="1229" customWidth="1"/>
    <col min="15" max="15" width="28.28515625" style="1229" customWidth="1"/>
    <col min="16" max="16" width="21.28515625" style="1229" customWidth="1"/>
    <col min="17" max="17" width="21.28515625" style="1229" hidden="1" customWidth="1"/>
    <col min="18" max="18" width="20" style="1230" customWidth="1"/>
    <col min="19" max="19" width="11.7109375" style="1231" customWidth="1"/>
    <col min="20" max="20" width="14.7109375" style="1231" customWidth="1"/>
    <col min="21" max="25" width="16.28515625" style="1229" customWidth="1"/>
    <col min="26" max="26" width="28.5703125" style="1229" customWidth="1"/>
    <col min="27" max="16384" width="12.28515625" style="1229"/>
  </cols>
  <sheetData>
    <row r="1" spans="1:28" ht="10.9" customHeight="1"/>
    <row r="2" spans="1:28" ht="10.9" customHeight="1">
      <c r="C2" s="1232" t="s">
        <v>3532</v>
      </c>
      <c r="H2" s="1232" t="s">
        <v>3531</v>
      </c>
      <c r="J2" s="1232" t="s">
        <v>3320</v>
      </c>
      <c r="K2" s="1232" t="s">
        <v>3321</v>
      </c>
      <c r="L2" s="1232" t="s">
        <v>3533</v>
      </c>
      <c r="M2" s="1232" t="s">
        <v>3534</v>
      </c>
      <c r="N2" s="1232" t="s">
        <v>3535</v>
      </c>
      <c r="O2" s="1233" t="s">
        <v>3536</v>
      </c>
      <c r="T2" s="1234" t="s">
        <v>3554</v>
      </c>
      <c r="U2" s="1433" t="str" cm="1">
        <f t="array" ref="U2">IFERROR(IF(GetUserDomain()="AWS",HYPERLINK("M:\02 WD\02 Technologien\23 Elektronik - Elektrik\98 Taskforce EE\02 Materialkosten (Degression, C-Teile)\Degression","Info"),""),"")</f>
        <v>Info</v>
      </c>
      <c r="W2" s="1232" t="s">
        <v>3585</v>
      </c>
    </row>
    <row r="3" spans="1:28" ht="10.9" customHeight="1">
      <c r="C3" s="1235">
        <f>Y22</f>
        <v>2.5832849718895403</v>
      </c>
      <c r="H3" s="1236">
        <v>800000</v>
      </c>
      <c r="J3" s="1237">
        <v>85</v>
      </c>
      <c r="K3" s="1237">
        <v>52.8</v>
      </c>
      <c r="L3" s="1237" t="s">
        <v>4068</v>
      </c>
      <c r="M3" s="1237">
        <f>MAT!E10</f>
        <v>3.28</v>
      </c>
      <c r="N3" s="1238">
        <f>IFERROR(SUMPRODUCT(EBOM49[Quantity 
Total],EBOM49[No of Pins/Pads])/((J3*K3)/100),0)</f>
        <v>3.2085561497326203</v>
      </c>
      <c r="O3" s="1238">
        <f>(1*1*0.2*8.4/1000)*SUMPRODUCT(EBOM49[No of Pins/Pads],EBOM49[Quantity 
Total])</f>
        <v>0.24192000000000002</v>
      </c>
      <c r="T3" s="1239">
        <v>0.8</v>
      </c>
      <c r="U3" s="1433"/>
      <c r="W3" s="1240">
        <f>'Nutzenberechnung Flex PCB'!C11</f>
        <v>0.72086215601002634</v>
      </c>
    </row>
    <row r="4" spans="1:28" ht="10.9" customHeight="1">
      <c r="E4" s="1241"/>
      <c r="F4" s="1241"/>
      <c r="G4" s="1241"/>
      <c r="H4" s="1241"/>
      <c r="I4" s="1241"/>
      <c r="J4" s="1241"/>
      <c r="K4" s="1241"/>
    </row>
    <row r="5" spans="1:28" s="1246" customFormat="1" ht="25.9" customHeight="1">
      <c r="A5" s="1242" t="s">
        <v>76</v>
      </c>
      <c r="B5" s="1243" t="s">
        <v>3513</v>
      </c>
      <c r="C5" s="1243" t="s">
        <v>3514</v>
      </c>
      <c r="D5" s="1243" t="s">
        <v>3515</v>
      </c>
      <c r="E5" s="1243" t="s">
        <v>3516</v>
      </c>
      <c r="F5" s="1243" t="s">
        <v>3580</v>
      </c>
      <c r="G5" s="1243" t="s">
        <v>3517</v>
      </c>
      <c r="H5" s="1243" t="s">
        <v>3472</v>
      </c>
      <c r="I5" s="1243" t="s">
        <v>69</v>
      </c>
      <c r="J5" s="1243" t="s">
        <v>3518</v>
      </c>
      <c r="K5" s="1243" t="s">
        <v>3519</v>
      </c>
      <c r="L5" s="1243" t="s">
        <v>3520</v>
      </c>
      <c r="M5" s="1243" t="s">
        <v>3521</v>
      </c>
      <c r="N5" s="1243" t="s">
        <v>3522</v>
      </c>
      <c r="O5" s="1243" t="s">
        <v>915</v>
      </c>
      <c r="P5" s="1243" t="s">
        <v>3523</v>
      </c>
      <c r="Q5" s="1243" t="s">
        <v>3556</v>
      </c>
      <c r="R5" s="1244" t="s">
        <v>3524</v>
      </c>
      <c r="S5" s="1243" t="s">
        <v>3555</v>
      </c>
      <c r="T5" s="1243" t="s">
        <v>3554</v>
      </c>
      <c r="U5" s="1243" t="s">
        <v>3365</v>
      </c>
      <c r="V5" s="1243" t="s">
        <v>3525</v>
      </c>
      <c r="W5" s="1243" t="s">
        <v>3526</v>
      </c>
      <c r="X5" s="1243" t="s">
        <v>3527</v>
      </c>
      <c r="Y5" s="1243" t="s">
        <v>3532</v>
      </c>
      <c r="Z5" s="1245" t="s">
        <v>3528</v>
      </c>
    </row>
    <row r="6" spans="1:28" ht="25.9" customHeight="1">
      <c r="A6" s="1247"/>
      <c r="B6" s="1248" t="s">
        <v>4069</v>
      </c>
      <c r="C6" s="1248"/>
      <c r="D6" s="1248"/>
      <c r="E6" s="1237"/>
      <c r="F6" s="1237"/>
      <c r="G6" s="1238"/>
      <c r="H6" s="1237"/>
      <c r="I6" s="1248"/>
      <c r="J6" s="1249"/>
      <c r="K6" s="1248"/>
      <c r="L6" s="1248"/>
      <c r="M6" s="1248"/>
      <c r="N6" s="1248"/>
      <c r="O6" s="1250"/>
      <c r="P6" s="1251"/>
      <c r="Q6" s="1251"/>
      <c r="R6" s="1252"/>
      <c r="S6" s="1253"/>
      <c r="T6" s="1254">
        <v>1</v>
      </c>
      <c r="U6" s="1255">
        <v>1</v>
      </c>
      <c r="V6" s="1255">
        <f t="shared" ref="V6:V21" si="0">R6*U6*T6</f>
        <v>0</v>
      </c>
      <c r="W6" s="1256"/>
      <c r="X6" s="1256"/>
      <c r="Y6" s="1257">
        <f>IF(OR(ISBLANK(M3),ISBLANK(K3),ISBLANK(J3)),"Bitte alle Felder ausfüllen",((J3*K3)/10000)*M3/W3)</f>
        <v>2.0420880576501301</v>
      </c>
      <c r="Z6" s="1258"/>
      <c r="AA6" s="1246"/>
      <c r="AB6" s="1246"/>
    </row>
    <row r="7" spans="1:28" ht="25.9" customHeight="1">
      <c r="A7" s="1247"/>
      <c r="B7" s="1248" t="s">
        <v>3553</v>
      </c>
      <c r="C7" s="1248"/>
      <c r="D7" s="1248"/>
      <c r="E7" s="1237"/>
      <c r="F7" s="1237"/>
      <c r="G7" s="1238">
        <f>E7+F7</f>
        <v>0</v>
      </c>
      <c r="H7" s="1237"/>
      <c r="I7" s="1248"/>
      <c r="J7" s="1249"/>
      <c r="K7" s="1248"/>
      <c r="L7" s="1248"/>
      <c r="M7" s="1248"/>
      <c r="N7" s="1248"/>
      <c r="O7" s="1250"/>
      <c r="P7" s="1251"/>
      <c r="Q7" s="1251"/>
      <c r="R7" s="1252"/>
      <c r="S7" s="1253"/>
      <c r="T7" s="1254">
        <v>1</v>
      </c>
      <c r="U7" s="1255">
        <v>1</v>
      </c>
      <c r="V7" s="1255">
        <f t="shared" si="0"/>
        <v>0</v>
      </c>
      <c r="W7" s="1256">
        <f>E7*V7</f>
        <v>0</v>
      </c>
      <c r="X7" s="1256">
        <f>F7*V7</f>
        <v>0</v>
      </c>
      <c r="Y7" s="1256">
        <f>O3/1000*20</f>
        <v>4.8384000000000005E-3</v>
      </c>
      <c r="Z7" s="1258"/>
      <c r="AA7" s="1246"/>
      <c r="AB7" s="1246"/>
    </row>
    <row r="8" spans="1:28" ht="25.9" customHeight="1">
      <c r="A8" s="1259"/>
      <c r="B8" s="1260" t="s">
        <v>3529</v>
      </c>
      <c r="C8" s="1248"/>
      <c r="D8" s="1249"/>
      <c r="E8" s="1237"/>
      <c r="F8" s="1237"/>
      <c r="G8" s="1238">
        <f t="shared" ref="G8:G9" si="1">E8+F8</f>
        <v>0</v>
      </c>
      <c r="H8" s="1237"/>
      <c r="I8" s="1249"/>
      <c r="J8" s="1248"/>
      <c r="K8" s="1248"/>
      <c r="L8" s="1248"/>
      <c r="M8" s="1248"/>
      <c r="N8" s="1248"/>
      <c r="O8" s="1250"/>
      <c r="P8" s="1251"/>
      <c r="Q8" s="1251"/>
      <c r="R8" s="1252"/>
      <c r="S8" s="1253"/>
      <c r="T8" s="1254"/>
      <c r="U8" s="1255" cm="1">
        <f t="array" ref="U8">EBOM_Factor</f>
        <v>0</v>
      </c>
      <c r="V8" s="1255">
        <f t="shared" si="0"/>
        <v>0</v>
      </c>
      <c r="W8" s="1256"/>
      <c r="X8" s="1256"/>
      <c r="Y8" s="1256">
        <f t="shared" ref="Y8:Y9" si="2">X8+W8</f>
        <v>0</v>
      </c>
      <c r="Z8" s="1258"/>
      <c r="AA8" s="1246"/>
      <c r="AB8" s="1246"/>
    </row>
    <row r="9" spans="1:28" ht="25.9" customHeight="1">
      <c r="A9" s="1247">
        <f t="shared" ref="A9" si="3">ROW()-8</f>
        <v>1</v>
      </c>
      <c r="B9" s="1248" t="s">
        <v>3538</v>
      </c>
      <c r="C9" s="1248" t="s">
        <v>3560</v>
      </c>
      <c r="D9" s="1248"/>
      <c r="E9" s="1237">
        <v>20</v>
      </c>
      <c r="F9" s="1237"/>
      <c r="G9" s="1238">
        <f t="shared" si="1"/>
        <v>20</v>
      </c>
      <c r="H9" s="1237" t="s">
        <v>3491</v>
      </c>
      <c r="I9" s="1248"/>
      <c r="J9" s="1249"/>
      <c r="K9" s="1248"/>
      <c r="L9" s="1248"/>
      <c r="M9" s="1248">
        <v>2</v>
      </c>
      <c r="N9" s="1248" t="s">
        <v>4074</v>
      </c>
      <c r="O9" s="1250" t="s">
        <v>4068</v>
      </c>
      <c r="P9" s="1251">
        <v>1000</v>
      </c>
      <c r="Q9" s="1251"/>
      <c r="R9" s="1252">
        <v>8.9999999999999998E-4</v>
      </c>
      <c r="S9" s="1253">
        <v>45453</v>
      </c>
      <c r="T9" s="1254">
        <f t="shared" ref="T9" si="4">Project_Factor</f>
        <v>0.8</v>
      </c>
      <c r="U9" s="1255" cm="1">
        <f t="array" ref="U9">EBOM_Factor</f>
        <v>1</v>
      </c>
      <c r="V9" s="1255">
        <f>R9*U9*T9</f>
        <v>7.2000000000000005E-4</v>
      </c>
      <c r="W9" s="1256">
        <f t="shared" ref="W9" si="5">E9*V9</f>
        <v>1.4400000000000001E-2</v>
      </c>
      <c r="X9" s="1256">
        <f t="shared" ref="X9" si="6">F9*V9</f>
        <v>0</v>
      </c>
      <c r="Y9" s="1256">
        <f t="shared" si="2"/>
        <v>1.4400000000000001E-2</v>
      </c>
      <c r="Z9" s="1258"/>
    </row>
    <row r="10" spans="1:28" ht="25.9" customHeight="1">
      <c r="A10" s="1247">
        <f>ROW()-8</f>
        <v>2</v>
      </c>
      <c r="B10" s="1248" t="s">
        <v>3538</v>
      </c>
      <c r="C10" s="1248" t="s">
        <v>3560</v>
      </c>
      <c r="D10" s="1248"/>
      <c r="E10" s="1237">
        <v>8</v>
      </c>
      <c r="F10" s="1237"/>
      <c r="G10" s="1238">
        <f>E10+F10</f>
        <v>8</v>
      </c>
      <c r="H10" s="1237" t="s">
        <v>3491</v>
      </c>
      <c r="I10" s="1248"/>
      <c r="J10" s="1249"/>
      <c r="K10" s="1248"/>
      <c r="L10" s="1248"/>
      <c r="M10" s="1248">
        <v>2</v>
      </c>
      <c r="N10" s="1248" t="s">
        <v>4076</v>
      </c>
      <c r="O10" s="1250" t="s">
        <v>4068</v>
      </c>
      <c r="P10" s="1251">
        <v>1000</v>
      </c>
      <c r="Q10" s="1251"/>
      <c r="R10" s="1252">
        <v>5.4999999999999997E-3</v>
      </c>
      <c r="S10" s="1253">
        <v>45453</v>
      </c>
      <c r="T10" s="1254">
        <f t="shared" ref="T10" si="7">Project_Factor</f>
        <v>0.8</v>
      </c>
      <c r="U10" s="1255" cm="1">
        <f t="array" ref="U10">EBOM_Factor</f>
        <v>1</v>
      </c>
      <c r="V10" s="1255">
        <f t="shared" si="0"/>
        <v>4.4000000000000003E-3</v>
      </c>
      <c r="W10" s="1256">
        <f>E10*V10</f>
        <v>3.5200000000000002E-2</v>
      </c>
      <c r="X10" s="1256">
        <f>F10*V10</f>
        <v>0</v>
      </c>
      <c r="Y10" s="1256">
        <f>X10+W10</f>
        <v>3.5200000000000002E-2</v>
      </c>
      <c r="Z10" s="1258"/>
    </row>
    <row r="11" spans="1:28" ht="25.9" customHeight="1">
      <c r="A11" s="1247">
        <f t="shared" ref="A11" si="8">ROW()-8</f>
        <v>3</v>
      </c>
      <c r="B11" s="1248" t="s">
        <v>3538</v>
      </c>
      <c r="C11" s="1248" t="s">
        <v>3558</v>
      </c>
      <c r="D11" s="1248"/>
      <c r="E11" s="1237">
        <v>8</v>
      </c>
      <c r="F11" s="1237"/>
      <c r="G11" s="1238">
        <f t="shared" ref="G11" si="9">E11+F11</f>
        <v>8</v>
      </c>
      <c r="H11" s="1237" t="s">
        <v>3491</v>
      </c>
      <c r="I11" s="1248"/>
      <c r="J11" s="1249"/>
      <c r="K11" s="1248"/>
      <c r="L11" s="1248"/>
      <c r="M11" s="1248">
        <v>2</v>
      </c>
      <c r="N11" s="1248" t="s">
        <v>4074</v>
      </c>
      <c r="O11" s="1250" t="s">
        <v>4068</v>
      </c>
      <c r="P11" s="1251">
        <v>1000</v>
      </c>
      <c r="Q11" s="1251"/>
      <c r="R11" s="1252">
        <v>1.8E-3</v>
      </c>
      <c r="S11" s="1253">
        <v>45453</v>
      </c>
      <c r="T11" s="1254">
        <f t="shared" ref="T11" si="10">Project_Factor</f>
        <v>0.8</v>
      </c>
      <c r="U11" s="1255" cm="1">
        <f t="array" ref="U11">EBOM_Factor</f>
        <v>1</v>
      </c>
      <c r="V11" s="1255">
        <f t="shared" si="0"/>
        <v>1.4400000000000001E-3</v>
      </c>
      <c r="W11" s="1256">
        <f t="shared" ref="W11" si="11">E11*V11</f>
        <v>1.1520000000000001E-2</v>
      </c>
      <c r="X11" s="1256">
        <f t="shared" ref="X11" si="12">F11*V11</f>
        <v>0</v>
      </c>
      <c r="Y11" s="1256">
        <f t="shared" ref="Y11" si="13">X11+W11</f>
        <v>1.1520000000000001E-2</v>
      </c>
      <c r="Z11" s="1258"/>
    </row>
    <row r="12" spans="1:28" ht="25.9" customHeight="1">
      <c r="A12" s="1247">
        <f>ROW()-8</f>
        <v>4</v>
      </c>
      <c r="B12" s="1248" t="s">
        <v>3538</v>
      </c>
      <c r="C12" s="1248" t="s">
        <v>3558</v>
      </c>
      <c r="D12" s="1248"/>
      <c r="E12" s="1237">
        <v>24</v>
      </c>
      <c r="F12" s="1237"/>
      <c r="G12" s="1238">
        <f>E12+F12</f>
        <v>24</v>
      </c>
      <c r="H12" s="1237" t="s">
        <v>3491</v>
      </c>
      <c r="I12" s="1248"/>
      <c r="J12" s="1249"/>
      <c r="K12" s="1248"/>
      <c r="L12" s="1248"/>
      <c r="M12" s="1248">
        <v>2</v>
      </c>
      <c r="N12" s="1248" t="s">
        <v>4076</v>
      </c>
      <c r="O12" s="1250" t="s">
        <v>4068</v>
      </c>
      <c r="P12" s="1251">
        <v>1000</v>
      </c>
      <c r="Q12" s="1251"/>
      <c r="R12" s="1252">
        <v>2.5999999999999999E-3</v>
      </c>
      <c r="S12" s="1253">
        <v>45453</v>
      </c>
      <c r="T12" s="1254">
        <f t="shared" ref="T12" si="14">Project_Factor</f>
        <v>0.8</v>
      </c>
      <c r="U12" s="1255" cm="1">
        <f t="array" ref="U12">EBOM_Factor</f>
        <v>1</v>
      </c>
      <c r="V12" s="1255">
        <f t="shared" si="0"/>
        <v>2.0799999999999998E-3</v>
      </c>
      <c r="W12" s="1256">
        <f>E12*V12</f>
        <v>4.9919999999999992E-2</v>
      </c>
      <c r="X12" s="1256">
        <f>F12*V12</f>
        <v>0</v>
      </c>
      <c r="Y12" s="1256">
        <f>X12+W12</f>
        <v>4.9919999999999992E-2</v>
      </c>
      <c r="Z12" s="1258"/>
    </row>
    <row r="13" spans="1:28" ht="25.9" customHeight="1">
      <c r="A13" s="1247">
        <f>ROW()-8</f>
        <v>5</v>
      </c>
      <c r="B13" s="1248"/>
      <c r="C13" s="1248"/>
      <c r="D13" s="1248"/>
      <c r="E13" s="1237"/>
      <c r="F13" s="1237"/>
      <c r="G13" s="1238">
        <f>E13+F13</f>
        <v>0</v>
      </c>
      <c r="H13" s="1237"/>
      <c r="I13" s="1248"/>
      <c r="J13" s="1249"/>
      <c r="K13" s="1248"/>
      <c r="L13" s="1248"/>
      <c r="M13" s="1248"/>
      <c r="N13" s="1248"/>
      <c r="O13" s="1250"/>
      <c r="P13" s="1251"/>
      <c r="Q13" s="1251"/>
      <c r="R13" s="1252"/>
      <c r="S13" s="1253"/>
      <c r="T13" s="1254">
        <f>Project_Factor</f>
        <v>0.8</v>
      </c>
      <c r="U13" s="1255" cm="1">
        <f t="array" ref="U13">EBOM_Factor</f>
        <v>0</v>
      </c>
      <c r="V13" s="1255">
        <f>R13*U13*T13</f>
        <v>0</v>
      </c>
      <c r="W13" s="1256">
        <f>E13*V13</f>
        <v>0</v>
      </c>
      <c r="X13" s="1256">
        <f>F13*V13</f>
        <v>0</v>
      </c>
      <c r="Y13" s="1256">
        <f>X13+W13</f>
        <v>0</v>
      </c>
      <c r="Z13" s="1258"/>
    </row>
    <row r="14" spans="1:28" ht="66" customHeight="1">
      <c r="A14" s="1247">
        <f t="shared" ref="A14:A18" si="15">ROW()-8</f>
        <v>6</v>
      </c>
      <c r="B14" s="1248" t="s">
        <v>3542</v>
      </c>
      <c r="C14" s="1248" t="s">
        <v>4190</v>
      </c>
      <c r="D14" s="1249" t="s">
        <v>4118</v>
      </c>
      <c r="E14" s="1237">
        <v>4</v>
      </c>
      <c r="F14" s="1237"/>
      <c r="G14" s="1238">
        <f t="shared" ref="G14" si="16">E14+F14</f>
        <v>4</v>
      </c>
      <c r="H14" s="1237" t="s">
        <v>3491</v>
      </c>
      <c r="I14" s="1248" t="s">
        <v>4181</v>
      </c>
      <c r="J14" s="1249" t="s">
        <v>4182</v>
      </c>
      <c r="K14" s="1248" t="s">
        <v>4183</v>
      </c>
      <c r="L14" s="1248"/>
      <c r="M14" s="1248">
        <v>2</v>
      </c>
      <c r="N14" s="1248" t="s">
        <v>4184</v>
      </c>
      <c r="O14" s="1323" t="s">
        <v>4180</v>
      </c>
      <c r="P14" s="1251">
        <v>1000</v>
      </c>
      <c r="Q14" s="1251"/>
      <c r="R14" s="1252">
        <v>5.4780000000000002E-2</v>
      </c>
      <c r="S14" s="1253">
        <v>45453</v>
      </c>
      <c r="T14" s="1254">
        <f t="shared" ref="T14" si="17">Project_Factor</f>
        <v>0.8</v>
      </c>
      <c r="U14" s="1255" cm="1">
        <f t="array" ref="U14">EBOM_Factor</f>
        <v>0.24355595564765972</v>
      </c>
      <c r="V14" s="1255">
        <f t="shared" si="0"/>
        <v>1.067359620030304E-2</v>
      </c>
      <c r="W14" s="1256">
        <f t="shared" ref="W14:W19" si="18">E14*V14</f>
        <v>4.2694384801212161E-2</v>
      </c>
      <c r="X14" s="1256">
        <f t="shared" ref="X14:X19" si="19">F14*V14</f>
        <v>0</v>
      </c>
      <c r="Y14" s="1256">
        <f t="shared" ref="Y14" si="20">X14+W14</f>
        <v>4.2694384801212161E-2</v>
      </c>
      <c r="Z14" s="1258"/>
    </row>
    <row r="15" spans="1:28" ht="60" customHeight="1">
      <c r="A15" s="1247">
        <f t="shared" si="15"/>
        <v>7</v>
      </c>
      <c r="B15" s="1248" t="s">
        <v>3538</v>
      </c>
      <c r="C15" s="1248" t="s">
        <v>4191</v>
      </c>
      <c r="D15" s="1249" t="s">
        <v>4119</v>
      </c>
      <c r="E15" s="1237">
        <v>2</v>
      </c>
      <c r="F15" s="1237"/>
      <c r="G15" s="1238">
        <f>E15+F15</f>
        <v>2</v>
      </c>
      <c r="H15" s="1237" t="s">
        <v>3491</v>
      </c>
      <c r="I15" s="1248" t="s">
        <v>4187</v>
      </c>
      <c r="J15" s="1249" t="s">
        <v>4185</v>
      </c>
      <c r="K15" s="1248" t="s">
        <v>4186</v>
      </c>
      <c r="L15" s="1248"/>
      <c r="M15" s="1248">
        <v>2</v>
      </c>
      <c r="N15" s="1248" t="s">
        <v>4188</v>
      </c>
      <c r="O15" s="1323" t="s">
        <v>4189</v>
      </c>
      <c r="P15" s="1251">
        <v>1000</v>
      </c>
      <c r="Q15" s="1251"/>
      <c r="R15" s="1252">
        <v>8.9870000000000005E-2</v>
      </c>
      <c r="S15" s="1253">
        <v>45453</v>
      </c>
      <c r="T15" s="1254">
        <f t="shared" ref="T15" si="21">Project_Factor</f>
        <v>0.8</v>
      </c>
      <c r="U15" s="1255" cm="1">
        <f t="array" ref="U15">EBOM_Factor</f>
        <v>0.27496600450474862</v>
      </c>
      <c r="V15" s="1255">
        <f t="shared" si="0"/>
        <v>1.976895585987341E-2</v>
      </c>
      <c r="W15" s="1256">
        <f t="shared" si="18"/>
        <v>3.953791171974682E-2</v>
      </c>
      <c r="X15" s="1256">
        <f t="shared" si="19"/>
        <v>0</v>
      </c>
      <c r="Y15" s="1256">
        <f>X15+W15</f>
        <v>3.953791171974682E-2</v>
      </c>
      <c r="Z15" s="1258"/>
    </row>
    <row r="16" spans="1:28" ht="25.9" customHeight="1">
      <c r="A16" s="1247">
        <f>ROW()-8</f>
        <v>8</v>
      </c>
      <c r="B16" s="1248"/>
      <c r="C16" s="1248"/>
      <c r="D16" s="1248"/>
      <c r="E16" s="1237"/>
      <c r="F16" s="1237"/>
      <c r="G16" s="1238">
        <f>E16+F16</f>
        <v>0</v>
      </c>
      <c r="H16" s="1237"/>
      <c r="I16" s="1248"/>
      <c r="J16" s="1249"/>
      <c r="K16" s="1248"/>
      <c r="L16" s="1248"/>
      <c r="M16" s="1248"/>
      <c r="N16" s="1248"/>
      <c r="O16" s="1250"/>
      <c r="P16" s="1251"/>
      <c r="Q16" s="1251"/>
      <c r="R16" s="1252"/>
      <c r="S16" s="1253"/>
      <c r="T16" s="1254">
        <f>Project_Factor</f>
        <v>0.8</v>
      </c>
      <c r="U16" s="1255" cm="1">
        <f t="array" ref="U16">EBOM_Factor</f>
        <v>0</v>
      </c>
      <c r="V16" s="1255">
        <f>R16*U16*T16</f>
        <v>0</v>
      </c>
      <c r="W16" s="1256">
        <f>E16*V16</f>
        <v>0</v>
      </c>
      <c r="X16" s="1256">
        <f>F16*V16</f>
        <v>0</v>
      </c>
      <c r="Y16" s="1256">
        <f>X16+W16</f>
        <v>0</v>
      </c>
      <c r="Z16" s="1258"/>
    </row>
    <row r="17" spans="1:26" ht="87" customHeight="1">
      <c r="A17" s="1247">
        <f>ROW()-8</f>
        <v>9</v>
      </c>
      <c r="B17" s="1248" t="s">
        <v>3504</v>
      </c>
      <c r="C17" s="1248"/>
      <c r="D17" s="1249" t="s">
        <v>4120</v>
      </c>
      <c r="E17" s="1237">
        <v>1</v>
      </c>
      <c r="F17" s="1237"/>
      <c r="G17" s="1238">
        <f>E17+F17</f>
        <v>1</v>
      </c>
      <c r="H17" s="1237" t="s">
        <v>3491</v>
      </c>
      <c r="I17" s="1248" t="s">
        <v>4245</v>
      </c>
      <c r="J17" s="1249" t="s">
        <v>4244</v>
      </c>
      <c r="K17" s="1248" t="s">
        <v>4246</v>
      </c>
      <c r="L17" s="1248"/>
      <c r="M17" s="1248">
        <v>12</v>
      </c>
      <c r="N17" s="1248" t="s">
        <v>4247</v>
      </c>
      <c r="O17" s="1323" t="s">
        <v>4248</v>
      </c>
      <c r="P17" s="1251">
        <v>1000</v>
      </c>
      <c r="Q17" s="1251"/>
      <c r="R17" s="1252">
        <v>1.38151</v>
      </c>
      <c r="S17" s="1253">
        <v>45453</v>
      </c>
      <c r="T17" s="1254">
        <f>Project_Factor</f>
        <v>0.8</v>
      </c>
      <c r="U17" s="1255" cm="1">
        <f t="array" ref="U17">EBOM_Factor</f>
        <v>0.31042683161762363</v>
      </c>
      <c r="V17" s="1255">
        <f>R17*U17*T17</f>
        <v>0.3430862177184506</v>
      </c>
      <c r="W17" s="1256">
        <f>E17*V17</f>
        <v>0.3430862177184506</v>
      </c>
      <c r="X17" s="1256">
        <f>F17*V17</f>
        <v>0</v>
      </c>
      <c r="Y17" s="1256">
        <f>X17+W17</f>
        <v>0.3430862177184506</v>
      </c>
      <c r="Z17" s="1258"/>
    </row>
    <row r="18" spans="1:26" ht="25.9" customHeight="1">
      <c r="A18" s="1247">
        <f t="shared" si="15"/>
        <v>10</v>
      </c>
      <c r="B18" s="1248"/>
      <c r="C18" s="1248"/>
      <c r="D18" s="1248"/>
      <c r="E18" s="1237"/>
      <c r="F18" s="1237"/>
      <c r="G18" s="1238">
        <f t="shared" ref="G18:G19" si="22">E18+F18</f>
        <v>0</v>
      </c>
      <c r="H18" s="1237"/>
      <c r="I18" s="1248"/>
      <c r="J18" s="1249"/>
      <c r="K18" s="1248"/>
      <c r="L18" s="1248"/>
      <c r="M18" s="1248"/>
      <c r="N18" s="1248"/>
      <c r="O18" s="1250"/>
      <c r="P18" s="1251"/>
      <c r="Q18" s="1251"/>
      <c r="R18" s="1252"/>
      <c r="S18" s="1253"/>
      <c r="T18" s="1254">
        <f t="shared" ref="T18" si="23">Project_Factor</f>
        <v>0.8</v>
      </c>
      <c r="U18" s="1255" cm="1">
        <f t="array" ref="U18">EBOM_Factor</f>
        <v>0</v>
      </c>
      <c r="V18" s="1255">
        <f t="shared" si="0"/>
        <v>0</v>
      </c>
      <c r="W18" s="1256">
        <f t="shared" si="18"/>
        <v>0</v>
      </c>
      <c r="X18" s="1256">
        <f t="shared" si="19"/>
        <v>0</v>
      </c>
      <c r="Y18" s="1256">
        <f t="shared" ref="Y18:Y19" si="24">X18+W18</f>
        <v>0</v>
      </c>
      <c r="Z18" s="1258"/>
    </row>
    <row r="19" spans="1:26" ht="25.9" customHeight="1">
      <c r="A19" s="1259"/>
      <c r="B19" s="1260" t="s">
        <v>3530</v>
      </c>
      <c r="C19" s="1248"/>
      <c r="D19" s="1249"/>
      <c r="E19" s="1237"/>
      <c r="F19" s="1237"/>
      <c r="G19" s="1238">
        <f t="shared" si="22"/>
        <v>0</v>
      </c>
      <c r="H19" s="1237"/>
      <c r="I19" s="1249"/>
      <c r="J19" s="1248"/>
      <c r="K19" s="1248"/>
      <c r="L19" s="1248"/>
      <c r="M19" s="1248"/>
      <c r="N19" s="1248"/>
      <c r="O19" s="1250"/>
      <c r="P19" s="1251"/>
      <c r="Q19" s="1251"/>
      <c r="R19" s="1252"/>
      <c r="S19" s="1253"/>
      <c r="T19" s="1254">
        <f t="shared" ref="T19" si="25">Project_Factor</f>
        <v>0.8</v>
      </c>
      <c r="U19" s="1255" cm="1">
        <f t="array" ref="U19">EBOM_Factor</f>
        <v>0</v>
      </c>
      <c r="V19" s="1255">
        <f t="shared" si="0"/>
        <v>0</v>
      </c>
      <c r="W19" s="1256">
        <f t="shared" si="18"/>
        <v>0</v>
      </c>
      <c r="X19" s="1256">
        <f t="shared" si="19"/>
        <v>0</v>
      </c>
      <c r="Y19" s="1256">
        <f t="shared" si="24"/>
        <v>0</v>
      </c>
      <c r="Z19" s="1258"/>
    </row>
    <row r="20" spans="1:26" ht="25.9" customHeight="1">
      <c r="A20" s="1247">
        <f>ROW()-8</f>
        <v>12</v>
      </c>
      <c r="B20" s="1248"/>
      <c r="C20" s="1248"/>
      <c r="D20" s="1248"/>
      <c r="E20" s="1237"/>
      <c r="F20" s="1237"/>
      <c r="G20" s="1238">
        <f>E20+F20</f>
        <v>0</v>
      </c>
      <c r="H20" s="1237"/>
      <c r="I20" s="1248"/>
      <c r="J20" s="1249"/>
      <c r="K20" s="1248"/>
      <c r="L20" s="1248"/>
      <c r="M20" s="1248"/>
      <c r="N20" s="1248"/>
      <c r="O20" s="1250"/>
      <c r="P20" s="1251"/>
      <c r="Q20" s="1251"/>
      <c r="R20" s="1252"/>
      <c r="S20" s="1253"/>
      <c r="T20" s="1254">
        <f t="shared" ref="T20" si="26">Project_Factor</f>
        <v>0.8</v>
      </c>
      <c r="U20" s="1255" cm="1">
        <f t="array" ref="U20">EBOM_Factor</f>
        <v>0</v>
      </c>
      <c r="V20" s="1255">
        <f t="shared" si="0"/>
        <v>0</v>
      </c>
      <c r="W20" s="1256">
        <f>E20*V20</f>
        <v>0</v>
      </c>
      <c r="X20" s="1256">
        <f>F20*V20</f>
        <v>0</v>
      </c>
      <c r="Y20" s="1256">
        <f>X20+W20</f>
        <v>0</v>
      </c>
      <c r="Z20" s="1258"/>
    </row>
    <row r="21" spans="1:26" ht="25.9" customHeight="1">
      <c r="A21" s="1247">
        <f t="shared" ref="A21" si="27">ROW()-8</f>
        <v>13</v>
      </c>
      <c r="B21" s="1248"/>
      <c r="C21" s="1248"/>
      <c r="D21" s="1248"/>
      <c r="E21" s="1237"/>
      <c r="F21" s="1237"/>
      <c r="G21" s="1238">
        <f t="shared" ref="G21" si="28">E21+F21</f>
        <v>0</v>
      </c>
      <c r="H21" s="1237"/>
      <c r="I21" s="1248"/>
      <c r="J21" s="1249"/>
      <c r="K21" s="1248"/>
      <c r="L21" s="1248"/>
      <c r="M21" s="1248"/>
      <c r="N21" s="1248"/>
      <c r="O21" s="1250"/>
      <c r="P21" s="1251"/>
      <c r="Q21" s="1251"/>
      <c r="R21" s="1252"/>
      <c r="S21" s="1253"/>
      <c r="T21" s="1254">
        <f t="shared" ref="T21" si="29">Project_Factor</f>
        <v>0.8</v>
      </c>
      <c r="U21" s="1255" cm="1">
        <f t="array" ref="U21">EBOM_Factor</f>
        <v>0</v>
      </c>
      <c r="V21" s="1255">
        <f t="shared" si="0"/>
        <v>0</v>
      </c>
      <c r="W21" s="1256">
        <f t="shared" ref="W21" si="30">E21*V21</f>
        <v>0</v>
      </c>
      <c r="X21" s="1256">
        <f t="shared" ref="X21" si="31">F21*V21</f>
        <v>0</v>
      </c>
      <c r="Y21" s="1256">
        <f t="shared" ref="Y21" si="32">X21+W21</f>
        <v>0</v>
      </c>
      <c r="Z21" s="1258"/>
    </row>
    <row r="22" spans="1:26" ht="25.9" customHeight="1">
      <c r="A22" s="1261"/>
      <c r="B22" s="1262" t="s">
        <v>3537</v>
      </c>
      <c r="C22" s="1262"/>
      <c r="D22" s="1262"/>
      <c r="E22" s="1262"/>
      <c r="F22" s="1262"/>
      <c r="G22" s="1262"/>
      <c r="H22" s="1262"/>
      <c r="I22" s="1262"/>
      <c r="J22" s="1262"/>
      <c r="K22" s="1262"/>
      <c r="L22" s="1262"/>
      <c r="M22" s="1262"/>
      <c r="N22" s="1262"/>
      <c r="O22" s="1262"/>
      <c r="P22" s="1262"/>
      <c r="Q22" s="1262"/>
      <c r="R22" s="1263">
        <f>SUM(R6:R21)</f>
        <v>1.5369600000000001</v>
      </c>
      <c r="S22" s="1262"/>
      <c r="T22" s="1262"/>
      <c r="U22" s="1264"/>
      <c r="V22" s="1264"/>
      <c r="W22" s="1264">
        <f>SUM(EBOM49[Price Top Side])</f>
        <v>0.53635851423940961</v>
      </c>
      <c r="X22" s="1264">
        <f>SUM(EBOM49[Price Bottom Side])</f>
        <v>0</v>
      </c>
      <c r="Y22" s="1264">
        <f>SUM(EBOM49[Total Price])</f>
        <v>2.5832849718895403</v>
      </c>
      <c r="Z22" s="1264"/>
    </row>
    <row r="23" spans="1:26" ht="25.9" customHeight="1"/>
    <row r="24" spans="1:26" ht="25.9" customHeight="1" thickBot="1">
      <c r="E24" s="1265"/>
      <c r="F24" s="1265"/>
      <c r="G24" s="1265"/>
      <c r="H24" s="1434" t="s">
        <v>3529</v>
      </c>
      <c r="I24" s="1434"/>
      <c r="K24" s="1434" t="s">
        <v>3530</v>
      </c>
      <c r="L24" s="1434"/>
      <c r="N24" s="1265"/>
      <c r="P24" s="1265"/>
      <c r="Q24" s="1265"/>
      <c r="R24" s="1266"/>
      <c r="S24" s="1267"/>
      <c r="T24" s="1267"/>
      <c r="U24" s="1268"/>
      <c r="V24" s="1269"/>
      <c r="X24" s="1265"/>
    </row>
    <row r="25" spans="1:26" ht="25.9" customHeight="1">
      <c r="E25" s="1265"/>
      <c r="F25" s="1265"/>
      <c r="G25" s="1265"/>
      <c r="H25" s="1270" t="s">
        <v>3491</v>
      </c>
      <c r="I25" s="1271">
        <f>SUMIF(EBOM49[SMD/THT],"SMD",EBOM49[Quantity 
Top Side])</f>
        <v>67</v>
      </c>
      <c r="K25" s="1270" t="s">
        <v>3491</v>
      </c>
      <c r="L25" s="1271">
        <f>SUMIF(EBOM49[SMD/THT],"SMD",EBOM49[Quantity 
Bottom Side])</f>
        <v>0</v>
      </c>
      <c r="N25" s="1265"/>
      <c r="R25" s="1266"/>
      <c r="S25" s="1267"/>
      <c r="T25" s="1267"/>
      <c r="U25" s="1268"/>
      <c r="V25" s="1269"/>
      <c r="W25" s="1268"/>
      <c r="X25" s="1265"/>
    </row>
    <row r="26" spans="1:26" ht="25.9" customHeight="1">
      <c r="E26" s="1265"/>
      <c r="F26" s="1265"/>
      <c r="G26" s="1265"/>
      <c r="H26" s="1272" t="s">
        <v>3498</v>
      </c>
      <c r="I26" s="1273">
        <f>SUMIF(EBOM49[SMD/THT],"THT-radial",EBOM49[Quantity 
Top Side])</f>
        <v>0</v>
      </c>
      <c r="K26" s="1272" t="s">
        <v>3498</v>
      </c>
      <c r="L26" s="1273">
        <f>SUMIF(EBOM49[SMD/THT],"THT-radial",EBOM49[Quantity 
Bottom Side])</f>
        <v>0</v>
      </c>
      <c r="N26" s="1265"/>
      <c r="R26" s="1266"/>
      <c r="S26" s="1267"/>
      <c r="T26" s="1267"/>
      <c r="U26" s="1268"/>
      <c r="V26" s="1269"/>
      <c r="W26" s="1268"/>
      <c r="X26" s="1265"/>
    </row>
    <row r="27" spans="1:26" ht="25.9" customHeight="1">
      <c r="E27" s="1265"/>
      <c r="F27" s="1265"/>
      <c r="G27" s="1265"/>
      <c r="H27" s="1272" t="s">
        <v>3499</v>
      </c>
      <c r="I27" s="1273">
        <f>SUMIF(EBOM49[SMD/THT],"THT-axial",EBOM49[Quantity 
Top Side])</f>
        <v>0</v>
      </c>
      <c r="K27" s="1272" t="s">
        <v>3499</v>
      </c>
      <c r="L27" s="1273">
        <f>SUMIF(EBOM49[SMD/THT],"THT-axial",EBOM49[Quantity 
Bottom Side])</f>
        <v>0</v>
      </c>
      <c r="N27" s="1265"/>
      <c r="R27" s="1266"/>
      <c r="S27" s="1267"/>
      <c r="T27" s="1267"/>
      <c r="U27" s="1268"/>
      <c r="V27" s="1269"/>
      <c r="W27" s="1268"/>
      <c r="X27" s="1265"/>
    </row>
    <row r="28" spans="1:26" ht="25.9" customHeight="1" thickBot="1">
      <c r="E28" s="1265"/>
      <c r="F28" s="1265"/>
      <c r="G28" s="1265"/>
      <c r="H28" s="1274" t="s">
        <v>3548</v>
      </c>
      <c r="I28" s="1275">
        <f>SUMIF(EBOM49[SMD/THT],H28,EBOM49[Quantity 
Top Side])</f>
        <v>0</v>
      </c>
      <c r="K28" s="1274" t="s">
        <v>3548</v>
      </c>
      <c r="L28" s="1275">
        <f>SUMIF(EBOM49[SMD/THT],K28,EBOM49[Quantity 
Bottom Side])</f>
        <v>0</v>
      </c>
      <c r="N28" s="1265"/>
      <c r="R28" s="1266"/>
      <c r="S28" s="1267"/>
      <c r="T28" s="1267"/>
      <c r="U28" s="1268"/>
      <c r="V28" s="1269"/>
      <c r="W28" s="1268"/>
      <c r="X28" s="1265"/>
    </row>
    <row r="29" spans="1:26" ht="25.9" customHeight="1" thickBot="1"/>
    <row r="30" spans="1:26" ht="25.9" customHeight="1">
      <c r="H30" s="1276" t="s">
        <v>4070</v>
      </c>
      <c r="I30" s="1277" t="str">
        <f>H24</f>
        <v>TOP SIDE</v>
      </c>
      <c r="J30" s="1278" t="str">
        <f>K24</f>
        <v>BOTTOM SIDE</v>
      </c>
    </row>
    <row r="31" spans="1:26" ht="25.9" customHeight="1">
      <c r="H31" s="1279" t="str">
        <f>C62</f>
        <v>Resistor</v>
      </c>
      <c r="I31" s="1237">
        <f>SUMIFS(EBOM49[Quantity 
Top Side],EBOM49[SMD/THT],"SMD",EBOM49[Type],H31)</f>
        <v>28</v>
      </c>
      <c r="J31" s="1280">
        <f>SUMIFS(EBOM49[Quantity 
Bottom Side],EBOM49[SMD/THT],"SMD",EBOM49[Type],H31)</f>
        <v>0</v>
      </c>
    </row>
    <row r="32" spans="1:26" ht="25.9" customHeight="1">
      <c r="H32" s="1279" t="str">
        <f>C60</f>
        <v>Capacitor</v>
      </c>
      <c r="I32" s="1237">
        <f>SUMIFS(EBOM49[Quantity 
Top Side],EBOM49[SMD/THT],"SMD",EBOM49[Type],H32)</f>
        <v>32</v>
      </c>
      <c r="J32" s="1280">
        <f>SUMIFS(EBOM49[Quantity 
Bottom Side],EBOM49[SMD/THT],"SMD",EBOM49[Type],H32)</f>
        <v>0</v>
      </c>
    </row>
    <row r="33" spans="1:11" ht="25.9" customHeight="1">
      <c r="H33" s="1279" t="s">
        <v>3550</v>
      </c>
      <c r="I33" s="1237">
        <f>IF((SUMIFS(EBOM49[Quantity 
Top Side],EBOM49[SMD/THT],"SMD",EBOM49[Source],"Shortlist")+SUMIFS(EBOM49[Quantity 
Top Side],EBOM49[SMD/THT],"SMD",EBOM49[Source],"Standard")-I31-I32)&lt;0,"Tabellenspalte 'Link' ausfüllen",SUMIFS(EBOM49[Quantity 
Top Side],EBOM49[SMD/THT],"SMD",EBOM49[Source],"Shortlist")+SUMIFS(EBOM49[Quantity 
Top Side],EBOM49[SMD/THT],"SMD",EBOM49[Source],"Standard")-I31-I32)</f>
        <v>0</v>
      </c>
      <c r="J33" s="1280">
        <f>IF((SUMIFS(EBOM49[Quantity 
Bottom Side],EBOM49[SMD/THT],"SMD",EBOM49[Source],"Shortlist")+SUMIFS(EBOM49[Quantity 
Bottom Side],EBOM49[SMD/THT],"SMD",EBOM49[Source],"Standard")-J31-J32)&lt;0,"Tabellenspalte 'Link' ausfüllen",SUMIFS(EBOM49[Quantity 
Bottom Side],EBOM49[SMD/THT],"SMD",EBOM49[Source],"Shortlist")+SUMIFS(EBOM49[Quantity 
Bottom Side],EBOM49[SMD/THT],"SMD",EBOM49[Source],"Standard")-J31-J32)</f>
        <v>0</v>
      </c>
    </row>
    <row r="34" spans="1:11" ht="25.9" customHeight="1">
      <c r="H34" s="1279" t="s">
        <v>3551</v>
      </c>
      <c r="I34" s="1237">
        <f>I25-I31-I32-I33-I35</f>
        <v>6</v>
      </c>
      <c r="J34" s="1280">
        <f>L25-J31-J32-J33-J35</f>
        <v>0</v>
      </c>
    </row>
    <row r="35" spans="1:11" ht="25.9" customHeight="1" thickBot="1">
      <c r="H35" s="1281" t="s">
        <v>3552</v>
      </c>
      <c r="I35" s="1282">
        <f>I36+I37</f>
        <v>1</v>
      </c>
      <c r="J35" s="1283"/>
    </row>
    <row r="36" spans="1:11" ht="25.9" customHeight="1">
      <c r="H36" s="1284" t="s">
        <v>3504</v>
      </c>
      <c r="I36" s="1285">
        <f>SUMIFS(EBOM49[Quantity 
Top Side],EBOM49[Group],H36,EBOM49[SMD/THT],"SMD")</f>
        <v>1</v>
      </c>
      <c r="J36" s="1286">
        <f>SUMIFS(EBOM49[Quantity 
Bottom Side],EBOM49[SMD/THT],"SMD",EBOM49[Group],H36)</f>
        <v>0</v>
      </c>
    </row>
    <row r="37" spans="1:11" ht="25.9" customHeight="1">
      <c r="H37" s="1287" t="s">
        <v>3540</v>
      </c>
      <c r="I37" s="1288">
        <f>SUMIFS(EBOM49[Quantity 
Top Side],EBOM49[Group],H37,EBOM49[SMD/THT],"SMD")</f>
        <v>0</v>
      </c>
      <c r="J37" s="1289">
        <f>SUMIFS(EBOM49[Quantity 
Bottom Side],EBOM49[SMD/THT],"SMD",EBOM49[Group],H37)</f>
        <v>0</v>
      </c>
    </row>
    <row r="38" spans="1:11" ht="25.9" customHeight="1"/>
    <row r="39" spans="1:11" ht="25.9" customHeight="1"/>
    <row r="40" spans="1:11" ht="25.9" customHeight="1"/>
    <row r="41" spans="1:11" ht="25.9" customHeight="1"/>
    <row r="42" spans="1:11" ht="25.9" customHeight="1"/>
    <row r="43" spans="1:11" ht="25.9" hidden="1" customHeight="1" thickBot="1">
      <c r="A43" s="1290" t="s">
        <v>4071</v>
      </c>
      <c r="B43" s="1291"/>
      <c r="C43" s="1291"/>
      <c r="D43" s="1291"/>
      <c r="E43" s="1291"/>
      <c r="F43" s="1291"/>
      <c r="G43" s="1291"/>
      <c r="H43" s="1291"/>
      <c r="I43" s="1291"/>
      <c r="J43" s="1291"/>
      <c r="K43" s="1292"/>
    </row>
    <row r="44" spans="1:11" ht="25.9" hidden="1" customHeight="1">
      <c r="A44" s="1293" t="s">
        <v>4071</v>
      </c>
      <c r="H44" s="1276" t="s">
        <v>4070</v>
      </c>
      <c r="I44" s="1277" t="str">
        <f>H24</f>
        <v>TOP SIDE</v>
      </c>
      <c r="J44" s="1278" t="str">
        <f>K24</f>
        <v>BOTTOM SIDE</v>
      </c>
      <c r="K44" s="1286"/>
    </row>
    <row r="45" spans="1:11" ht="25.9" hidden="1" customHeight="1">
      <c r="A45" s="1293" t="s">
        <v>4071</v>
      </c>
      <c r="H45" s="1279" t="s">
        <v>3560</v>
      </c>
      <c r="I45" s="1237">
        <f>SUMIFS(EBOM49[Quantity 
Top Side],EBOM49[SMD/THT],"SMD",EBOM49[Type],H45)</f>
        <v>28</v>
      </c>
      <c r="J45" s="1280">
        <f>SUMIFS(EBOM49[Quantity 
Bottom Side],EBOM49[SMD/THT],"SMD",EBOM49[Type],"Widerstand")</f>
        <v>0</v>
      </c>
      <c r="K45" s="1286"/>
    </row>
    <row r="46" spans="1:11" ht="25.9" hidden="1" customHeight="1">
      <c r="A46" s="1293" t="s">
        <v>4071</v>
      </c>
      <c r="H46" s="1279" t="s">
        <v>3558</v>
      </c>
      <c r="I46" s="1237">
        <f>SUMIFS(EBOM49[Quantity 
Top Side],EBOM49[SMD/THT],"SMD",EBOM49[Type],H46)</f>
        <v>32</v>
      </c>
      <c r="J46" s="1280">
        <f>SUMIFS(EBOM49[Quantity 
Bottom Side],EBOM49[SMD/THT],"SMD",EBOM49[Type],"Kondensator")</f>
        <v>0</v>
      </c>
      <c r="K46" s="1286"/>
    </row>
    <row r="47" spans="1:11" ht="25.9" hidden="1" customHeight="1">
      <c r="A47" s="1293" t="s">
        <v>4071</v>
      </c>
      <c r="H47" s="1279" t="s">
        <v>3550</v>
      </c>
      <c r="I47" s="1237">
        <f>SUMIFS(EBOM49[Quantity 
Top Side],EBOM49[SMD/THT],"SMD",EBOM49[Source],"Shortlist")+SUMIFS(EBOM49[Quantity 
Top Side],EBOM49[SMD/THT],"SMD",EBOM49[Source],"Standard")-I46-I45</f>
        <v>0</v>
      </c>
      <c r="J47" s="1280">
        <f>SUMIFS(EBOM49[Quantity 
Bottom Side],EBOM49[SMD/THT],"SMD",EBOM49[Source],"Standard")-J46-J45</f>
        <v>0</v>
      </c>
      <c r="K47" s="1286"/>
    </row>
    <row r="48" spans="1:11" ht="25.9" hidden="1" customHeight="1">
      <c r="A48" s="1293" t="s">
        <v>4071</v>
      </c>
      <c r="H48" s="1279" t="s">
        <v>3551</v>
      </c>
      <c r="I48" s="1237">
        <f>I25-I45-I46-I47-I49</f>
        <v>6</v>
      </c>
      <c r="J48" s="1280">
        <f>L25-J45-J46-J47-J49</f>
        <v>0</v>
      </c>
      <c r="K48" s="1286"/>
    </row>
    <row r="49" spans="1:20" ht="25.9" hidden="1" customHeight="1" thickBot="1">
      <c r="A49" s="1293" t="s">
        <v>4071</v>
      </c>
      <c r="H49" s="1281" t="s">
        <v>3552</v>
      </c>
      <c r="I49" s="1282">
        <f>I50+I51</f>
        <v>1</v>
      </c>
      <c r="J49" s="1283">
        <f>J50+J51</f>
        <v>0</v>
      </c>
      <c r="K49" s="1286"/>
    </row>
    <row r="50" spans="1:20" ht="25.9" hidden="1" customHeight="1">
      <c r="A50" s="1293" t="s">
        <v>4071</v>
      </c>
      <c r="H50" s="1284" t="s">
        <v>3504</v>
      </c>
      <c r="I50" s="1229">
        <f>SUMIFS(EBOM49[Quantity 
Top Side],EBOM49[SMD/THT],"SMD",EBOM49[Group],H50)</f>
        <v>1</v>
      </c>
      <c r="J50" s="1286">
        <f>SUMIFS(EBOM49[Quantity 
Bottom Side],EBOM49[SMD/THT],"SMD",EBOM49[Group],H50)</f>
        <v>0</v>
      </c>
      <c r="K50" s="1286"/>
    </row>
    <row r="51" spans="1:20" ht="25.9" hidden="1" customHeight="1">
      <c r="A51" s="1293" t="s">
        <v>4071</v>
      </c>
      <c r="H51" s="1287" t="s">
        <v>3540</v>
      </c>
      <c r="I51" s="1294">
        <f>SUMIFS(EBOM49[Quantity 
Top Side],EBOM49[SMD/THT],"SMD",EBOM49[Group],H51)</f>
        <v>0</v>
      </c>
      <c r="J51" s="1289">
        <f>SUMIFS(EBOM49[Quantity 
Bottom Side],EBOM49[SMD/THT],"SMD",EBOM49[Group],H51)</f>
        <v>0</v>
      </c>
      <c r="K51" s="1286"/>
    </row>
    <row r="52" spans="1:20" ht="25.9" hidden="1" customHeight="1">
      <c r="A52" s="1293" t="s">
        <v>4071</v>
      </c>
      <c r="K52" s="1286"/>
    </row>
    <row r="53" spans="1:20" ht="25.9" hidden="1" customHeight="1">
      <c r="A53" s="1293" t="s">
        <v>4071</v>
      </c>
      <c r="K53" s="1286"/>
    </row>
    <row r="54" spans="1:20" ht="25.9" hidden="1" customHeight="1">
      <c r="A54" s="1293" t="s">
        <v>4071</v>
      </c>
      <c r="K54" s="1286"/>
    </row>
    <row r="55" spans="1:20" ht="25.9" hidden="1" customHeight="1">
      <c r="A55" s="1293" t="s">
        <v>4071</v>
      </c>
      <c r="K55" s="1286"/>
    </row>
    <row r="56" spans="1:20" ht="25.9" hidden="1" customHeight="1">
      <c r="A56" s="1293" t="s">
        <v>4071</v>
      </c>
      <c r="K56" s="1286"/>
    </row>
    <row r="57" spans="1:20" ht="25.9" hidden="1" customHeight="1">
      <c r="A57" s="1293" t="s">
        <v>4071</v>
      </c>
      <c r="B57" s="1435" t="s">
        <v>4072</v>
      </c>
      <c r="C57" s="1436"/>
      <c r="K57" s="1286"/>
    </row>
    <row r="58" spans="1:20" ht="25.9" hidden="1" customHeight="1">
      <c r="A58" s="1293" t="s">
        <v>4071</v>
      </c>
      <c r="B58" s="1296" t="s">
        <v>4073</v>
      </c>
      <c r="C58" s="1297" t="s">
        <v>3514</v>
      </c>
      <c r="D58" s="1296" t="s">
        <v>3472</v>
      </c>
      <c r="F58" s="1297" t="s">
        <v>3558</v>
      </c>
      <c r="G58" s="1297" t="s">
        <v>3560</v>
      </c>
      <c r="H58" s="1297" t="s">
        <v>3495</v>
      </c>
      <c r="I58" s="1297" t="s">
        <v>3557</v>
      </c>
      <c r="J58" s="1297" t="s">
        <v>3559</v>
      </c>
      <c r="K58" s="1286"/>
      <c r="Q58" s="1298"/>
      <c r="T58" s="1229"/>
    </row>
    <row r="59" spans="1:20" ht="25.9" hidden="1" customHeight="1">
      <c r="A59" s="1293" t="s">
        <v>4071</v>
      </c>
      <c r="B59" s="1299" t="s">
        <v>3538</v>
      </c>
      <c r="C59" s="1229" t="s">
        <v>3557</v>
      </c>
      <c r="D59" s="1299" t="s">
        <v>3491</v>
      </c>
      <c r="F59" s="1229" t="s">
        <v>4074</v>
      </c>
      <c r="G59" s="1295" t="s">
        <v>4074</v>
      </c>
      <c r="H59" s="1229" t="s">
        <v>4075</v>
      </c>
      <c r="I59" s="1229" t="s">
        <v>4074</v>
      </c>
      <c r="J59" s="1229" t="s">
        <v>4074</v>
      </c>
      <c r="K59" s="1286"/>
      <c r="Q59" s="1298"/>
      <c r="T59" s="1229"/>
    </row>
    <row r="60" spans="1:20" ht="25.9" hidden="1" customHeight="1">
      <c r="A60" s="1293" t="s">
        <v>4071</v>
      </c>
      <c r="B60" s="1299" t="s">
        <v>3539</v>
      </c>
      <c r="C60" s="1229" t="s">
        <v>3558</v>
      </c>
      <c r="D60" s="1299" t="s">
        <v>3498</v>
      </c>
      <c r="F60" s="1229" t="s">
        <v>4076</v>
      </c>
      <c r="G60" s="1295" t="s">
        <v>4076</v>
      </c>
      <c r="H60" s="1229" t="s">
        <v>4077</v>
      </c>
      <c r="I60" s="1229" t="s">
        <v>4076</v>
      </c>
      <c r="J60" s="1229" t="s">
        <v>4076</v>
      </c>
      <c r="K60" s="1286"/>
      <c r="Q60" s="1298"/>
      <c r="T60" s="1229"/>
    </row>
    <row r="61" spans="1:20" ht="25.9" hidden="1" customHeight="1">
      <c r="A61" s="1293" t="s">
        <v>4071</v>
      </c>
      <c r="B61" s="1299" t="s">
        <v>3504</v>
      </c>
      <c r="C61" s="1229" t="s">
        <v>3559</v>
      </c>
      <c r="D61" s="1299" t="s">
        <v>3499</v>
      </c>
      <c r="F61" s="1229" t="s">
        <v>4078</v>
      </c>
      <c r="G61" s="1295" t="s">
        <v>4078</v>
      </c>
      <c r="H61" s="1229" t="s">
        <v>4079</v>
      </c>
      <c r="I61" s="1229" t="s">
        <v>4078</v>
      </c>
      <c r="J61" s="1229" t="s">
        <v>4078</v>
      </c>
      <c r="K61" s="1286"/>
      <c r="Q61" s="1298"/>
      <c r="T61" s="1229"/>
    </row>
    <row r="62" spans="1:20" ht="25.9" hidden="1" customHeight="1">
      <c r="A62" s="1293" t="s">
        <v>4071</v>
      </c>
      <c r="B62" s="1299" t="s">
        <v>3564</v>
      </c>
      <c r="C62" s="1229" t="s">
        <v>3560</v>
      </c>
      <c r="D62" s="1299" t="s">
        <v>3548</v>
      </c>
      <c r="F62" s="1229" t="s">
        <v>4080</v>
      </c>
      <c r="G62" s="1295" t="s">
        <v>4080</v>
      </c>
      <c r="H62" s="1229" t="s">
        <v>4081</v>
      </c>
      <c r="I62" s="1229" t="s">
        <v>4080</v>
      </c>
      <c r="J62" s="1229" t="s">
        <v>4080</v>
      </c>
      <c r="K62" s="1286"/>
      <c r="Q62" s="1298"/>
      <c r="T62" s="1229"/>
    </row>
    <row r="63" spans="1:20" ht="25.9" hidden="1" customHeight="1">
      <c r="A63" s="1293" t="s">
        <v>4071</v>
      </c>
      <c r="B63" s="1299" t="s">
        <v>3540</v>
      </c>
      <c r="C63" s="1229" t="s">
        <v>3495</v>
      </c>
      <c r="D63" s="1299"/>
      <c r="F63" s="1229" t="s">
        <v>4082</v>
      </c>
      <c r="G63" s="1295" t="s">
        <v>4082</v>
      </c>
      <c r="H63" s="1229" t="s">
        <v>4083</v>
      </c>
      <c r="K63" s="1286"/>
      <c r="Q63" s="1298"/>
      <c r="T63" s="1229"/>
    </row>
    <row r="64" spans="1:20" ht="25.9" hidden="1" customHeight="1">
      <c r="A64" s="1293" t="s">
        <v>4071</v>
      </c>
      <c r="B64" s="1299" t="s">
        <v>3541</v>
      </c>
      <c r="C64" s="1229" t="s">
        <v>3561</v>
      </c>
      <c r="D64" s="1299"/>
      <c r="G64" s="1295" t="s">
        <v>4084</v>
      </c>
      <c r="H64" s="1229" t="s">
        <v>4085</v>
      </c>
      <c r="K64" s="1286"/>
      <c r="Q64" s="1298"/>
      <c r="T64" s="1229"/>
    </row>
    <row r="65" spans="1:20" ht="25.9" hidden="1" customHeight="1">
      <c r="A65" s="1293" t="s">
        <v>4071</v>
      </c>
      <c r="B65" s="1299" t="s">
        <v>3542</v>
      </c>
      <c r="C65" s="1229" t="s">
        <v>3562</v>
      </c>
      <c r="D65" s="1299"/>
      <c r="G65" s="1295" t="s">
        <v>4086</v>
      </c>
      <c r="H65" s="1229" t="s">
        <v>4087</v>
      </c>
      <c r="K65" s="1286"/>
      <c r="Q65" s="1298"/>
      <c r="T65" s="1229"/>
    </row>
    <row r="66" spans="1:20" ht="25.9" hidden="1" customHeight="1">
      <c r="A66" s="1293" t="s">
        <v>4071</v>
      </c>
      <c r="B66" s="1299" t="s">
        <v>3511</v>
      </c>
      <c r="C66" s="1229" t="s">
        <v>3563</v>
      </c>
      <c r="D66" s="1299"/>
      <c r="H66" s="1229" t="s">
        <v>4088</v>
      </c>
      <c r="K66" s="1286"/>
      <c r="Q66" s="1298"/>
      <c r="T66" s="1229"/>
    </row>
    <row r="67" spans="1:20" ht="25.9" hidden="1" customHeight="1">
      <c r="A67" s="1293" t="s">
        <v>4071</v>
      </c>
      <c r="B67" s="1300" t="s">
        <v>667</v>
      </c>
      <c r="C67" s="1229" t="s">
        <v>3564</v>
      </c>
      <c r="D67" s="1300"/>
      <c r="H67" s="1229" t="s">
        <v>4089</v>
      </c>
      <c r="K67" s="1286"/>
      <c r="Q67" s="1298"/>
      <c r="T67" s="1229"/>
    </row>
    <row r="68" spans="1:20" ht="25.9" hidden="1" customHeight="1">
      <c r="A68" s="1293" t="s">
        <v>4071</v>
      </c>
      <c r="H68" s="1229" t="s">
        <v>4090</v>
      </c>
      <c r="K68" s="1286"/>
      <c r="Q68" s="1298"/>
      <c r="T68" s="1229"/>
    </row>
    <row r="69" spans="1:20" ht="25.9" hidden="1" customHeight="1">
      <c r="A69" s="1293" t="s">
        <v>4071</v>
      </c>
      <c r="B69" s="1229" t="s">
        <v>54</v>
      </c>
      <c r="C69" s="1229" t="str">
        <f>IF(Language="EN","Please enter price","Bitte Preis eintragen")</f>
        <v>Please enter price</v>
      </c>
      <c r="H69" s="1229" t="s">
        <v>4091</v>
      </c>
      <c r="K69" s="1286"/>
      <c r="Q69" s="1298"/>
      <c r="T69" s="1229"/>
    </row>
    <row r="70" spans="1:20" ht="25.9" hidden="1" customHeight="1">
      <c r="A70" s="1293" t="s">
        <v>4071</v>
      </c>
      <c r="H70" s="1229" t="s">
        <v>4092</v>
      </c>
      <c r="K70" s="1286"/>
      <c r="Q70" s="1298"/>
      <c r="T70" s="1229"/>
    </row>
    <row r="71" spans="1:20" ht="25.9" hidden="1" customHeight="1">
      <c r="A71" s="1293" t="s">
        <v>4071</v>
      </c>
      <c r="H71" s="1229" t="s">
        <v>4093</v>
      </c>
      <c r="K71" s="1286"/>
      <c r="Q71" s="1298"/>
      <c r="T71" s="1229"/>
    </row>
    <row r="72" spans="1:20" ht="25.9" hidden="1" customHeight="1">
      <c r="A72" s="1301" t="s">
        <v>4071</v>
      </c>
      <c r="B72" s="1294"/>
      <c r="C72" s="1294"/>
      <c r="D72" s="1294"/>
      <c r="E72" s="1294"/>
      <c r="F72" s="1294"/>
      <c r="G72" s="1294"/>
      <c r="H72" s="1294"/>
      <c r="I72" s="1294"/>
      <c r="J72" s="1294"/>
      <c r="K72" s="1289"/>
      <c r="Q72" s="1298"/>
      <c r="T72" s="1229"/>
    </row>
  </sheetData>
  <mergeCells count="4">
    <mergeCell ref="U2:U3"/>
    <mergeCell ref="H24:I24"/>
    <mergeCell ref="K24:L24"/>
    <mergeCell ref="B57:C57"/>
  </mergeCells>
  <conditionalFormatting sqref="R9:R10 T20:T21">
    <cfRule type="cellIs" dxfId="823" priority="11" operator="greaterThan">
      <formula>5</formula>
    </cfRule>
  </conditionalFormatting>
  <conditionalFormatting sqref="J3:L3">
    <cfRule type="cellIs" dxfId="822" priority="10" operator="equal">
      <formula>""</formula>
    </cfRule>
  </conditionalFormatting>
  <conditionalFormatting sqref="O7:O21">
    <cfRule type="cellIs" dxfId="821" priority="9" operator="equal">
      <formula>"[Link]"</formula>
    </cfRule>
  </conditionalFormatting>
  <conditionalFormatting sqref="H3">
    <cfRule type="cellIs" dxfId="820" priority="8" operator="equal">
      <formula>""</formula>
    </cfRule>
  </conditionalFormatting>
  <conditionalFormatting sqref="M7:M21">
    <cfRule type="expression" dxfId="819" priority="7">
      <formula>AND(NOT(ISBLANK(C7)),ISBLANK(M7))</formula>
    </cfRule>
  </conditionalFormatting>
  <conditionalFormatting sqref="R6">
    <cfRule type="cellIs" dxfId="818" priority="6" operator="greaterThan">
      <formula>5</formula>
    </cfRule>
  </conditionalFormatting>
  <conditionalFormatting sqref="O6">
    <cfRule type="cellIs" dxfId="817" priority="5" operator="equal">
      <formula>"[Link]"</formula>
    </cfRule>
  </conditionalFormatting>
  <conditionalFormatting sqref="M6">
    <cfRule type="expression" dxfId="816" priority="4">
      <formula>AND(NOT(ISBLANK(C6)),ISBLANK(M6))</formula>
    </cfRule>
  </conditionalFormatting>
  <conditionalFormatting sqref="W3">
    <cfRule type="cellIs" dxfId="815" priority="3" operator="equal">
      <formula>""</formula>
    </cfRule>
  </conditionalFormatting>
  <conditionalFormatting sqref="T3">
    <cfRule type="cellIs" dxfId="814" priority="2" operator="equal">
      <formula>""</formula>
    </cfRule>
  </conditionalFormatting>
  <conditionalFormatting sqref="T21">
    <cfRule type="cellIs" dxfId="813" priority="1" operator="greaterThan">
      <formula>5</formula>
    </cfRule>
  </conditionalFormatting>
  <dataValidations count="8">
    <dataValidation type="list" allowBlank="1" showInputMessage="1" showErrorMessage="1" sqref="B20:B21 B9:B18" xr:uid="{146A3ADE-E11A-4512-9215-4C41004B7634}">
      <formula1>$B$59:$B$67</formula1>
    </dataValidation>
    <dataValidation allowBlank="1" prompt="andere Eingaben möglich - im Dropdown sind die häufigsten aufgelistet" sqref="C6:C7" xr:uid="{258A5176-94C5-4280-9230-C1BFCD50D56F}"/>
    <dataValidation type="list" allowBlank="1" showInputMessage="1" showErrorMessage="1" sqref="H4" xr:uid="{696D15BE-494D-48C3-BFE3-EB31CAE47035}">
      <formula1>"2-layers,4-layers,6-layers,8-layers,10-layers,12-layers"</formula1>
    </dataValidation>
    <dataValidation type="list" allowBlank="1" showInputMessage="1" showErrorMessage="1" sqref="G4 L3" xr:uid="{9F1E57CD-150F-440B-81CB-2BDDF034743E}">
      <formula1>"Standard,HDI, HiFr,IMS (Aluminum)"</formula1>
    </dataValidation>
    <dataValidation type="list" allowBlank="1" showInputMessage="1" prompt="andere Eingaben möglich - im Dropdown sind die häufigsten aufgelistet" sqref="N6:N21" xr:uid="{E66D7CF1-7E70-4BD1-9366-1D534989A4C7}">
      <formula1>IF(OR(C6=$F$58,C6=$G$58,C6=$H$58,C6=$I$58,C6=$J$58),INDIRECT("tbl_Code_housing["&amp;C6&amp;"]"),NA())</formula1>
    </dataValidation>
    <dataValidation type="list" allowBlank="1" showInputMessage="1" prompt="andere Eingaben möglich - im Dropdown sind die häufigsten aufgelistet" sqref="C8:C21" xr:uid="{A0CA41A8-A61B-46D3-B2AE-408C92403147}">
      <formula1>$C$59:$C$67</formula1>
    </dataValidation>
    <dataValidation type="list" errorStyle="warning" allowBlank="1" showInputMessage="1" showErrorMessage="1" sqref="H6:H21" xr:uid="{DDD5E137-DD2E-49BC-908D-C766BF7F7028}">
      <formula1>$D$59:$D$62</formula1>
    </dataValidation>
    <dataValidation type="list" allowBlank="1" sqref="O6:O21" xr:uid="{4DE880E0-5F9A-4367-86A7-30C7AB7DC529}">
      <formula1>"[Link],Standard,Shortlist"</formula1>
    </dataValidation>
  </dataValidations>
  <hyperlinks>
    <hyperlink ref="O14" r:id="rId1" xr:uid="{858EC79E-270E-4A24-A599-A2EECF464A93}"/>
    <hyperlink ref="O15" r:id="rId2" xr:uid="{CF1691BC-E235-4E5F-A45A-CB83D16E1A76}"/>
    <hyperlink ref="O17" r:id="rId3" xr:uid="{DFC067A1-6B17-4E40-BCE7-2218B8D46F0E}"/>
  </hyperlinks>
  <printOptions horizontalCentered="1"/>
  <pageMargins left="0.78740157480314965" right="0.78740157480314965" top="0.78740157480314965" bottom="0.78740157480314965" header="0.51181102362204722" footer="0.51181102362204722"/>
  <pageSetup paperSize="9" scale="46" fitToHeight="5" orientation="landscape" horizontalDpi="300" verticalDpi="300" r:id="rId4"/>
  <headerFooter alignWithMargins="0">
    <oddFooter>Seite &amp;P von &amp;N</oddFooter>
  </headerFooter>
  <drawing r:id="rId5"/>
  <legacyDrawing r:id="rId6"/>
  <tableParts count="3">
    <tablePart r:id="rId7"/>
    <tablePart r:id="rId8"/>
    <tablePart r:id="rId9"/>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IndirectCosts">
    <tabColor theme="9" tint="0.59999389629810485"/>
    <outlinePr summaryBelow="0" summaryRight="0"/>
    <pageSetUpPr autoPageBreaks="0"/>
  </sheetPr>
  <dimension ref="B1:BQ57"/>
  <sheetViews>
    <sheetView showGridLines="0" showZeros="0" zoomScale="70" zoomScaleNormal="70" workbookViewId="0">
      <pane ySplit="3" topLeftCell="A4" activePane="bottomLeft" state="frozen"/>
      <selection activeCell="B2" sqref="B2:AX2"/>
      <selection pane="bottomLeft" activeCell="K3" sqref="K3"/>
    </sheetView>
  </sheetViews>
  <sheetFormatPr baseColWidth="10" defaultColWidth="11.42578125" defaultRowHeight="12.75" outlineLevelCol="2"/>
  <cols>
    <col min="1" max="1" width="2.7109375" style="5" customWidth="1"/>
    <col min="2" max="4" width="30.7109375" style="5" customWidth="1"/>
    <col min="5" max="5" width="9.7109375" style="5" customWidth="1"/>
    <col min="6" max="6" width="30.7109375" style="5" customWidth="1"/>
    <col min="7" max="8" width="9.7109375" style="5" customWidth="1"/>
    <col min="9" max="9" width="12.7109375" style="5" customWidth="1"/>
    <col min="10" max="17" width="9.7109375" style="5" customWidth="1"/>
    <col min="18" max="18" width="9.7109375" style="5" customWidth="1" collapsed="1"/>
    <col min="19" max="19" width="21.7109375" style="5" hidden="1" customWidth="1" outlineLevel="1"/>
    <col min="20" max="22" width="6.7109375" style="5" hidden="1" customWidth="1" outlineLevel="1"/>
    <col min="23" max="31" width="3.7109375" style="4" hidden="1" customWidth="1" outlineLevel="1"/>
    <col min="32" max="34" width="6.7109375" style="4" hidden="1" customWidth="1" outlineLevel="2"/>
    <col min="35" max="36" width="6.7109375" style="5" hidden="1" customWidth="1" outlineLevel="2"/>
    <col min="37" max="37" width="6.7109375" style="42" hidden="1" customWidth="1" outlineLevel="2"/>
    <col min="38" max="43" width="6.7109375" style="4" hidden="1" customWidth="1" outlineLevel="2"/>
    <col min="44" max="44" width="2.7109375" style="4" customWidth="1"/>
    <col min="45" max="45" width="34.85546875" style="4" bestFit="1" customWidth="1" collapsed="1"/>
    <col min="46" max="46" width="9.7109375" style="4" hidden="1" customWidth="1" outlineLevel="1"/>
    <col min="47" max="52" width="6.7109375" style="5" hidden="1" customWidth="1" outlineLevel="1"/>
    <col min="53" max="53" width="18.7109375" style="5" hidden="1" customWidth="1" outlineLevel="1"/>
    <col min="54" max="54" width="6.7109375" style="5" hidden="1" customWidth="1" outlineLevel="1"/>
    <col min="55" max="55" width="2.7109375" style="5" customWidth="1"/>
    <col min="56" max="56" width="24.7109375" style="5" bestFit="1" customWidth="1"/>
    <col min="57" max="57" width="6.7109375" style="364" customWidth="1" collapsed="1"/>
    <col min="58" max="58" width="6.7109375" style="5" hidden="1" customWidth="1" outlineLevel="1"/>
    <col min="59" max="59" width="6.7109375" style="177" hidden="1" customWidth="1" outlineLevel="1"/>
    <col min="60" max="60" width="2.7109375" style="5" customWidth="1"/>
    <col min="61" max="61" width="7.5703125" style="4" customWidth="1"/>
    <col min="62" max="62" width="7.28515625" style="4" customWidth="1"/>
    <col min="63" max="63" width="12.7109375" style="314" customWidth="1"/>
    <col min="64" max="64" width="2.7109375" style="5" customWidth="1"/>
    <col min="65" max="65" width="2.7109375" style="5" hidden="1" customWidth="1"/>
    <col min="66" max="66" width="27.28515625" style="5" hidden="1" customWidth="1"/>
    <col min="67" max="67" width="2.7109375" style="5" customWidth="1"/>
    <col min="68" max="16384" width="11.42578125" style="5"/>
  </cols>
  <sheetData>
    <row r="1" spans="2:69" ht="5.0999999999999996" customHeight="1">
      <c r="U1" s="4"/>
      <c r="V1" s="4"/>
      <c r="AI1" s="4"/>
      <c r="AJ1" s="4"/>
      <c r="AK1" s="4"/>
      <c r="AS1" s="314"/>
      <c r="AT1" s="177"/>
      <c r="AU1" s="177"/>
      <c r="AV1" s="177"/>
      <c r="AW1" s="177"/>
      <c r="AX1" s="177"/>
      <c r="AY1" s="177"/>
      <c r="AZ1" s="177"/>
      <c r="BA1" s="177"/>
      <c r="BB1" s="4"/>
      <c r="BC1" s="4"/>
      <c r="BD1" s="315"/>
      <c r="BE1" s="4"/>
      <c r="BF1" s="34"/>
      <c r="BG1" s="4"/>
      <c r="BH1" s="4"/>
      <c r="BL1" s="4"/>
      <c r="BM1" s="4"/>
    </row>
    <row r="2" spans="2:69" ht="25.5" customHeight="1">
      <c r="B2" s="1412" t="s">
        <v>1523</v>
      </c>
      <c r="C2" s="1412"/>
      <c r="D2" s="1412"/>
      <c r="E2" s="1412"/>
      <c r="F2" s="1412"/>
      <c r="G2" s="1412"/>
      <c r="H2" s="1412"/>
      <c r="I2" s="1412"/>
      <c r="J2" s="1412"/>
      <c r="K2" s="1412"/>
      <c r="L2" s="1412"/>
      <c r="M2" s="1412"/>
      <c r="N2" s="1412"/>
      <c r="O2" s="1412"/>
      <c r="P2" s="1412"/>
      <c r="Q2" s="1412"/>
      <c r="R2" s="1412"/>
      <c r="S2" s="1412"/>
      <c r="T2" s="1412"/>
      <c r="U2" s="1412"/>
      <c r="V2" s="1412"/>
      <c r="W2" s="1412"/>
      <c r="X2" s="1412"/>
      <c r="Y2" s="1412"/>
      <c r="Z2" s="1412"/>
      <c r="AA2" s="1412"/>
      <c r="AB2" s="1412"/>
      <c r="AC2" s="1412"/>
      <c r="AD2" s="1412"/>
      <c r="AE2" s="1412"/>
      <c r="AF2" s="1412"/>
      <c r="AG2" s="1412"/>
      <c r="AH2" s="1412"/>
      <c r="AI2" s="1412"/>
      <c r="AJ2" s="1412"/>
      <c r="AK2" s="1412"/>
      <c r="AL2" s="1412"/>
      <c r="AM2" s="1412"/>
      <c r="AN2" s="1412"/>
      <c r="AO2" s="1412"/>
      <c r="AP2" s="1412"/>
      <c r="AQ2" s="1412"/>
      <c r="AR2" s="1412"/>
      <c r="AS2" s="1412"/>
      <c r="AT2" s="1412"/>
      <c r="AU2" s="1412"/>
      <c r="AV2" s="1412"/>
      <c r="AW2" s="1412"/>
      <c r="AX2" s="1412"/>
      <c r="AY2" s="1412"/>
      <c r="AZ2" s="1412"/>
      <c r="BA2" s="1412"/>
      <c r="BB2" s="1412"/>
      <c r="BC2" s="1412"/>
      <c r="BD2" s="1412"/>
      <c r="BE2" s="1412"/>
      <c r="BF2" s="1412"/>
      <c r="BG2" s="1412"/>
      <c r="BH2" s="1412"/>
      <c r="BI2" s="1412"/>
      <c r="BJ2" s="1412"/>
      <c r="BK2" s="1412"/>
      <c r="BL2" s="1412"/>
      <c r="BM2" s="1412"/>
      <c r="BN2" s="1412"/>
    </row>
    <row r="3" spans="2:69" ht="5.0999999999999996" customHeight="1">
      <c r="U3" s="4"/>
      <c r="V3" s="4"/>
      <c r="AI3" s="4"/>
      <c r="AJ3" s="4"/>
      <c r="AK3" s="4"/>
      <c r="AS3" s="314"/>
      <c r="AT3" s="177"/>
      <c r="AU3" s="177"/>
      <c r="AV3" s="177"/>
      <c r="AW3" s="177"/>
      <c r="AX3" s="177"/>
      <c r="AY3" s="177"/>
      <c r="AZ3" s="177"/>
      <c r="BA3" s="177"/>
      <c r="BB3" s="4"/>
      <c r="BC3" s="4"/>
      <c r="BD3" s="315"/>
      <c r="BE3" s="4"/>
      <c r="BF3" s="34"/>
      <c r="BG3" s="4"/>
      <c r="BH3" s="4"/>
      <c r="BL3" s="4"/>
      <c r="BM3" s="4"/>
    </row>
    <row r="4" spans="2:69" ht="13.5" customHeight="1">
      <c r="B4" s="4"/>
      <c r="C4" s="4"/>
      <c r="D4" s="4"/>
      <c r="E4" s="4"/>
      <c r="L4" s="1441" t="s">
        <v>1174</v>
      </c>
      <c r="M4" s="1441"/>
      <c r="N4" s="1441"/>
      <c r="O4" s="1441"/>
      <c r="P4" s="1441"/>
      <c r="Q4" s="1441"/>
      <c r="R4" s="316"/>
      <c r="S4" s="317"/>
      <c r="T4" s="1442" t="s">
        <v>1185</v>
      </c>
      <c r="U4" s="1443"/>
      <c r="V4" s="1444"/>
      <c r="W4" s="1445" t="s">
        <v>1186</v>
      </c>
      <c r="X4" s="1445"/>
      <c r="Y4" s="1445"/>
      <c r="Z4" s="1445"/>
      <c r="AA4" s="1445"/>
      <c r="AB4" s="1445"/>
      <c r="AC4" s="1445"/>
      <c r="AD4" s="1445"/>
      <c r="AE4" s="1446"/>
      <c r="AF4" s="1447" t="s">
        <v>1187</v>
      </c>
      <c r="AG4" s="1448"/>
      <c r="AH4" s="1448"/>
      <c r="AI4" s="1449"/>
      <c r="AJ4" s="1450" t="s">
        <v>1189</v>
      </c>
      <c r="AK4" s="1448"/>
      <c r="AL4" s="1448"/>
      <c r="AM4" s="1449"/>
      <c r="AN4" s="1450" t="s">
        <v>1188</v>
      </c>
      <c r="AO4" s="1448"/>
      <c r="AP4" s="1448"/>
      <c r="AQ4" s="1449"/>
      <c r="AR4" s="5"/>
      <c r="AT4" s="34"/>
      <c r="AU4" s="4"/>
      <c r="AV4" s="4"/>
      <c r="AW4" s="4"/>
      <c r="AX4" s="4"/>
      <c r="AY4" s="4"/>
      <c r="AZ4" s="4"/>
      <c r="BA4" s="4"/>
      <c r="BB4" s="4"/>
      <c r="BC4" s="177"/>
      <c r="BD4" s="4"/>
      <c r="BE4" s="5"/>
      <c r="BG4" s="5"/>
      <c r="BH4" s="4"/>
      <c r="BL4" s="4"/>
      <c r="BM4" s="4"/>
    </row>
    <row r="5" spans="2:69" s="326" customFormat="1" ht="75" customHeight="1">
      <c r="B5" s="674" t="s">
        <v>2168</v>
      </c>
      <c r="C5" s="675" t="s">
        <v>1206</v>
      </c>
      <c r="D5" s="675" t="s">
        <v>1207</v>
      </c>
      <c r="E5" s="675" t="s">
        <v>1169</v>
      </c>
      <c r="F5" s="675" t="s">
        <v>1192</v>
      </c>
      <c r="G5" s="675" t="s">
        <v>1170</v>
      </c>
      <c r="H5" s="675" t="s">
        <v>1171</v>
      </c>
      <c r="I5" s="675" t="s">
        <v>1172</v>
      </c>
      <c r="J5" s="675" t="s">
        <v>2222</v>
      </c>
      <c r="K5" s="675" t="s">
        <v>1173</v>
      </c>
      <c r="L5" s="675" t="s">
        <v>1529</v>
      </c>
      <c r="M5" s="675" t="s">
        <v>1530</v>
      </c>
      <c r="N5" s="675" t="s">
        <v>1531</v>
      </c>
      <c r="O5" s="675" t="s">
        <v>1532</v>
      </c>
      <c r="P5" s="675" t="s">
        <v>1533</v>
      </c>
      <c r="Q5" s="675" t="s">
        <v>1534</v>
      </c>
      <c r="R5" s="675" t="s">
        <v>1175</v>
      </c>
      <c r="S5" s="689" t="s">
        <v>1190</v>
      </c>
      <c r="T5" s="318" t="s">
        <v>1176</v>
      </c>
      <c r="U5" s="319" t="s">
        <v>1177</v>
      </c>
      <c r="V5" s="320" t="s">
        <v>1178</v>
      </c>
      <c r="W5" s="321" t="s">
        <v>134</v>
      </c>
      <c r="X5" s="319" t="s">
        <v>902</v>
      </c>
      <c r="Y5" s="319" t="s">
        <v>34</v>
      </c>
      <c r="Z5" s="319" t="s">
        <v>1179</v>
      </c>
      <c r="AA5" s="319" t="s">
        <v>1180</v>
      </c>
      <c r="AB5" s="319" t="s">
        <v>1181</v>
      </c>
      <c r="AC5" s="319" t="s">
        <v>1182</v>
      </c>
      <c r="AD5" s="319" t="s">
        <v>1184</v>
      </c>
      <c r="AE5" s="319" t="s">
        <v>962</v>
      </c>
      <c r="AF5" s="322" t="str">
        <f>"Interest bearing investment
in " &amp;Currency</f>
        <v>Interest bearing investment
in EUR</v>
      </c>
      <c r="AG5" s="323" t="str">
        <f>Currency</f>
        <v>EUR</v>
      </c>
      <c r="AH5" s="323" t="s">
        <v>1023</v>
      </c>
      <c r="AI5" s="324" t="s">
        <v>913</v>
      </c>
      <c r="AJ5" s="322" t="str">
        <f>"Interest bearing investment
in " &amp;Currency</f>
        <v>Interest bearing investment
in EUR</v>
      </c>
      <c r="AK5" s="323" t="str">
        <f>Currency</f>
        <v>EUR</v>
      </c>
      <c r="AL5" s="323" t="s">
        <v>1023</v>
      </c>
      <c r="AM5" s="324" t="s">
        <v>913</v>
      </c>
      <c r="AN5" s="322" t="str">
        <f>"Interest bearing investment
in " &amp;Currency</f>
        <v>Interest bearing investment
in EUR</v>
      </c>
      <c r="AO5" s="323" t="str">
        <f>Currency</f>
        <v>EUR</v>
      </c>
      <c r="AP5" s="323" t="s">
        <v>1023</v>
      </c>
      <c r="AQ5" s="325" t="s">
        <v>913</v>
      </c>
      <c r="AS5" s="676" t="s">
        <v>1205</v>
      </c>
      <c r="AT5" s="694" t="str">
        <f>"Invest
["&amp;InputCurrency&amp;"]"</f>
        <v>Invest
[EUR]</v>
      </c>
      <c r="AU5" s="695" t="s">
        <v>108</v>
      </c>
      <c r="AV5" s="695" t="s">
        <v>548</v>
      </c>
      <c r="AW5" s="695" t="s">
        <v>2076</v>
      </c>
      <c r="AX5" s="695" t="s">
        <v>549</v>
      </c>
      <c r="AY5" s="696" t="s">
        <v>1562</v>
      </c>
      <c r="AZ5" s="696" t="s">
        <v>550</v>
      </c>
      <c r="BA5" s="697" t="s">
        <v>1190</v>
      </c>
      <c r="BB5" s="675" t="s">
        <v>74</v>
      </c>
      <c r="BI5" s="1438" t="s">
        <v>2331</v>
      </c>
      <c r="BJ5" s="1439"/>
      <c r="BK5" s="1440"/>
      <c r="BN5" s="327" t="s">
        <v>52</v>
      </c>
    </row>
    <row r="6" spans="2:69" s="180" customFormat="1" ht="4.5" customHeight="1">
      <c r="B6" s="328" t="s">
        <v>148</v>
      </c>
      <c r="C6" s="329" t="s">
        <v>50</v>
      </c>
      <c r="D6" s="329" t="s">
        <v>54</v>
      </c>
      <c r="E6" s="329" t="s">
        <v>988</v>
      </c>
      <c r="F6" s="329" t="s">
        <v>989</v>
      </c>
      <c r="G6" s="329" t="s">
        <v>1045</v>
      </c>
      <c r="H6" s="329" t="s">
        <v>990</v>
      </c>
      <c r="I6" s="329" t="s">
        <v>1015</v>
      </c>
      <c r="J6" s="180" t="s">
        <v>2186</v>
      </c>
      <c r="K6" s="329" t="s">
        <v>1018</v>
      </c>
      <c r="L6" s="330" t="s">
        <v>1528</v>
      </c>
      <c r="M6" s="180" t="s">
        <v>1238</v>
      </c>
      <c r="N6" s="180" t="s">
        <v>1266</v>
      </c>
      <c r="O6" s="180" t="s">
        <v>1267</v>
      </c>
      <c r="P6" s="180" t="s">
        <v>913</v>
      </c>
      <c r="Q6" s="180" t="s">
        <v>1268</v>
      </c>
      <c r="R6" s="329" t="s">
        <v>1019</v>
      </c>
      <c r="S6" s="330" t="s">
        <v>1084</v>
      </c>
      <c r="T6" s="331" t="s">
        <v>1034</v>
      </c>
      <c r="U6" s="329" t="s">
        <v>1035</v>
      </c>
      <c r="V6" s="332" t="s">
        <v>1037</v>
      </c>
      <c r="W6" s="333" t="s">
        <v>1047</v>
      </c>
      <c r="X6" s="329" t="s">
        <v>140</v>
      </c>
      <c r="Y6" s="329" t="s">
        <v>1048</v>
      </c>
      <c r="Z6" s="329" t="s">
        <v>1049</v>
      </c>
      <c r="AA6" s="329" t="s">
        <v>1050</v>
      </c>
      <c r="AB6" s="329" t="s">
        <v>1051</v>
      </c>
      <c r="AC6" s="329" t="s">
        <v>1052</v>
      </c>
      <c r="AD6" s="329" t="s">
        <v>1053</v>
      </c>
      <c r="AE6" s="329" t="s">
        <v>1054</v>
      </c>
      <c r="AF6" s="334" t="s">
        <v>1071</v>
      </c>
      <c r="AG6" s="335" t="s">
        <v>1072</v>
      </c>
      <c r="AH6" s="335" t="s">
        <v>1073</v>
      </c>
      <c r="AI6" s="336" t="s">
        <v>1074</v>
      </c>
      <c r="AJ6" s="337" t="s">
        <v>1075</v>
      </c>
      <c r="AK6" s="335" t="s">
        <v>1076</v>
      </c>
      <c r="AL6" s="335" t="s">
        <v>1077</v>
      </c>
      <c r="AM6" s="336" t="s">
        <v>1078</v>
      </c>
      <c r="AN6" s="337" t="s">
        <v>1079</v>
      </c>
      <c r="AO6" s="335" t="s">
        <v>1080</v>
      </c>
      <c r="AP6" s="335" t="s">
        <v>1081</v>
      </c>
      <c r="AQ6" s="338" t="s">
        <v>1082</v>
      </c>
      <c r="AR6" s="339"/>
      <c r="AS6" s="339" t="s">
        <v>2</v>
      </c>
      <c r="AT6" s="339" t="s">
        <v>438</v>
      </c>
      <c r="AU6" s="339" t="s">
        <v>1038</v>
      </c>
      <c r="AV6" s="339" t="s">
        <v>21</v>
      </c>
      <c r="AW6" s="339" t="s">
        <v>439</v>
      </c>
      <c r="AX6" s="339" t="s">
        <v>447</v>
      </c>
      <c r="AY6" s="339" t="s">
        <v>448</v>
      </c>
      <c r="AZ6" s="339" t="s">
        <v>449</v>
      </c>
      <c r="BA6" s="339" t="s">
        <v>1066</v>
      </c>
      <c r="BB6" s="340" t="s">
        <v>1045</v>
      </c>
      <c r="BI6" s="339" t="s">
        <v>59</v>
      </c>
      <c r="BJ6" s="339" t="s">
        <v>2333</v>
      </c>
      <c r="BK6" s="339" t="s">
        <v>439</v>
      </c>
    </row>
    <row r="7" spans="2:69">
      <c r="B7" s="688" t="str">
        <f>IF(Language="DE",MGK[[#This Row],[DE]],MGK[[#This Row],[EN]])</f>
        <v>C-Parts</v>
      </c>
      <c r="C7" s="235" t="s">
        <v>1103</v>
      </c>
      <c r="D7" s="235" t="s">
        <v>961</v>
      </c>
      <c r="E7" s="235" t="s">
        <v>991</v>
      </c>
      <c r="F7" s="235" t="s">
        <v>1000</v>
      </c>
      <c r="G7" s="235" t="s">
        <v>991</v>
      </c>
      <c r="H7" s="235" t="s">
        <v>1039</v>
      </c>
      <c r="I7" s="235" t="s">
        <v>993</v>
      </c>
      <c r="J7" s="341" t="s">
        <v>2187</v>
      </c>
      <c r="K7" s="235">
        <v>4</v>
      </c>
      <c r="L7" s="342">
        <v>1000</v>
      </c>
      <c r="M7" s="343">
        <v>10</v>
      </c>
      <c r="N7" s="343">
        <v>10</v>
      </c>
      <c r="O7" s="343">
        <v>1000</v>
      </c>
      <c r="P7" s="343"/>
      <c r="Q7" s="343"/>
      <c r="R7" s="341">
        <v>0.01</v>
      </c>
      <c r="S7" s="690" t="str">
        <f>IFERROR(INDEX(MGKMHR[Gerät],MATCH(MGK[[#This Row],[Lagerart]],MGKMHR[Bezeichnung],0)),0)</f>
        <v>E-Stapler</v>
      </c>
      <c r="T7" s="691" cm="1">
        <f t="array" ref="T7">IFERROR(IF(MGK[[#This Row],[Bestellaufwand]]="gering",0.25, IF(MGK[[#This Row],[Bestellaufwand]]="mittel",1.5,IF(MGK[[#This Row],[Bestellaufwand]]="hoch",8,0))),0)
+IFERROR(IF(MGK[[#This Row],[Bestellaufwand]]="gering",0.25, IF(MGK[[#This Row],[Bestellaufwand]]="mittel",0.5,IF(MGK[[#This Row],[Bestellaufwand]]="hoch",1,0)))*OrdersPerYear,0)</f>
        <v>0.5</v>
      </c>
      <c r="U7" s="688">
        <f>SUM(MGK[[#This Row],[Maße]:[Elekronik]])</f>
        <v>0</v>
      </c>
      <c r="V7" s="692" cm="1">
        <f t="array" ref="V7">IFERROR(INDEX(MGKMHR[Handling],MATCH(MGK[[#This Row],[Lagerart]],MGKMHR[Bezeichnung],0))
*(OrdersPerYear+52/MGK[[#This Row],[Lagerreichweite]])*IF(MGK[[#This Row],[Handling]]="gering",0.25,IF(MGK[[#This Row],[Handling]]="hoch",2,1)),0)</f>
        <v>0.70000000000000007</v>
      </c>
      <c r="W7" s="693" cm="1">
        <f t="array" ref="W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7" s="677" cm="1">
        <f t="array" ref="X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7" s="677" cm="1">
        <f t="array" ref="Y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7" s="677" cm="1">
        <f t="array" ref="Z7">OrdersPerYear*IF(MGK[[#This Row],[Prüfaufwand]]="gering",0.25,IF(MGK[[#This Row],[Prüfaufwand]]="mittel",0.5,IF(MGK[[#This Row],[Prüfaufwand]]="hoch",1,0)))
*IF(MGK[[#This Row],[Spezifiaktion]]="Zusammenbau",1,0)*1</f>
        <v>0</v>
      </c>
      <c r="AA7" s="677" cm="1">
        <f t="array" ref="AA7">OrdersPerYear*IF(MGK[[#This Row],[Prüfaufwand]]="hoch",1,0)
*IF(MGK[[#This Row],[Spezifiaktion]]="Zusammenbau",1,0)*0.25</f>
        <v>0</v>
      </c>
      <c r="AB7" s="677" cm="1">
        <f t="array" ref="AB7">OrdersPerYear*IF(MGK[[#This Row],[Prüfaufwand]]="hoch",1,0)
*IF(MGK[[#This Row],[Spezifiaktion]]="Zusammenbau",1,0)*0.25</f>
        <v>0</v>
      </c>
      <c r="AC7" s="677" cm="1">
        <f t="array" ref="AC7">OrdersPerYear*IF(MGK[[#This Row],[Prüfaufwand]]="mittel",0.5,IF(MGK[[#This Row],[Prüfaufwand]]="hoch",1,0))
*IF(MGK[[#This Row],[Spezifiaktion]]="Zusammenbau",1,0)*1.5</f>
        <v>0</v>
      </c>
      <c r="AD7" s="677" cm="1">
        <f t="array" ref="AD7">OrdersPerYear*IF(MGK[[#This Row],[Prüfaufwand]]="hoch",1,0)
*IF(MGK[[#This Row],[Spezifiaktion]]="Zusammenbau",1,0)*0.25</f>
        <v>0</v>
      </c>
      <c r="AE7" s="677" cm="1">
        <f t="array" ref="AE7">OrdersPerYear*IF(MGK[[#This Row],[Bestellaufwand]]="gering",0.15,IF(MGK[[#This Row],[Bestellaufwand]]="mittel",0.5,IF(MGK[[#This Row],[Prüfaufwand]]="hoch",1,0)))
*IF(MGK[[#This Row],[Spezifiaktion]]="Elektronik",1,0)*1</f>
        <v>0</v>
      </c>
      <c r="AF7" s="678" cm="1">
        <f t="array" ref="AF7">IFERROR(SUMPRODUCT(MGK[[#This Row],[Maße]:[Elekronik]],TRANSPOSE($AT$8:$AT$16))*ExchangeRate/SUM(MGK[[#This Row],[Maße]:[Elekronik]]),0)</f>
        <v>0</v>
      </c>
      <c r="AG7" s="688" cm="1">
        <f t="array" ref="AG7">IFERROR((SUMPRODUCT(MGK[[#This Row],[Maße]:[Elekronik]],TRANSPOSE($AT$8:$AT$16),1/TRANSPOSE($AU$8:$AU$16))+SUMPRODUCT(MGK[[#This Row],[Maße]:[Elekronik]],TRANSPOSE($AT$8:$AT$16),TRANSPOSE($AY$8:$AY$16))+SUMPRODUCT(MGK[[#This Row],[Maße]:[Elekronik]],TRANSPOSE($AT$8:$AT$16),TRANSPOSE($AZ$8:$AZ$16)))*ExchangeRate/(250*8*0.8)/SUM(MGK[[#This Row],[Maße]:[Elekronik]]),0)</f>
        <v>0</v>
      </c>
      <c r="AH7" s="688" cm="1">
        <f t="array" ref="AH7">IFERROR(SUMPRODUCT(MGK[[#This Row],[Maße]:[Elekronik]],TRANSPOSE($AV$8:$AV$16),TRANSPOSE($AW$8:$AW$16))/SUM(MGK[[#This Row],[Maße]:[Elekronik]]),0)</f>
        <v>0</v>
      </c>
      <c r="AI7" s="688" cm="1">
        <f t="array" ref="AI7">IFERROR(SUMPRODUCT(MGK[[#This Row],[Maße]:[Elekronik]],TRANSPOSE($AX$8:$AX$16))/SUM(MGK[[#This Row],[Maße]:[Elekronik]]),0)</f>
        <v>0</v>
      </c>
      <c r="AJ7" s="688">
        <f>IFERROR(INDEX(MGKMHR[Invest],MATCH(MGK[[#This Row],[Lagerart]],MGKMHR[Bezeichnung],0))*ExchangeRate,0)</f>
        <v>30.6</v>
      </c>
      <c r="AK7" s="688">
        <f>IFERROR(MGK[[#This Row],[L-Invest]]*(1/INDEX(MGKMHR[AfA],MATCH(MGK[[#This Row],[Lagerart]],MGKMHR[Bezeichnung],0))+INDEX(MGKMHR[Verbrauchsmaterial],MATCH(MGK[[#This Row],[Lagerart]],MGKMHR[Bezeichnung],0))+INDEX(MGKMHR[Instandhaltung],MATCH(MGK[[#This Row],[Lagerart]],MGKMHR[Bezeichnung],0)))/(365*24),0)</f>
        <v>4.3547945205479459E-4</v>
      </c>
      <c r="AL7" s="688">
        <f>IFERROR(INDEX(MGKMHR[Strom],MATCH(MGK[[#This Row],[Lagerart]],MGKMHR[Bezeichnung],0))*INDEX(MGKMHR[Faktor],MATCH(MGK[[#This Row],[Lagerart]],MGKMHR[Bezeichnung],0)),0)</f>
        <v>5.4794520547945206E-3</v>
      </c>
      <c r="AM7" s="688">
        <f>IFERROR(INDEX(MGKMHR[Fläche],MATCH(MGK[[#This Row],[Lagerart]],MGKMHR[Bezeichnung],0)),0)</f>
        <v>0.5</v>
      </c>
      <c r="AN7" s="678">
        <f>IFERROR(INDEX(MGKMHR[Invest],MATCH(MGK[[#This Row],[Lagerbediengerät]],MGKMHR[Bezeichnung],0))*ExchangeRate,0)</f>
        <v>20000</v>
      </c>
      <c r="AO7" s="688">
        <f>IFERROR(MGK[[#This Row],[B-Invest]]*(1/INDEX(MGKMHR[AfA],MATCH(MGK[[#This Row],[Lagerbediengerät]],MGKMHR[Bezeichnung],0))+INDEX(MGKMHR[Verbrauchsmaterial],MATCH(MGK[[#This Row],[Lagerbediengerät]],MGKMHR[Bezeichnung],0))+INDEX(MGKMHR[Instandhaltung],MATCH(MGK[[#This Row],[Lagerbediengerät]],MGKMHR[Bezeichnung],0)))/(250*16*0.8),0)</f>
        <v>6.25</v>
      </c>
      <c r="AP7" s="688">
        <f>IFERROR(INDEX(MGKMHR[Strom],MATCH(MGK[[#This Row],[Lagerbediengerät]],MGKMHR[Bezeichnung],0))*INDEX(MGKMHR[Faktor],MATCH(MGK[[#This Row],[Lagerbediengerät]],MGKMHR[Bezeichnung],0)),0)</f>
        <v>9.6999999999999993</v>
      </c>
      <c r="AQ7" s="688">
        <f>IFERROR(INDEX(MGKMHR[Fläche],MATCH(MGK[[#This Row],[Lagerbediengerät]],MGKMHR[Bezeichnung],0)),0)</f>
        <v>0</v>
      </c>
      <c r="AR7" s="344"/>
      <c r="AS7" s="683" t="s">
        <v>1024</v>
      </c>
      <c r="AT7" s="235">
        <v>2500</v>
      </c>
      <c r="AU7" s="235">
        <v>3</v>
      </c>
      <c r="AV7" s="235">
        <v>0.3</v>
      </c>
      <c r="AW7" s="235">
        <v>0.5</v>
      </c>
      <c r="AX7" s="235">
        <v>2.5</v>
      </c>
      <c r="AY7" s="345">
        <v>0.02</v>
      </c>
      <c r="AZ7" s="345">
        <v>3.7999999999999999E-2</v>
      </c>
      <c r="BA7" s="345"/>
      <c r="BB7" s="345"/>
      <c r="BE7" s="5"/>
      <c r="BG7" s="5"/>
      <c r="BI7" s="677" t="str">
        <f>IF(Language="DE","pcs.","Stk.")</f>
        <v>Stk.</v>
      </c>
      <c r="BJ7" s="677" t="s">
        <v>1528</v>
      </c>
      <c r="BK7" s="678">
        <v>1</v>
      </c>
    </row>
    <row r="8" spans="2:69">
      <c r="B8" s="688" t="str">
        <f>IF(Language="DE",MGK[[#This Row],[DE]],MGK[[#This Row],[EN]])</f>
        <v>Assy light</v>
      </c>
      <c r="C8" s="235" t="s">
        <v>1261</v>
      </c>
      <c r="D8" s="235" t="s">
        <v>1007</v>
      </c>
      <c r="E8" s="235" t="s">
        <v>995</v>
      </c>
      <c r="F8" s="235" t="s">
        <v>1001</v>
      </c>
      <c r="G8" s="235" t="s">
        <v>995</v>
      </c>
      <c r="H8" s="235" t="s">
        <v>995</v>
      </c>
      <c r="I8" s="235" t="s">
        <v>709</v>
      </c>
      <c r="J8" s="341" t="s">
        <v>2188</v>
      </c>
      <c r="K8" s="235">
        <v>4</v>
      </c>
      <c r="L8" s="342">
        <v>100</v>
      </c>
      <c r="M8" s="343"/>
      <c r="N8" s="343"/>
      <c r="O8" s="343"/>
      <c r="P8" s="343"/>
      <c r="Q8" s="343"/>
      <c r="R8" s="341">
        <v>1</v>
      </c>
      <c r="S8" s="690">
        <f>IFERROR(INDEX(MGKMHR[Gerät],MATCH(MGK[[#This Row],[Lagerart]],MGKMHR[Bezeichnung],0)),0)</f>
        <v>0</v>
      </c>
      <c r="T8" s="691" cm="1">
        <f t="array" ref="T8">IFERROR(IF(MGK[[#This Row],[Bestellaufwand]]="gering",0.25, IF(MGK[[#This Row],[Bestellaufwand]]="mittel",1.5,IF(MGK[[#This Row],[Bestellaufwand]]="hoch",8,0))),0)
+IFERROR(IF(MGK[[#This Row],[Bestellaufwand]]="gering",0.25, IF(MGK[[#This Row],[Bestellaufwand]]="mittel",0.5,IF(MGK[[#This Row],[Bestellaufwand]]="hoch",1,0)))*OrdersPerYear,0)</f>
        <v>7.5</v>
      </c>
      <c r="U8" s="688">
        <f>SUM(MGK[[#This Row],[Maße]:[Elekronik]])</f>
        <v>28.5</v>
      </c>
      <c r="V8" s="692" cm="1">
        <f t="array" ref="V8">IFERROR(INDEX(MGKMHR[Handling],MATCH(MGK[[#This Row],[Lagerart]],MGKMHR[Bezeichnung],0))
*(OrdersPerYear+52/MGK[[#This Row],[Lagerreichweite]])*IF(MGK[[#This Row],[Handling]]="gering",0.25,IF(MGK[[#This Row],[Handling]]="hoch",2,1)),0)</f>
        <v>1.5</v>
      </c>
      <c r="W8" s="693" cm="1">
        <f t="array" ref="W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X8" s="677" cm="1">
        <f t="array" ref="X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Y8" s="677" cm="1">
        <f t="array" ref="Y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Z8" s="677" cm="1">
        <f t="array" ref="Z8">OrdersPerYear*IF(MGK[[#This Row],[Prüfaufwand]]="gering",0.25,IF(MGK[[#This Row],[Prüfaufwand]]="mittel",0.5,IF(MGK[[#This Row],[Prüfaufwand]]="hoch",1,0)))
*IF(MGK[[#This Row],[Spezifiaktion]]="Zusammenbau",1,0)*1</f>
        <v>6</v>
      </c>
      <c r="AA8" s="677" cm="1">
        <f t="array" ref="AA8">OrdersPerYear*IF(MGK[[#This Row],[Prüfaufwand]]="hoch",1,0)
*IF(MGK[[#This Row],[Spezifiaktion]]="Zusammenbau",1,0)*0.25</f>
        <v>0</v>
      </c>
      <c r="AB8" s="677" cm="1">
        <f t="array" ref="AB8">OrdersPerYear*IF(MGK[[#This Row],[Prüfaufwand]]="hoch",1,0)
*IF(MGK[[#This Row],[Spezifiaktion]]="Zusammenbau",1,0)*0.25</f>
        <v>0</v>
      </c>
      <c r="AC8" s="677" cm="1">
        <f t="array" ref="AC8">OrdersPerYear*IF(MGK[[#This Row],[Prüfaufwand]]="mittel",0.5,IF(MGK[[#This Row],[Prüfaufwand]]="hoch",1,0))
*IF(MGK[[#This Row],[Spezifiaktion]]="Zusammenbau",1,0)*1.5</f>
        <v>9</v>
      </c>
      <c r="AD8" s="677" cm="1">
        <f t="array" ref="AD8">OrdersPerYear*IF(MGK[[#This Row],[Prüfaufwand]]="hoch",1,0)
*IF(MGK[[#This Row],[Spezifiaktion]]="Zusammenbau",1,0)*0.25</f>
        <v>0</v>
      </c>
      <c r="AE8" s="677" cm="1">
        <f t="array" ref="AE8">OrdersPerYear*IF(MGK[[#This Row],[Bestellaufwand]]="gering",0.15,IF(MGK[[#This Row],[Bestellaufwand]]="mittel",0.5,IF(MGK[[#This Row],[Prüfaufwand]]="hoch",1,0)))
*IF(MGK[[#This Row],[Spezifiaktion]]="Elektronik",1,0)*1</f>
        <v>0</v>
      </c>
      <c r="AF8" s="678" cm="1">
        <f t="array" ref="AF8">IFERROR(SUMPRODUCT(MGK[[#This Row],[Maße]:[Elekronik]],TRANSPOSE($AT$8:$AT$16))*ExchangeRate/SUM(MGK[[#This Row],[Maße]:[Elekronik]]),0)</f>
        <v>92094.736842105267</v>
      </c>
      <c r="AG8" s="688" cm="1">
        <f t="array" ref="AG8">IFERROR((SUMPRODUCT(MGK[[#This Row],[Maße]:[Elekronik]],TRANSPOSE($AT$8:$AT$16),1/TRANSPOSE($AU$8:$AU$16))+SUMPRODUCT(MGK[[#This Row],[Maße]:[Elekronik]],TRANSPOSE($AT$8:$AT$16),TRANSPOSE($AY$8:$AY$16))+SUMPRODUCT(MGK[[#This Row],[Maße]:[Elekronik]],TRANSPOSE($AT$8:$AT$16),TRANSPOSE($AZ$8:$AZ$16)))*ExchangeRate/(250*8*0.8)/SUM(MGK[[#This Row],[Maße]:[Elekronik]]),0)</f>
        <v>7.4498063909774448</v>
      </c>
      <c r="AH8" s="688" cm="1">
        <f t="array" ref="AH8">IFERROR(SUMPRODUCT(MGK[[#This Row],[Maße]:[Elekronik]],TRANSPOSE($AV$8:$AV$16),TRANSPOSE($AW$8:$AW$16))/SUM(MGK[[#This Row],[Maße]:[Elekronik]]),0)</f>
        <v>11.315789473684211</v>
      </c>
      <c r="AI8" s="688" cm="1">
        <f t="array" ref="AI8">IFERROR(SUMPRODUCT(MGK[[#This Row],[Maße]:[Elekronik]],TRANSPOSE($AX$8:$AX$16))/SUM(MGK[[#This Row],[Maße]:[Elekronik]]),0)</f>
        <v>7.3684210526315788</v>
      </c>
      <c r="AJ8" s="688">
        <f>IFERROR(INDEX(MGKMHR[Invest],MATCH(MGK[[#This Row],[Lagerart]],MGKMHR[Bezeichnung],0))*ExchangeRate,0)</f>
        <v>313</v>
      </c>
      <c r="AK8" s="688">
        <f>IFERROR(MGK[[#This Row],[L-Invest]]*(1/INDEX(MGKMHR[AfA],MATCH(MGK[[#This Row],[Lagerart]],MGKMHR[Bezeichnung],0))+INDEX(MGKMHR[Verbrauchsmaterial],MATCH(MGK[[#This Row],[Lagerart]],MGKMHR[Bezeichnung],0))+INDEX(MGKMHR[Instandhaltung],MATCH(MGK[[#This Row],[Lagerart]],MGKMHR[Bezeichnung],0)))/(365*24),0)</f>
        <v>4.4544140030441408E-3</v>
      </c>
      <c r="AL8" s="688">
        <f>IFERROR(INDEX(MGKMHR[Strom],MATCH(MGK[[#This Row],[Lagerart]],MGKMHR[Bezeichnung],0))*INDEX(MGKMHR[Faktor],MATCH(MGK[[#This Row],[Lagerart]],MGKMHR[Bezeichnung],0)),0)</f>
        <v>2.0700152207001523E-3</v>
      </c>
      <c r="AM8" s="688">
        <f>IFERROR(INDEX(MGKMHR[Fläche],MATCH(MGK[[#This Row],[Lagerart]],MGKMHR[Bezeichnung],0)),0)</f>
        <v>0.18888888888888888</v>
      </c>
      <c r="AN8" s="678">
        <f>IFERROR(INDEX(MGKMHR[Invest],MATCH(MGK[[#This Row],[Lagerbediengerät]],MGKMHR[Bezeichnung],0))*ExchangeRate,0)</f>
        <v>0</v>
      </c>
      <c r="AO8" s="688">
        <f>IFERROR(MGK[[#This Row],[B-Invest]]*(1/INDEX(MGKMHR[AfA],MATCH(MGK[[#This Row],[Lagerbediengerät]],MGKMHR[Bezeichnung],0))+INDEX(MGKMHR[Verbrauchsmaterial],MATCH(MGK[[#This Row],[Lagerbediengerät]],MGKMHR[Bezeichnung],0))+INDEX(MGKMHR[Instandhaltung],MATCH(MGK[[#This Row],[Lagerbediengerät]],MGKMHR[Bezeichnung],0)))/(250*16*0.8),0)</f>
        <v>0</v>
      </c>
      <c r="AP8" s="688">
        <f>IFERROR(INDEX(MGKMHR[Strom],MATCH(MGK[[#This Row],[Lagerbediengerät]],MGKMHR[Bezeichnung],0))*INDEX(MGKMHR[Faktor],MATCH(MGK[[#This Row],[Lagerbediengerät]],MGKMHR[Bezeichnung],0)),0)</f>
        <v>0</v>
      </c>
      <c r="AQ8" s="688">
        <f>IFERROR(INDEX(MGKMHR[Fläche],MATCH(MGK[[#This Row],[Lagerbediengerät]],MGKMHR[Bezeichnung],0)),0)</f>
        <v>0</v>
      </c>
      <c r="AR8" s="344"/>
      <c r="AS8" s="683" t="s">
        <v>1025</v>
      </c>
      <c r="AT8" s="235">
        <v>200000</v>
      </c>
      <c r="AU8" s="235">
        <v>14</v>
      </c>
      <c r="AV8" s="235">
        <v>13</v>
      </c>
      <c r="AW8" s="235">
        <v>1</v>
      </c>
      <c r="AX8" s="235">
        <v>10</v>
      </c>
      <c r="AY8" s="345">
        <v>0.02</v>
      </c>
      <c r="AZ8" s="345">
        <v>3.7999999999999999E-2</v>
      </c>
      <c r="BA8" s="345"/>
      <c r="BB8" s="345"/>
      <c r="BE8" s="5"/>
      <c r="BG8" s="5"/>
      <c r="BI8" s="677" t="str">
        <f>IF(Language="DE","Stk.","pcs.")</f>
        <v>pcs.</v>
      </c>
      <c r="BJ8" s="677" t="s">
        <v>1528</v>
      </c>
      <c r="BK8" s="678">
        <v>1</v>
      </c>
    </row>
    <row r="9" spans="2:69">
      <c r="B9" s="688" t="str">
        <f>IF(Language="DE",MGK[[#This Row],[DE]],MGK[[#This Row],[EN]])</f>
        <v>Assy complex</v>
      </c>
      <c r="C9" s="235" t="s">
        <v>1006</v>
      </c>
      <c r="D9" s="235" t="s">
        <v>1104</v>
      </c>
      <c r="E9" s="235" t="s">
        <v>994</v>
      </c>
      <c r="F9" s="235" t="s">
        <v>1000</v>
      </c>
      <c r="G9" s="235" t="s">
        <v>995</v>
      </c>
      <c r="H9" s="235" t="s">
        <v>994</v>
      </c>
      <c r="I9" s="235" t="s">
        <v>709</v>
      </c>
      <c r="J9" s="341" t="s">
        <v>2188</v>
      </c>
      <c r="K9" s="235">
        <v>4</v>
      </c>
      <c r="L9" s="342">
        <v>100</v>
      </c>
      <c r="M9" s="343"/>
      <c r="N9" s="343"/>
      <c r="O9" s="343"/>
      <c r="P9" s="343"/>
      <c r="Q9" s="343"/>
      <c r="R9" s="341">
        <v>1</v>
      </c>
      <c r="S9" s="690" t="str">
        <f>IFERROR(INDEX(MGKMHR[Gerät],MATCH(MGK[[#This Row],[Lagerart]],MGKMHR[Bezeichnung],0)),0)</f>
        <v>E-Stapler</v>
      </c>
      <c r="T9" s="691" cm="1">
        <f t="array" ref="T9">IFERROR(IF(MGK[[#This Row],[Bestellaufwand]]="gering",0.25, IF(MGK[[#This Row],[Bestellaufwand]]="mittel",1.5,IF(MGK[[#This Row],[Bestellaufwand]]="hoch",8,0))),0)
+IFERROR(IF(MGK[[#This Row],[Bestellaufwand]]="gering",0.25, IF(MGK[[#This Row],[Bestellaufwand]]="mittel",0.5,IF(MGK[[#This Row],[Bestellaufwand]]="hoch",1,0)))*OrdersPerYear,0)</f>
        <v>20</v>
      </c>
      <c r="U9" s="688">
        <f>SUM(MGK[[#This Row],[Maße]:[Elekronik]])</f>
        <v>66</v>
      </c>
      <c r="V9" s="692" cm="1">
        <f t="array" ref="V9">IFERROR(INDEX(MGKMHR[Handling],MATCH(MGK[[#This Row],[Lagerart]],MGKMHR[Bezeichnung],0))
*(OrdersPerYear+52/MGK[[#This Row],[Lagerreichweite]])*IF(MGK[[#This Row],[Handling]]="gering",0.25,IF(MGK[[#This Row],[Handling]]="hoch",2,1)),0)</f>
        <v>5</v>
      </c>
      <c r="W9" s="693" cm="1">
        <f t="array" ref="W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9</v>
      </c>
      <c r="X9" s="677" cm="1">
        <f t="array" ref="X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9</v>
      </c>
      <c r="Y9" s="677" cm="1">
        <f t="array" ref="Y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9</v>
      </c>
      <c r="Z9" s="677" cm="1">
        <f t="array" ref="Z9">OrdersPerYear*IF(MGK[[#This Row],[Prüfaufwand]]="gering",0.25,IF(MGK[[#This Row],[Prüfaufwand]]="mittel",0.5,IF(MGK[[#This Row],[Prüfaufwand]]="hoch",1,0)))
*IF(MGK[[#This Row],[Spezifiaktion]]="Zusammenbau",1,0)*1</f>
        <v>12</v>
      </c>
      <c r="AA9" s="677" cm="1">
        <f t="array" ref="AA9">OrdersPerYear*IF(MGK[[#This Row],[Prüfaufwand]]="hoch",1,0)
*IF(MGK[[#This Row],[Spezifiaktion]]="Zusammenbau",1,0)*0.25</f>
        <v>3</v>
      </c>
      <c r="AB9" s="677" cm="1">
        <f t="array" ref="AB9">OrdersPerYear*IF(MGK[[#This Row],[Prüfaufwand]]="hoch",1,0)
*IF(MGK[[#This Row],[Spezifiaktion]]="Zusammenbau",1,0)*0.25</f>
        <v>3</v>
      </c>
      <c r="AC9" s="677" cm="1">
        <f t="array" ref="AC9">OrdersPerYear*IF(MGK[[#This Row],[Prüfaufwand]]="mittel",0.5,IF(MGK[[#This Row],[Prüfaufwand]]="hoch",1,0))
*IF(MGK[[#This Row],[Spezifiaktion]]="Zusammenbau",1,0)*1.5</f>
        <v>18</v>
      </c>
      <c r="AD9" s="677" cm="1">
        <f t="array" ref="AD9">OrdersPerYear*IF(MGK[[#This Row],[Prüfaufwand]]="hoch",1,0)
*IF(MGK[[#This Row],[Spezifiaktion]]="Zusammenbau",1,0)*0.25</f>
        <v>3</v>
      </c>
      <c r="AE9" s="677" cm="1">
        <f t="array" ref="AE9">OrdersPerYear*IF(MGK[[#This Row],[Bestellaufwand]]="gering",0.15,IF(MGK[[#This Row],[Bestellaufwand]]="mittel",0.5,IF(MGK[[#This Row],[Prüfaufwand]]="hoch",1,0)))
*IF(MGK[[#This Row],[Spezifiaktion]]="Elektronik",1,0)*1</f>
        <v>0</v>
      </c>
      <c r="AF9" s="678" cm="1">
        <f t="array" ref="AF9">IFERROR(SUMPRODUCT(MGK[[#This Row],[Maße]:[Elekronik]],TRANSPOSE($AT$8:$AT$16))*ExchangeRate/SUM(MGK[[#This Row],[Maße]:[Elekronik]]),0)</f>
        <v>115727.27272727272</v>
      </c>
      <c r="AG9" s="688" cm="1">
        <f t="array" ref="AG9">IFERROR((SUMPRODUCT(MGK[[#This Row],[Maße]:[Elekronik]],TRANSPOSE($AT$8:$AT$16),1/TRANSPOSE($AU$8:$AU$16))+SUMPRODUCT(MGK[[#This Row],[Maße]:[Elekronik]],TRANSPOSE($AT$8:$AT$16),TRANSPOSE($AY$8:$AY$16))+SUMPRODUCT(MGK[[#This Row],[Maße]:[Elekronik]],TRANSPOSE($AT$8:$AT$16),TRANSPOSE($AZ$8:$AZ$16)))*ExchangeRate/(250*8*0.8)/SUM(MGK[[#This Row],[Maße]:[Elekronik]]),0)</f>
        <v>9.3615097402597396</v>
      </c>
      <c r="AH9" s="688" cm="1">
        <f t="array" ref="AH9">IFERROR(SUMPRODUCT(MGK[[#This Row],[Maße]:[Elekronik]],TRANSPOSE($AV$8:$AV$16),TRANSPOSE($AW$8:$AW$16))/SUM(MGK[[#This Row],[Maße]:[Elekronik]]),0)</f>
        <v>14.165909090909089</v>
      </c>
      <c r="AI9" s="688" cm="1">
        <f t="array" ref="AI9">IFERROR(SUMPRODUCT(MGK[[#This Row],[Maße]:[Elekronik]],TRANSPOSE($AX$8:$AX$16))/SUM(MGK[[#This Row],[Maße]:[Elekronik]]),0)</f>
        <v>7.7272727272727275</v>
      </c>
      <c r="AJ9" s="688">
        <f>IFERROR(INDEX(MGKMHR[Invest],MATCH(MGK[[#This Row],[Lagerart]],MGKMHR[Bezeichnung],0))*ExchangeRate,0)</f>
        <v>30.6</v>
      </c>
      <c r="AK9" s="688">
        <f>IFERROR(MGK[[#This Row],[L-Invest]]*(1/INDEX(MGKMHR[AfA],MATCH(MGK[[#This Row],[Lagerart]],MGKMHR[Bezeichnung],0))+INDEX(MGKMHR[Verbrauchsmaterial],MATCH(MGK[[#This Row],[Lagerart]],MGKMHR[Bezeichnung],0))+INDEX(MGKMHR[Instandhaltung],MATCH(MGK[[#This Row],[Lagerart]],MGKMHR[Bezeichnung],0)))/(365*24),0)</f>
        <v>4.3547945205479459E-4</v>
      </c>
      <c r="AL9" s="688">
        <f>IFERROR(INDEX(MGKMHR[Strom],MATCH(MGK[[#This Row],[Lagerart]],MGKMHR[Bezeichnung],0))*INDEX(MGKMHR[Faktor],MATCH(MGK[[#This Row],[Lagerart]],MGKMHR[Bezeichnung],0)),0)</f>
        <v>5.4794520547945206E-3</v>
      </c>
      <c r="AM9" s="688">
        <f>IFERROR(INDEX(MGKMHR[Fläche],MATCH(MGK[[#This Row],[Lagerart]],MGKMHR[Bezeichnung],0)),0)</f>
        <v>0.5</v>
      </c>
      <c r="AN9" s="678">
        <f>IFERROR(INDEX(MGKMHR[Invest],MATCH(MGK[[#This Row],[Lagerbediengerät]],MGKMHR[Bezeichnung],0))*ExchangeRate,0)</f>
        <v>20000</v>
      </c>
      <c r="AO9" s="688">
        <f>IFERROR(MGK[[#This Row],[B-Invest]]*(1/INDEX(MGKMHR[AfA],MATCH(MGK[[#This Row],[Lagerbediengerät]],MGKMHR[Bezeichnung],0))+INDEX(MGKMHR[Verbrauchsmaterial],MATCH(MGK[[#This Row],[Lagerbediengerät]],MGKMHR[Bezeichnung],0))+INDEX(MGKMHR[Instandhaltung],MATCH(MGK[[#This Row],[Lagerbediengerät]],MGKMHR[Bezeichnung],0)))/(250*16*0.8),0)</f>
        <v>6.25</v>
      </c>
      <c r="AP9" s="688">
        <f>IFERROR(INDEX(MGKMHR[Strom],MATCH(MGK[[#This Row],[Lagerbediengerät]],MGKMHR[Bezeichnung],0))*INDEX(MGKMHR[Faktor],MATCH(MGK[[#This Row],[Lagerbediengerät]],MGKMHR[Bezeichnung],0)),0)</f>
        <v>9.6999999999999993</v>
      </c>
      <c r="AQ9" s="688">
        <f>IFERROR(INDEX(MGKMHR[Fläche],MATCH(MGK[[#This Row],[Lagerbediengerät]],MGKMHR[Bezeichnung],0)),0)</f>
        <v>0</v>
      </c>
      <c r="AR9" s="344"/>
      <c r="AS9" s="683" t="s">
        <v>1026</v>
      </c>
      <c r="AT9" s="235">
        <v>5000</v>
      </c>
      <c r="AU9" s="235">
        <v>14</v>
      </c>
      <c r="AV9" s="235">
        <v>0.1</v>
      </c>
      <c r="AW9" s="235">
        <v>1</v>
      </c>
      <c r="AX9" s="235">
        <v>5</v>
      </c>
      <c r="AY9" s="345">
        <v>0.02</v>
      </c>
      <c r="AZ9" s="345">
        <v>3.7999999999999999E-2</v>
      </c>
      <c r="BA9" s="345"/>
      <c r="BB9" s="345"/>
      <c r="BD9" s="346" t="s">
        <v>554</v>
      </c>
      <c r="BE9" s="347" t="s">
        <v>96</v>
      </c>
      <c r="BF9" s="347" t="s">
        <v>155</v>
      </c>
      <c r="BG9" s="347" t="s">
        <v>152</v>
      </c>
      <c r="BI9" s="677" t="s">
        <v>2321</v>
      </c>
      <c r="BJ9" s="677" t="s">
        <v>1238</v>
      </c>
      <c r="BK9" s="678">
        <v>1000000</v>
      </c>
      <c r="BN9" s="348" t="s">
        <v>988</v>
      </c>
    </row>
    <row r="10" spans="2:69">
      <c r="B10" s="688" t="str">
        <f>IF(Language="DE",MGK[[#This Row],[DE]],MGK[[#This Row],[EN]])</f>
        <v>Plastics</v>
      </c>
      <c r="C10" s="235" t="s">
        <v>1004</v>
      </c>
      <c r="D10" s="235" t="s">
        <v>1254</v>
      </c>
      <c r="E10" s="235" t="s">
        <v>991</v>
      </c>
      <c r="F10" s="235" t="s">
        <v>992</v>
      </c>
      <c r="G10" s="235" t="s">
        <v>995</v>
      </c>
      <c r="H10" s="235" t="s">
        <v>991</v>
      </c>
      <c r="I10" s="235" t="s">
        <v>993</v>
      </c>
      <c r="J10" s="341" t="s">
        <v>2188</v>
      </c>
      <c r="K10" s="235">
        <v>4</v>
      </c>
      <c r="L10" s="342"/>
      <c r="M10" s="343">
        <v>10000</v>
      </c>
      <c r="N10" s="343">
        <v>10000</v>
      </c>
      <c r="O10" s="343"/>
      <c r="P10" s="343"/>
      <c r="Q10" s="343"/>
      <c r="R10" s="341">
        <v>5</v>
      </c>
      <c r="S10" s="690" t="str">
        <f>IFERROR(INDEX(MGKMHR[Gerät],MATCH(MGK[[#This Row],[Lagerart]],MGKMHR[Bezeichnung],0)),0)</f>
        <v>E-Stapler</v>
      </c>
      <c r="T10" s="691" cm="1">
        <f t="array" ref="T10">IFERROR(IF(MGK[[#This Row],[Bestellaufwand]]="gering",0.25, IF(MGK[[#This Row],[Bestellaufwand]]="mittel",1.5,IF(MGK[[#This Row],[Bestellaufwand]]="hoch",8,0))),0)
+IFERROR(IF(MGK[[#This Row],[Bestellaufwand]]="gering",0.25, IF(MGK[[#This Row],[Bestellaufwand]]="mittel",0.5,IF(MGK[[#This Row],[Bestellaufwand]]="hoch",1,0)))*OrdersPerYear,0)</f>
        <v>3.25</v>
      </c>
      <c r="U10" s="688">
        <f>SUM(MGK[[#This Row],[Maße]:[Elekronik]])</f>
        <v>3.375</v>
      </c>
      <c r="V10" s="692" cm="1">
        <f t="array" ref="V10">IFERROR(INDEX(MGKMHR[Handling],MATCH(MGK[[#This Row],[Lagerart]],MGKMHR[Bezeichnung],0))
*(OrdersPerYear+52/MGK[[#This Row],[Lagerreichweite]])*IF(MGK[[#This Row],[Handling]]="gering",0.25,IF(MGK[[#This Row],[Handling]]="hoch",2,1)),0)</f>
        <v>5</v>
      </c>
      <c r="W10" s="693" cm="1">
        <f t="array" ref="W1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0" s="677" cm="1">
        <f t="array" ref="X1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0" s="677" cm="1">
        <f t="array" ref="Y1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0" s="677" cm="1">
        <f t="array" ref="Z10">OrdersPerYear*IF(MGK[[#This Row],[Prüfaufwand]]="gering",0.25,IF(MGK[[#This Row],[Prüfaufwand]]="mittel",0.5,IF(MGK[[#This Row],[Prüfaufwand]]="hoch",1,0)))
*IF(MGK[[#This Row],[Spezifiaktion]]="Zusammenbau",1,0)*1</f>
        <v>0</v>
      </c>
      <c r="AA10" s="677" cm="1">
        <f t="array" ref="AA10">OrdersPerYear*IF(MGK[[#This Row],[Prüfaufwand]]="hoch",1,0)
*IF(MGK[[#This Row],[Spezifiaktion]]="Zusammenbau",1,0)*0.25</f>
        <v>0</v>
      </c>
      <c r="AB10" s="677" cm="1">
        <f t="array" ref="AB10">OrdersPerYear*IF(MGK[[#This Row],[Prüfaufwand]]="hoch",1,0)
*IF(MGK[[#This Row],[Spezifiaktion]]="Zusammenbau",1,0)*0.25</f>
        <v>0</v>
      </c>
      <c r="AC10" s="677" cm="1">
        <f t="array" ref="AC10">OrdersPerYear*IF(MGK[[#This Row],[Prüfaufwand]]="mittel",0.5,IF(MGK[[#This Row],[Prüfaufwand]]="hoch",1,0))
*IF(MGK[[#This Row],[Spezifiaktion]]="Zusammenbau",1,0)*1.5</f>
        <v>0</v>
      </c>
      <c r="AD10" s="677" cm="1">
        <f t="array" ref="AD10">OrdersPerYear*IF(MGK[[#This Row],[Prüfaufwand]]="hoch",1,0)
*IF(MGK[[#This Row],[Spezifiaktion]]="Zusammenbau",1,0)*0.25</f>
        <v>0</v>
      </c>
      <c r="AE10" s="677" cm="1">
        <f t="array" ref="AE10">OrdersPerYear*IF(MGK[[#This Row],[Bestellaufwand]]="gering",0.15,IF(MGK[[#This Row],[Bestellaufwand]]="mittel",0.5,IF(MGK[[#This Row],[Prüfaufwand]]="hoch",1,0)))
*IF(MGK[[#This Row],[Spezifiaktion]]="Elektronik",1,0)*1</f>
        <v>0</v>
      </c>
      <c r="AF10" s="678" cm="1">
        <f t="array" ref="AF10">IFERROR(SUMPRODUCT(MGK[[#This Row],[Maße]:[Elekronik]],TRANSPOSE($AT$8:$AT$16))*ExchangeRate/SUM(MGK[[#This Row],[Maße]:[Elekronik]]),0)</f>
        <v>68866.666666666672</v>
      </c>
      <c r="AG10" s="688" cm="1">
        <f t="array" ref="AG10">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0" s="688" cm="1">
        <f t="array" ref="AH10">IFERROR(SUMPRODUCT(MGK[[#This Row],[Maße]:[Elekronik]],TRANSPOSE($AV$8:$AV$16),TRANSPOSE($AW$8:$AW$16))/SUM(MGK[[#This Row],[Maße]:[Elekronik]]),0)</f>
        <v>4.5333333333333332</v>
      </c>
      <c r="AI10" s="688" cm="1">
        <f t="array" ref="AI10">IFERROR(SUMPRODUCT(MGK[[#This Row],[Maße]:[Elekronik]],TRANSPOSE($AX$8:$AX$16))/SUM(MGK[[#This Row],[Maße]:[Elekronik]]),0)</f>
        <v>6.666666666666667</v>
      </c>
      <c r="AJ10" s="688">
        <f>IFERROR(INDEX(MGKMHR[Invest],MATCH(MGK[[#This Row],[Lagerart]],MGKMHR[Bezeichnung],0))*ExchangeRate,0)</f>
        <v>500</v>
      </c>
      <c r="AK10" s="688">
        <f>IFERROR(MGK[[#This Row],[L-Invest]]*(1/INDEX(MGKMHR[AfA],MATCH(MGK[[#This Row],[Lagerart]],MGKMHR[Bezeichnung],0))+INDEX(MGKMHR[Verbrauchsmaterial],MATCH(MGK[[#This Row],[Lagerart]],MGKMHR[Bezeichnung],0))+INDEX(MGKMHR[Instandhaltung],MATCH(MGK[[#This Row],[Lagerart]],MGKMHR[Bezeichnung],0)))/(365*24),0)</f>
        <v>7.1156773211567739E-3</v>
      </c>
      <c r="AL10" s="688">
        <f>IFERROR(INDEX(MGKMHR[Strom],MATCH(MGK[[#This Row],[Lagerart]],MGKMHR[Bezeichnung],0))*INDEX(MGKMHR[Faktor],MATCH(MGK[[#This Row],[Lagerart]],MGKMHR[Bezeichnung],0)),0)</f>
        <v>2.1917808219178079E-2</v>
      </c>
      <c r="AM10" s="688">
        <f>IFERROR(INDEX(MGKMHR[Fläche],MATCH(MGK[[#This Row],[Lagerart]],MGKMHR[Bezeichnung],0)),0)</f>
        <v>2</v>
      </c>
      <c r="AN10" s="678">
        <f>IFERROR(INDEX(MGKMHR[Invest],MATCH(MGK[[#This Row],[Lagerbediengerät]],MGKMHR[Bezeichnung],0))*ExchangeRate,0)</f>
        <v>20000</v>
      </c>
      <c r="AO10" s="688">
        <f>IFERROR(MGK[[#This Row],[B-Invest]]*(1/INDEX(MGKMHR[AfA],MATCH(MGK[[#This Row],[Lagerbediengerät]],MGKMHR[Bezeichnung],0))+INDEX(MGKMHR[Verbrauchsmaterial],MATCH(MGK[[#This Row],[Lagerbediengerät]],MGKMHR[Bezeichnung],0))+INDEX(MGKMHR[Instandhaltung],MATCH(MGK[[#This Row],[Lagerbediengerät]],MGKMHR[Bezeichnung],0)))/(250*16*0.8),0)</f>
        <v>6.25</v>
      </c>
      <c r="AP10" s="688">
        <f>IFERROR(INDEX(MGKMHR[Strom],MATCH(MGK[[#This Row],[Lagerbediengerät]],MGKMHR[Bezeichnung],0))*INDEX(MGKMHR[Faktor],MATCH(MGK[[#This Row],[Lagerbediengerät]],MGKMHR[Bezeichnung],0)),0)</f>
        <v>9.6999999999999993</v>
      </c>
      <c r="AQ10" s="688">
        <f>IFERROR(INDEX(MGKMHR[Fläche],MATCH(MGK[[#This Row],[Lagerbediengerät]],MGKMHR[Bezeichnung],0)),0)</f>
        <v>0</v>
      </c>
      <c r="AR10" s="344"/>
      <c r="AS10" s="683" t="s">
        <v>1027</v>
      </c>
      <c r="AT10" s="235">
        <v>1600</v>
      </c>
      <c r="AU10" s="235">
        <v>14</v>
      </c>
      <c r="AV10" s="235">
        <v>0.5</v>
      </c>
      <c r="AW10" s="235">
        <v>1</v>
      </c>
      <c r="AX10" s="235">
        <v>5</v>
      </c>
      <c r="AY10" s="345">
        <v>0.02</v>
      </c>
      <c r="AZ10" s="345">
        <v>3.7999999999999999E-2</v>
      </c>
      <c r="BA10" s="345"/>
      <c r="BB10" s="345"/>
      <c r="BD10" s="681" t="s">
        <v>18</v>
      </c>
      <c r="BE10" s="207">
        <f>AVERAGE(BF10:BG10)</f>
        <v>2.5</v>
      </c>
      <c r="BF10" s="254">
        <v>3</v>
      </c>
      <c r="BG10" s="254">
        <v>2</v>
      </c>
      <c r="BI10" s="677" t="s">
        <v>2322</v>
      </c>
      <c r="BJ10" s="677" t="s">
        <v>1238</v>
      </c>
      <c r="BK10" s="678">
        <v>1000</v>
      </c>
      <c r="BN10" s="349" t="s">
        <v>991</v>
      </c>
      <c r="BP10" s="350"/>
    </row>
    <row r="11" spans="2:69">
      <c r="B11" s="688" t="str">
        <f>IF(Language="DE",MGK[[#This Row],[DE]],MGK[[#This Row],[EN]])</f>
        <v>Plastics high spec</v>
      </c>
      <c r="C11" s="235" t="s">
        <v>1005</v>
      </c>
      <c r="D11" s="235" t="s">
        <v>1255</v>
      </c>
      <c r="E11" s="235" t="s">
        <v>994</v>
      </c>
      <c r="F11" s="235" t="s">
        <v>992</v>
      </c>
      <c r="G11" s="235" t="s">
        <v>995</v>
      </c>
      <c r="H11" s="235" t="s">
        <v>995</v>
      </c>
      <c r="I11" s="235" t="s">
        <v>993</v>
      </c>
      <c r="J11" s="341" t="s">
        <v>2188</v>
      </c>
      <c r="K11" s="235">
        <v>4</v>
      </c>
      <c r="L11" s="342"/>
      <c r="M11" s="343">
        <v>1000</v>
      </c>
      <c r="N11" s="343">
        <v>1000</v>
      </c>
      <c r="O11" s="343"/>
      <c r="P11" s="343"/>
      <c r="Q11" s="343"/>
      <c r="R11" s="341">
        <v>1</v>
      </c>
      <c r="S11" s="690" t="str">
        <f>IFERROR(INDEX(MGKMHR[Gerät],MATCH(MGK[[#This Row],[Lagerart]],MGKMHR[Bezeichnung],0)),0)</f>
        <v>E-Stapler</v>
      </c>
      <c r="T11" s="691" cm="1">
        <f t="array" ref="T11">IFERROR(IF(MGK[[#This Row],[Bestellaufwand]]="gering",0.25, IF(MGK[[#This Row],[Bestellaufwand]]="mittel",1.5,IF(MGK[[#This Row],[Bestellaufwand]]="hoch",8,0))),0)
+IFERROR(IF(MGK[[#This Row],[Bestellaufwand]]="gering",0.25, IF(MGK[[#This Row],[Bestellaufwand]]="mittel",0.5,IF(MGK[[#This Row],[Bestellaufwand]]="hoch",1,0)))*OrdersPerYear,0)</f>
        <v>20</v>
      </c>
      <c r="U11" s="688">
        <f>SUM(MGK[[#This Row],[Maße]:[Elekronik]])</f>
        <v>6.75</v>
      </c>
      <c r="V11" s="692" cm="1">
        <f t="array" ref="V11">IFERROR(INDEX(MGKMHR[Handling],MATCH(MGK[[#This Row],[Lagerart]],MGKMHR[Bezeichnung],0))
*(OrdersPerYear+52/MGK[[#This Row],[Lagerreichweite]])*IF(MGK[[#This Row],[Handling]]="gering",0.25,IF(MGK[[#This Row],[Handling]]="hoch",2,1)),0)</f>
        <v>5</v>
      </c>
      <c r="W11" s="693" cm="1">
        <f t="array" ref="W1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11" s="677" cm="1">
        <f t="array" ref="X1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11" s="677" cm="1">
        <f t="array" ref="Y1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11" s="677" cm="1">
        <f t="array" ref="Z11">OrdersPerYear*IF(MGK[[#This Row],[Prüfaufwand]]="gering",0.25,IF(MGK[[#This Row],[Prüfaufwand]]="mittel",0.5,IF(MGK[[#This Row],[Prüfaufwand]]="hoch",1,0)))
*IF(MGK[[#This Row],[Spezifiaktion]]="Zusammenbau",1,0)*1</f>
        <v>0</v>
      </c>
      <c r="AA11" s="677" cm="1">
        <f t="array" ref="AA11">OrdersPerYear*IF(MGK[[#This Row],[Prüfaufwand]]="hoch",1,0)
*IF(MGK[[#This Row],[Spezifiaktion]]="Zusammenbau",1,0)*0.25</f>
        <v>0</v>
      </c>
      <c r="AB11" s="677" cm="1">
        <f t="array" ref="AB11">OrdersPerYear*IF(MGK[[#This Row],[Prüfaufwand]]="hoch",1,0)
*IF(MGK[[#This Row],[Spezifiaktion]]="Zusammenbau",1,0)*0.25</f>
        <v>0</v>
      </c>
      <c r="AC11" s="677" cm="1">
        <f t="array" ref="AC11">OrdersPerYear*IF(MGK[[#This Row],[Prüfaufwand]]="mittel",0.5,IF(MGK[[#This Row],[Prüfaufwand]]="hoch",1,0))
*IF(MGK[[#This Row],[Spezifiaktion]]="Zusammenbau",1,0)*1.5</f>
        <v>0</v>
      </c>
      <c r="AD11" s="677" cm="1">
        <f t="array" ref="AD11">OrdersPerYear*IF(MGK[[#This Row],[Prüfaufwand]]="hoch",1,0)
*IF(MGK[[#This Row],[Spezifiaktion]]="Zusammenbau",1,0)*0.25</f>
        <v>0</v>
      </c>
      <c r="AE11" s="677" cm="1">
        <f t="array" ref="AE11">OrdersPerYear*IF(MGK[[#This Row],[Bestellaufwand]]="gering",0.15,IF(MGK[[#This Row],[Bestellaufwand]]="mittel",0.5,IF(MGK[[#This Row],[Prüfaufwand]]="hoch",1,0)))
*IF(MGK[[#This Row],[Spezifiaktion]]="Elektronik",1,0)*1</f>
        <v>0</v>
      </c>
      <c r="AF11" s="678" cm="1">
        <f t="array" ref="AF11">IFERROR(SUMPRODUCT(MGK[[#This Row],[Maße]:[Elekronik]],TRANSPOSE($AT$8:$AT$16))*ExchangeRate/SUM(MGK[[#This Row],[Maße]:[Elekronik]]),0)</f>
        <v>68866.666666666672</v>
      </c>
      <c r="AG11" s="688" cm="1">
        <f t="array" ref="AG1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1" s="688" cm="1">
        <f t="array" ref="AH11">IFERROR(SUMPRODUCT(MGK[[#This Row],[Maße]:[Elekronik]],TRANSPOSE($AV$8:$AV$16),TRANSPOSE($AW$8:$AW$16))/SUM(MGK[[#This Row],[Maße]:[Elekronik]]),0)</f>
        <v>4.5333333333333332</v>
      </c>
      <c r="AI11" s="688" cm="1">
        <f t="array" ref="AI11">IFERROR(SUMPRODUCT(MGK[[#This Row],[Maße]:[Elekronik]],TRANSPOSE($AX$8:$AX$16))/SUM(MGK[[#This Row],[Maße]:[Elekronik]]),0)</f>
        <v>6.666666666666667</v>
      </c>
      <c r="AJ11" s="688">
        <f>IFERROR(INDEX(MGKMHR[Invest],MATCH(MGK[[#This Row],[Lagerart]],MGKMHR[Bezeichnung],0))*ExchangeRate,0)</f>
        <v>500</v>
      </c>
      <c r="AK11" s="688">
        <f>IFERROR(MGK[[#This Row],[L-Invest]]*(1/INDEX(MGKMHR[AfA],MATCH(MGK[[#This Row],[Lagerart]],MGKMHR[Bezeichnung],0))+INDEX(MGKMHR[Verbrauchsmaterial],MATCH(MGK[[#This Row],[Lagerart]],MGKMHR[Bezeichnung],0))+INDEX(MGKMHR[Instandhaltung],MATCH(MGK[[#This Row],[Lagerart]],MGKMHR[Bezeichnung],0)))/(365*24),0)</f>
        <v>7.1156773211567739E-3</v>
      </c>
      <c r="AL11" s="688">
        <f>IFERROR(INDEX(MGKMHR[Strom],MATCH(MGK[[#This Row],[Lagerart]],MGKMHR[Bezeichnung],0))*INDEX(MGKMHR[Faktor],MATCH(MGK[[#This Row],[Lagerart]],MGKMHR[Bezeichnung],0)),0)</f>
        <v>2.1917808219178079E-2</v>
      </c>
      <c r="AM11" s="688">
        <f>IFERROR(INDEX(MGKMHR[Fläche],MATCH(MGK[[#This Row],[Lagerart]],MGKMHR[Bezeichnung],0)),0)</f>
        <v>2</v>
      </c>
      <c r="AN11" s="678">
        <f>IFERROR(INDEX(MGKMHR[Invest],MATCH(MGK[[#This Row],[Lagerbediengerät]],MGKMHR[Bezeichnung],0))*ExchangeRate,0)</f>
        <v>20000</v>
      </c>
      <c r="AO11" s="688">
        <f>IFERROR(MGK[[#This Row],[B-Invest]]*(1/INDEX(MGKMHR[AfA],MATCH(MGK[[#This Row],[Lagerbediengerät]],MGKMHR[Bezeichnung],0))+INDEX(MGKMHR[Verbrauchsmaterial],MATCH(MGK[[#This Row],[Lagerbediengerät]],MGKMHR[Bezeichnung],0))+INDEX(MGKMHR[Instandhaltung],MATCH(MGK[[#This Row],[Lagerbediengerät]],MGKMHR[Bezeichnung],0)))/(250*16*0.8),0)</f>
        <v>6.25</v>
      </c>
      <c r="AP11" s="688">
        <f>IFERROR(INDEX(MGKMHR[Strom],MATCH(MGK[[#This Row],[Lagerbediengerät]],MGKMHR[Bezeichnung],0))*INDEX(MGKMHR[Faktor],MATCH(MGK[[#This Row],[Lagerbediengerät]],MGKMHR[Bezeichnung],0)),0)</f>
        <v>9.6999999999999993</v>
      </c>
      <c r="AQ11" s="688">
        <f>IFERROR(INDEX(MGKMHR[Fläche],MATCH(MGK[[#This Row],[Lagerbediengerät]],MGKMHR[Bezeichnung],0)),0)</f>
        <v>0</v>
      </c>
      <c r="AR11" s="344"/>
      <c r="AS11" s="683" t="s">
        <v>1028</v>
      </c>
      <c r="AT11" s="235">
        <v>50000</v>
      </c>
      <c r="AU11" s="235">
        <v>14</v>
      </c>
      <c r="AV11" s="235">
        <v>2</v>
      </c>
      <c r="AW11" s="235">
        <v>1</v>
      </c>
      <c r="AX11" s="235">
        <v>5</v>
      </c>
      <c r="AY11" s="345">
        <v>0.02</v>
      </c>
      <c r="AZ11" s="345">
        <v>3.7999999999999999E-2</v>
      </c>
      <c r="BA11" s="345"/>
      <c r="BB11" s="345"/>
      <c r="BD11" s="351"/>
      <c r="BE11" s="352"/>
      <c r="BF11" s="353"/>
      <c r="BG11" s="353"/>
      <c r="BI11" s="677" t="s">
        <v>1238</v>
      </c>
      <c r="BJ11" s="677" t="s">
        <v>1238</v>
      </c>
      <c r="BK11" s="678">
        <v>1</v>
      </c>
      <c r="BN11" s="349" t="s">
        <v>995</v>
      </c>
      <c r="BP11" s="350"/>
      <c r="BQ11" s="350"/>
    </row>
    <row r="12" spans="2:69">
      <c r="B12" s="688" t="str">
        <f>IF(Language="DE",MGK[[#This Row],[DE]],MGK[[#This Row],[EN]])</f>
        <v>Metal rod</v>
      </c>
      <c r="C12" s="235" t="s">
        <v>1097</v>
      </c>
      <c r="D12" s="235" t="s">
        <v>1256</v>
      </c>
      <c r="E12" s="235" t="s">
        <v>991</v>
      </c>
      <c r="F12" s="235" t="s">
        <v>996</v>
      </c>
      <c r="G12" s="235" t="s">
        <v>995</v>
      </c>
      <c r="H12" s="235" t="s">
        <v>991</v>
      </c>
      <c r="I12" s="235" t="s">
        <v>997</v>
      </c>
      <c r="J12" s="341" t="s">
        <v>2188</v>
      </c>
      <c r="K12" s="235">
        <v>4</v>
      </c>
      <c r="L12" s="342">
        <v>1000</v>
      </c>
      <c r="M12" s="343">
        <v>1000</v>
      </c>
      <c r="N12" s="343"/>
      <c r="O12" s="343">
        <v>1000</v>
      </c>
      <c r="P12" s="343"/>
      <c r="Q12" s="343"/>
      <c r="R12" s="341">
        <v>2</v>
      </c>
      <c r="S12" s="690" t="str">
        <f>IFERROR(INDEX(MGKMHR[Gerät],MATCH(MGK[[#This Row],[Lagerart]],MGKMHR[Bezeichnung],0)),0)</f>
        <v>E-Stapler</v>
      </c>
      <c r="T12" s="691" cm="1">
        <f t="array" ref="T12">IFERROR(IF(MGK[[#This Row],[Bestellaufwand]]="gering",0.25, IF(MGK[[#This Row],[Bestellaufwand]]="mittel",1.5,IF(MGK[[#This Row],[Bestellaufwand]]="hoch",8,0))),0)
+IFERROR(IF(MGK[[#This Row],[Bestellaufwand]]="gering",0.25, IF(MGK[[#This Row],[Bestellaufwand]]="mittel",0.5,IF(MGK[[#This Row],[Bestellaufwand]]="hoch",1,0)))*OrdersPerYear,0)</f>
        <v>3.25</v>
      </c>
      <c r="U12" s="688">
        <f>SUM(MGK[[#This Row],[Maße]:[Elekronik]])</f>
        <v>6.75</v>
      </c>
      <c r="V12" s="692" cm="1">
        <f t="array" ref="V12">IFERROR(INDEX(MGKMHR[Handling],MATCH(MGK[[#This Row],[Lagerart]],MGKMHR[Bezeichnung],0))
*(OrdersPerYear+52/MGK[[#This Row],[Lagerreichweite]])*IF(MGK[[#This Row],[Handling]]="gering",0.25,IF(MGK[[#This Row],[Handling]]="hoch",2,1)),0)</f>
        <v>5</v>
      </c>
      <c r="W12" s="693" cm="1">
        <f t="array" ref="W1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12" s="677" cm="1">
        <f t="array" ref="X1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12" s="677" cm="1">
        <f t="array" ref="Y1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12" s="677" cm="1">
        <f t="array" ref="Z12">OrdersPerYear*IF(MGK[[#This Row],[Prüfaufwand]]="gering",0.25,IF(MGK[[#This Row],[Prüfaufwand]]="mittel",0.5,IF(MGK[[#This Row],[Prüfaufwand]]="hoch",1,0)))
*IF(MGK[[#This Row],[Spezifiaktion]]="Zusammenbau",1,0)*1</f>
        <v>0</v>
      </c>
      <c r="AA12" s="677" cm="1">
        <f t="array" ref="AA12">OrdersPerYear*IF(MGK[[#This Row],[Prüfaufwand]]="hoch",1,0)
*IF(MGK[[#This Row],[Spezifiaktion]]="Zusammenbau",1,0)*0.25</f>
        <v>0</v>
      </c>
      <c r="AB12" s="677" cm="1">
        <f t="array" ref="AB12">OrdersPerYear*IF(MGK[[#This Row],[Prüfaufwand]]="hoch",1,0)
*IF(MGK[[#This Row],[Spezifiaktion]]="Zusammenbau",1,0)*0.25</f>
        <v>0</v>
      </c>
      <c r="AC12" s="677" cm="1">
        <f t="array" ref="AC12">OrdersPerYear*IF(MGK[[#This Row],[Prüfaufwand]]="mittel",0.5,IF(MGK[[#This Row],[Prüfaufwand]]="hoch",1,0))
*IF(MGK[[#This Row],[Spezifiaktion]]="Zusammenbau",1,0)*1.5</f>
        <v>0</v>
      </c>
      <c r="AD12" s="677" cm="1">
        <f t="array" ref="AD12">OrdersPerYear*IF(MGK[[#This Row],[Prüfaufwand]]="hoch",1,0)
*IF(MGK[[#This Row],[Spezifiaktion]]="Zusammenbau",1,0)*0.25</f>
        <v>0</v>
      </c>
      <c r="AE12" s="677" cm="1">
        <f t="array" ref="AE12">OrdersPerYear*IF(MGK[[#This Row],[Bestellaufwand]]="gering",0.15,IF(MGK[[#This Row],[Bestellaufwand]]="mittel",0.5,IF(MGK[[#This Row],[Prüfaufwand]]="hoch",1,0)))
*IF(MGK[[#This Row],[Spezifiaktion]]="Elektronik",1,0)*1</f>
        <v>0</v>
      </c>
      <c r="AF12" s="678" cm="1">
        <f t="array" ref="AF12">IFERROR(SUMPRODUCT(MGK[[#This Row],[Maße]:[Elekronik]],TRANSPOSE($AT$8:$AT$16))*ExchangeRate/SUM(MGK[[#This Row],[Maße]:[Elekronik]]),0)</f>
        <v>68866.666666666672</v>
      </c>
      <c r="AG12" s="688" cm="1">
        <f t="array" ref="AG12">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2" s="688" cm="1">
        <f t="array" ref="AH12">IFERROR(SUMPRODUCT(MGK[[#This Row],[Maße]:[Elekronik]],TRANSPOSE($AV$8:$AV$16),TRANSPOSE($AW$8:$AW$16))/SUM(MGK[[#This Row],[Maße]:[Elekronik]]),0)</f>
        <v>4.5333333333333332</v>
      </c>
      <c r="AI12" s="688" cm="1">
        <f t="array" ref="AI12">IFERROR(SUMPRODUCT(MGK[[#This Row],[Maße]:[Elekronik]],TRANSPOSE($AX$8:$AX$16))/SUM(MGK[[#This Row],[Maße]:[Elekronik]]),0)</f>
        <v>6.666666666666667</v>
      </c>
      <c r="AJ12" s="688">
        <f>IFERROR(INDEX(MGKMHR[Invest],MATCH(MGK[[#This Row],[Lagerart]],MGKMHR[Bezeichnung],0))*ExchangeRate,0)</f>
        <v>29.28</v>
      </c>
      <c r="AK12" s="688">
        <f>IFERROR(MGK[[#This Row],[L-Invest]]*(1/INDEX(MGKMHR[AfA],MATCH(MGK[[#This Row],[Lagerart]],MGKMHR[Bezeichnung],0))+INDEX(MGKMHR[Verbrauchsmaterial],MATCH(MGK[[#This Row],[Lagerart]],MGKMHR[Bezeichnung],0))+INDEX(MGKMHR[Instandhaltung],MATCH(MGK[[#This Row],[Lagerart]],MGKMHR[Bezeichnung],0)))/(365*24),0)</f>
        <v>4.1669406392694073E-4</v>
      </c>
      <c r="AL12" s="688">
        <f>IFERROR(INDEX(MGKMHR[Strom],MATCH(MGK[[#This Row],[Lagerart]],MGKMHR[Bezeichnung],0))*INDEX(MGKMHR[Faktor],MATCH(MGK[[#This Row],[Lagerart]],MGKMHR[Bezeichnung],0)),0)</f>
        <v>6.8493150684931503E-3</v>
      </c>
      <c r="AM12" s="688">
        <f>IFERROR(INDEX(MGKMHR[Fläche],MATCH(MGK[[#This Row],[Lagerart]],MGKMHR[Bezeichnung],0)),0)</f>
        <v>0.625</v>
      </c>
      <c r="AN12" s="678">
        <f>IFERROR(INDEX(MGKMHR[Invest],MATCH(MGK[[#This Row],[Lagerbediengerät]],MGKMHR[Bezeichnung],0))*ExchangeRate,0)</f>
        <v>20000</v>
      </c>
      <c r="AO12" s="688">
        <f>IFERROR(MGK[[#This Row],[B-Invest]]*(1/INDEX(MGKMHR[AfA],MATCH(MGK[[#This Row],[Lagerbediengerät]],MGKMHR[Bezeichnung],0))+INDEX(MGKMHR[Verbrauchsmaterial],MATCH(MGK[[#This Row],[Lagerbediengerät]],MGKMHR[Bezeichnung],0))+INDEX(MGKMHR[Instandhaltung],MATCH(MGK[[#This Row],[Lagerbediengerät]],MGKMHR[Bezeichnung],0)))/(250*16*0.8),0)</f>
        <v>6.25</v>
      </c>
      <c r="AP12" s="688">
        <f>IFERROR(INDEX(MGKMHR[Strom],MATCH(MGK[[#This Row],[Lagerbediengerät]],MGKMHR[Bezeichnung],0))*INDEX(MGKMHR[Faktor],MATCH(MGK[[#This Row],[Lagerbediengerät]],MGKMHR[Bezeichnung],0)),0)</f>
        <v>9.6999999999999993</v>
      </c>
      <c r="AQ12" s="688">
        <f>IFERROR(INDEX(MGKMHR[Fläche],MATCH(MGK[[#This Row],[Lagerbediengerät]],MGKMHR[Bezeichnung],0)),0)</f>
        <v>0</v>
      </c>
      <c r="AR12" s="344"/>
      <c r="AS12" s="683" t="s">
        <v>1029</v>
      </c>
      <c r="AT12" s="235">
        <v>330000</v>
      </c>
      <c r="AU12" s="235">
        <v>14</v>
      </c>
      <c r="AV12" s="235">
        <v>1.65</v>
      </c>
      <c r="AW12" s="235">
        <v>1</v>
      </c>
      <c r="AX12" s="235">
        <v>10</v>
      </c>
      <c r="AY12" s="345">
        <v>0.02</v>
      </c>
      <c r="AZ12" s="345">
        <v>3.7999999999999999E-2</v>
      </c>
      <c r="BA12" s="345"/>
      <c r="BB12" s="345"/>
      <c r="BD12" s="346" t="s">
        <v>555</v>
      </c>
      <c r="BE12" s="347" t="s">
        <v>96</v>
      </c>
      <c r="BF12" s="347" t="s">
        <v>155</v>
      </c>
      <c r="BG12" s="347" t="s">
        <v>152</v>
      </c>
      <c r="BI12" s="677" t="s">
        <v>2323</v>
      </c>
      <c r="BJ12" s="677" t="s">
        <v>1266</v>
      </c>
      <c r="BK12" s="678">
        <v>1000</v>
      </c>
      <c r="BN12" s="349" t="s">
        <v>994</v>
      </c>
      <c r="BP12" s="350"/>
      <c r="BQ12" s="350"/>
    </row>
    <row r="13" spans="2:69">
      <c r="B13" s="688" t="str">
        <f>IF(Language="DE",MGK[[#This Row],[DE]],MGK[[#This Row],[EN]])</f>
        <v>Metal coil</v>
      </c>
      <c r="C13" s="235" t="s">
        <v>2185</v>
      </c>
      <c r="D13" s="235" t="s">
        <v>1257</v>
      </c>
      <c r="E13" s="235" t="s">
        <v>991</v>
      </c>
      <c r="F13" s="235" t="s">
        <v>998</v>
      </c>
      <c r="G13" s="235" t="s">
        <v>995</v>
      </c>
      <c r="H13" s="235" t="s">
        <v>991</v>
      </c>
      <c r="I13" s="235" t="s">
        <v>999</v>
      </c>
      <c r="J13" s="341" t="s">
        <v>2188</v>
      </c>
      <c r="K13" s="235">
        <v>4</v>
      </c>
      <c r="L13" s="342"/>
      <c r="M13" s="343">
        <v>25000</v>
      </c>
      <c r="N13" s="343"/>
      <c r="O13" s="343"/>
      <c r="P13" s="343">
        <v>1000</v>
      </c>
      <c r="Q13" s="343"/>
      <c r="R13" s="341">
        <v>2</v>
      </c>
      <c r="S13" s="690" t="str">
        <f>IFERROR(INDEX(MGKMHR[Gerät],MATCH(MGK[[#This Row],[Lagerart]],MGKMHR[Bezeichnung],0)),0)</f>
        <v>Deckenkran</v>
      </c>
      <c r="T13" s="691" cm="1">
        <f t="array" ref="T13">IFERROR(IF(MGK[[#This Row],[Bestellaufwand]]="gering",0.25, IF(MGK[[#This Row],[Bestellaufwand]]="mittel",1.5,IF(MGK[[#This Row],[Bestellaufwand]]="hoch",8,0))),0)
+IFERROR(IF(MGK[[#This Row],[Bestellaufwand]]="gering",0.25, IF(MGK[[#This Row],[Bestellaufwand]]="mittel",0.5,IF(MGK[[#This Row],[Bestellaufwand]]="hoch",1,0)))*OrdersPerYear,0)</f>
        <v>3.25</v>
      </c>
      <c r="U13" s="688">
        <f>SUM(MGK[[#This Row],[Maße]:[Elekronik]])</f>
        <v>3.375</v>
      </c>
      <c r="V13" s="692" cm="1">
        <f t="array" ref="V13">IFERROR(INDEX(MGKMHR[Handling],MATCH(MGK[[#This Row],[Lagerart]],MGKMHR[Bezeichnung],0))
*(OrdersPerYear+52/MGK[[#This Row],[Lagerreichweite]])*IF(MGK[[#This Row],[Handling]]="gering",0.25,IF(MGK[[#This Row],[Handling]]="hoch",2,1)),0)</f>
        <v>5</v>
      </c>
      <c r="W13" s="693" cm="1">
        <f t="array" ref="W1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3" s="677" cm="1">
        <f t="array" ref="X1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3" s="677" cm="1">
        <f t="array" ref="Y1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3" s="677" cm="1">
        <f t="array" ref="Z13">OrdersPerYear*IF(MGK[[#This Row],[Prüfaufwand]]="gering",0.25,IF(MGK[[#This Row],[Prüfaufwand]]="mittel",0.5,IF(MGK[[#This Row],[Prüfaufwand]]="hoch",1,0)))
*IF(MGK[[#This Row],[Spezifiaktion]]="Zusammenbau",1,0)*1</f>
        <v>0</v>
      </c>
      <c r="AA13" s="677" cm="1">
        <f t="array" ref="AA13">OrdersPerYear*IF(MGK[[#This Row],[Prüfaufwand]]="hoch",1,0)
*IF(MGK[[#This Row],[Spezifiaktion]]="Zusammenbau",1,0)*0.25</f>
        <v>0</v>
      </c>
      <c r="AB13" s="677" cm="1">
        <f t="array" ref="AB13">OrdersPerYear*IF(MGK[[#This Row],[Prüfaufwand]]="hoch",1,0)
*IF(MGK[[#This Row],[Spezifiaktion]]="Zusammenbau",1,0)*0.25</f>
        <v>0</v>
      </c>
      <c r="AC13" s="677" cm="1">
        <f t="array" ref="AC13">OrdersPerYear*IF(MGK[[#This Row],[Prüfaufwand]]="mittel",0.5,IF(MGK[[#This Row],[Prüfaufwand]]="hoch",1,0))
*IF(MGK[[#This Row],[Spezifiaktion]]="Zusammenbau",1,0)*1.5</f>
        <v>0</v>
      </c>
      <c r="AD13" s="677" cm="1">
        <f t="array" ref="AD13">OrdersPerYear*IF(MGK[[#This Row],[Prüfaufwand]]="hoch",1,0)
*IF(MGK[[#This Row],[Spezifiaktion]]="Zusammenbau",1,0)*0.25</f>
        <v>0</v>
      </c>
      <c r="AE13" s="677" cm="1">
        <f t="array" ref="AE13">OrdersPerYear*IF(MGK[[#This Row],[Bestellaufwand]]="gering",0.15,IF(MGK[[#This Row],[Bestellaufwand]]="mittel",0.5,IF(MGK[[#This Row],[Prüfaufwand]]="hoch",1,0)))
*IF(MGK[[#This Row],[Spezifiaktion]]="Elektronik",1,0)*1</f>
        <v>0</v>
      </c>
      <c r="AF13" s="678" cm="1">
        <f t="array" ref="AF13">IFERROR(SUMPRODUCT(MGK[[#This Row],[Maße]:[Elekronik]],TRANSPOSE($AT$8:$AT$16))*ExchangeRate/SUM(MGK[[#This Row],[Maße]:[Elekronik]]),0)</f>
        <v>68866.666666666672</v>
      </c>
      <c r="AG13" s="688" cm="1">
        <f t="array" ref="AG13">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3" s="688" cm="1">
        <f t="array" ref="AH13">IFERROR(SUMPRODUCT(MGK[[#This Row],[Maße]:[Elekronik]],TRANSPOSE($AV$8:$AV$16),TRANSPOSE($AW$8:$AW$16))/SUM(MGK[[#This Row],[Maße]:[Elekronik]]),0)</f>
        <v>4.5333333333333332</v>
      </c>
      <c r="AI13" s="688" cm="1">
        <f t="array" ref="AI13">IFERROR(SUMPRODUCT(MGK[[#This Row],[Maße]:[Elekronik]],TRANSPOSE($AX$8:$AX$16))/SUM(MGK[[#This Row],[Maße]:[Elekronik]]),0)</f>
        <v>6.666666666666667</v>
      </c>
      <c r="AJ13" s="688">
        <f>IFERROR(INDEX(MGKMHR[Invest],MATCH(MGK[[#This Row],[Lagerart]],MGKMHR[Bezeichnung],0))*ExchangeRate,0)</f>
        <v>647</v>
      </c>
      <c r="AK13" s="688">
        <f>IFERROR(MGK[[#This Row],[L-Invest]]*(1/INDEX(MGKMHR[AfA],MATCH(MGK[[#This Row],[Lagerart]],MGKMHR[Bezeichnung],0))+INDEX(MGKMHR[Verbrauchsmaterial],MATCH(MGK[[#This Row],[Lagerart]],MGKMHR[Bezeichnung],0))+INDEX(MGKMHR[Instandhaltung],MATCH(MGK[[#This Row],[Lagerart]],MGKMHR[Bezeichnung],0)))/(365*24),0)</f>
        <v>9.207686453576865E-3</v>
      </c>
      <c r="AL13" s="688">
        <f>IFERROR(INDEX(MGKMHR[Strom],MATCH(MGK[[#This Row],[Lagerart]],MGKMHR[Bezeichnung],0))*INDEX(MGKMHR[Faktor],MATCH(MGK[[#This Row],[Lagerart]],MGKMHR[Bezeichnung],0)),0)</f>
        <v>1.3698630136986301E-2</v>
      </c>
      <c r="AM13" s="688">
        <f>IFERROR(INDEX(MGKMHR[Fläche],MATCH(MGK[[#This Row],[Lagerart]],MGKMHR[Bezeichnung],0)),0)</f>
        <v>1.25</v>
      </c>
      <c r="AN13" s="678">
        <f>IFERROR(INDEX(MGKMHR[Invest],MATCH(MGK[[#This Row],[Lagerbediengerät]],MGKMHR[Bezeichnung],0))*ExchangeRate,0)</f>
        <v>11000</v>
      </c>
      <c r="AO13" s="688">
        <f>IFERROR(MGK[[#This Row],[B-Invest]]*(1/INDEX(MGKMHR[AfA],MATCH(MGK[[#This Row],[Lagerbediengerät]],MGKMHR[Bezeichnung],0))+INDEX(MGKMHR[Verbrauchsmaterial],MATCH(MGK[[#This Row],[Lagerbediengerät]],MGKMHR[Bezeichnung],0))+INDEX(MGKMHR[Instandhaltung],MATCH(MGK[[#This Row],[Lagerbediengerät]],MGKMHR[Bezeichnung],0)))/(250*16*0.8),0)</f>
        <v>3.4375</v>
      </c>
      <c r="AP13" s="688">
        <f>IFERROR(INDEX(MGKMHR[Strom],MATCH(MGK[[#This Row],[Lagerbediengerät]],MGKMHR[Bezeichnung],0))*INDEX(MGKMHR[Faktor],MATCH(MGK[[#This Row],[Lagerbediengerät]],MGKMHR[Bezeichnung],0)),0)</f>
        <v>5</v>
      </c>
      <c r="AQ13" s="688">
        <f>IFERROR(INDEX(MGKMHR[Fläche],MATCH(MGK[[#This Row],[Lagerbediengerät]],MGKMHR[Bezeichnung],0)),0)</f>
        <v>0</v>
      </c>
      <c r="AR13" s="344"/>
      <c r="AS13" s="683" t="s">
        <v>1030</v>
      </c>
      <c r="AT13" s="235">
        <v>6200</v>
      </c>
      <c r="AU13" s="235">
        <v>14</v>
      </c>
      <c r="AV13" s="235">
        <v>4</v>
      </c>
      <c r="AW13" s="235">
        <v>1</v>
      </c>
      <c r="AX13" s="235">
        <v>10</v>
      </c>
      <c r="AY13" s="345">
        <v>0.02</v>
      </c>
      <c r="AZ13" s="345">
        <v>3.7999999999999999E-2</v>
      </c>
      <c r="BA13" s="345"/>
      <c r="BB13" s="345"/>
      <c r="BD13" s="682">
        <v>0</v>
      </c>
      <c r="BE13" s="207">
        <f>AVERAGE(BF13:BG13)</f>
        <v>5</v>
      </c>
      <c r="BF13" s="254">
        <v>8</v>
      </c>
      <c r="BG13" s="254">
        <v>2</v>
      </c>
      <c r="BI13" s="677" t="s">
        <v>2324</v>
      </c>
      <c r="BJ13" s="677" t="s">
        <v>1266</v>
      </c>
      <c r="BK13" s="678">
        <v>100</v>
      </c>
      <c r="BP13" s="350"/>
      <c r="BQ13" s="350"/>
    </row>
    <row r="14" spans="2:69">
      <c r="B14" s="688" t="str">
        <f>IF(Language="DE",MGK[[#This Row],[DE]],MGK[[#This Row],[EN]])</f>
        <v>Metal sheet</v>
      </c>
      <c r="C14" s="235" t="s">
        <v>1098</v>
      </c>
      <c r="D14" s="235" t="s">
        <v>1258</v>
      </c>
      <c r="E14" s="235" t="s">
        <v>991</v>
      </c>
      <c r="F14" s="235" t="s">
        <v>1000</v>
      </c>
      <c r="G14" s="235" t="s">
        <v>995</v>
      </c>
      <c r="H14" s="235" t="s">
        <v>991</v>
      </c>
      <c r="I14" s="235" t="s">
        <v>1096</v>
      </c>
      <c r="J14" s="341" t="s">
        <v>2188</v>
      </c>
      <c r="K14" s="235">
        <v>4</v>
      </c>
      <c r="L14" s="342">
        <v>1000</v>
      </c>
      <c r="M14" s="343">
        <v>10000</v>
      </c>
      <c r="N14" s="343"/>
      <c r="O14" s="343"/>
      <c r="P14" s="343">
        <v>1000</v>
      </c>
      <c r="Q14" s="343"/>
      <c r="R14" s="341">
        <v>2</v>
      </c>
      <c r="S14" s="690" t="str">
        <f>IFERROR(INDEX(MGKMHR[Gerät],MATCH(MGK[[#This Row],[Lagerart]],MGKMHR[Bezeichnung],0)),0)</f>
        <v>E-Stapler</v>
      </c>
      <c r="T14" s="691" cm="1">
        <f t="array" ref="T14">IFERROR(IF(MGK[[#This Row],[Bestellaufwand]]="gering",0.25, IF(MGK[[#This Row],[Bestellaufwand]]="mittel",1.5,IF(MGK[[#This Row],[Bestellaufwand]]="hoch",8,0))),0)
+IFERROR(IF(MGK[[#This Row],[Bestellaufwand]]="gering",0.25, IF(MGK[[#This Row],[Bestellaufwand]]="mittel",0.5,IF(MGK[[#This Row],[Bestellaufwand]]="hoch",1,0)))*OrdersPerYear,0)</f>
        <v>3.25</v>
      </c>
      <c r="U14" s="688">
        <f>SUM(MGK[[#This Row],[Maße]:[Elekronik]])</f>
        <v>3.375</v>
      </c>
      <c r="V14" s="692" cm="1">
        <f t="array" ref="V14">IFERROR(INDEX(MGKMHR[Handling],MATCH(MGK[[#This Row],[Lagerart]],MGKMHR[Bezeichnung],0))
*(OrdersPerYear+52/MGK[[#This Row],[Lagerreichweite]])*IF(MGK[[#This Row],[Handling]]="gering",0.25,IF(MGK[[#This Row],[Handling]]="hoch",2,1)),0)</f>
        <v>5</v>
      </c>
      <c r="W14" s="693" cm="1">
        <f t="array" ref="W1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4" s="677" cm="1">
        <f t="array" ref="X1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4" s="677" cm="1">
        <f t="array" ref="Y1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4" s="677" cm="1">
        <f t="array" ref="Z14">OrdersPerYear*IF(MGK[[#This Row],[Prüfaufwand]]="gering",0.25,IF(MGK[[#This Row],[Prüfaufwand]]="mittel",0.5,IF(MGK[[#This Row],[Prüfaufwand]]="hoch",1,0)))
*IF(MGK[[#This Row],[Spezifiaktion]]="Zusammenbau",1,0)*1</f>
        <v>0</v>
      </c>
      <c r="AA14" s="677" cm="1">
        <f t="array" ref="AA14">OrdersPerYear*IF(MGK[[#This Row],[Prüfaufwand]]="hoch",1,0)
*IF(MGK[[#This Row],[Spezifiaktion]]="Zusammenbau",1,0)*0.25</f>
        <v>0</v>
      </c>
      <c r="AB14" s="677" cm="1">
        <f t="array" ref="AB14">OrdersPerYear*IF(MGK[[#This Row],[Prüfaufwand]]="hoch",1,0)
*IF(MGK[[#This Row],[Spezifiaktion]]="Zusammenbau",1,0)*0.25</f>
        <v>0</v>
      </c>
      <c r="AC14" s="677" cm="1">
        <f t="array" ref="AC14">OrdersPerYear*IF(MGK[[#This Row],[Prüfaufwand]]="mittel",0.5,IF(MGK[[#This Row],[Prüfaufwand]]="hoch",1,0))
*IF(MGK[[#This Row],[Spezifiaktion]]="Zusammenbau",1,0)*1.5</f>
        <v>0</v>
      </c>
      <c r="AD14" s="677" cm="1">
        <f t="array" ref="AD14">OrdersPerYear*IF(MGK[[#This Row],[Prüfaufwand]]="hoch",1,0)
*IF(MGK[[#This Row],[Spezifiaktion]]="Zusammenbau",1,0)*0.25</f>
        <v>0</v>
      </c>
      <c r="AE14" s="677" cm="1">
        <f t="array" ref="AE14">OrdersPerYear*IF(MGK[[#This Row],[Bestellaufwand]]="gering",0.15,IF(MGK[[#This Row],[Bestellaufwand]]="mittel",0.5,IF(MGK[[#This Row],[Prüfaufwand]]="hoch",1,0)))
*IF(MGK[[#This Row],[Spezifiaktion]]="Elektronik",1,0)*1</f>
        <v>0</v>
      </c>
      <c r="AF14" s="678" cm="1">
        <f t="array" ref="AF14">IFERROR(SUMPRODUCT(MGK[[#This Row],[Maße]:[Elekronik]],TRANSPOSE($AT$8:$AT$16))*ExchangeRate/SUM(MGK[[#This Row],[Maße]:[Elekronik]]),0)</f>
        <v>68866.666666666672</v>
      </c>
      <c r="AG14" s="688" cm="1">
        <f t="array" ref="AG14">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4" s="688" cm="1">
        <f t="array" ref="AH14">IFERROR(SUMPRODUCT(MGK[[#This Row],[Maße]:[Elekronik]],TRANSPOSE($AV$8:$AV$16),TRANSPOSE($AW$8:$AW$16))/SUM(MGK[[#This Row],[Maße]:[Elekronik]]),0)</f>
        <v>4.5333333333333332</v>
      </c>
      <c r="AI14" s="688" cm="1">
        <f t="array" ref="AI14">IFERROR(SUMPRODUCT(MGK[[#This Row],[Maße]:[Elekronik]],TRANSPOSE($AX$8:$AX$16))/SUM(MGK[[#This Row],[Maße]:[Elekronik]]),0)</f>
        <v>6.666666666666667</v>
      </c>
      <c r="AJ14" s="688">
        <f>IFERROR(INDEX(MGKMHR[Invest],MATCH(MGK[[#This Row],[Lagerart]],MGKMHR[Bezeichnung],0))*ExchangeRate,0)</f>
        <v>30.6</v>
      </c>
      <c r="AK14" s="688">
        <f>IFERROR(MGK[[#This Row],[L-Invest]]*(1/INDEX(MGKMHR[AfA],MATCH(MGK[[#This Row],[Lagerart]],MGKMHR[Bezeichnung],0))+INDEX(MGKMHR[Verbrauchsmaterial],MATCH(MGK[[#This Row],[Lagerart]],MGKMHR[Bezeichnung],0))+INDEX(MGKMHR[Instandhaltung],MATCH(MGK[[#This Row],[Lagerart]],MGKMHR[Bezeichnung],0)))/(365*24),0)</f>
        <v>4.3547945205479459E-4</v>
      </c>
      <c r="AL14" s="688">
        <f>IFERROR(INDEX(MGKMHR[Strom],MATCH(MGK[[#This Row],[Lagerart]],MGKMHR[Bezeichnung],0))*INDEX(MGKMHR[Faktor],MATCH(MGK[[#This Row],[Lagerart]],MGKMHR[Bezeichnung],0)),0)</f>
        <v>5.4794520547945206E-3</v>
      </c>
      <c r="AM14" s="688">
        <f>IFERROR(INDEX(MGKMHR[Fläche],MATCH(MGK[[#This Row],[Lagerart]],MGKMHR[Bezeichnung],0)),0)</f>
        <v>0.5</v>
      </c>
      <c r="AN14" s="678">
        <f>IFERROR(INDEX(MGKMHR[Invest],MATCH(MGK[[#This Row],[Lagerbediengerät]],MGKMHR[Bezeichnung],0))*ExchangeRate,0)</f>
        <v>20000</v>
      </c>
      <c r="AO14" s="688">
        <f>IFERROR(MGK[[#This Row],[B-Invest]]*(1/INDEX(MGKMHR[AfA],MATCH(MGK[[#This Row],[Lagerbediengerät]],MGKMHR[Bezeichnung],0))+INDEX(MGKMHR[Verbrauchsmaterial],MATCH(MGK[[#This Row],[Lagerbediengerät]],MGKMHR[Bezeichnung],0))+INDEX(MGKMHR[Instandhaltung],MATCH(MGK[[#This Row],[Lagerbediengerät]],MGKMHR[Bezeichnung],0)))/(250*16*0.8),0)</f>
        <v>6.25</v>
      </c>
      <c r="AP14" s="688">
        <f>IFERROR(INDEX(MGKMHR[Strom],MATCH(MGK[[#This Row],[Lagerbediengerät]],MGKMHR[Bezeichnung],0))*INDEX(MGKMHR[Faktor],MATCH(MGK[[#This Row],[Lagerbediengerät]],MGKMHR[Bezeichnung],0)),0)</f>
        <v>9.6999999999999993</v>
      </c>
      <c r="AQ14" s="688">
        <f>IFERROR(INDEX(MGKMHR[Fläche],MATCH(MGK[[#This Row],[Lagerbediengerät]],MGKMHR[Bezeichnung],0)),0)</f>
        <v>0</v>
      </c>
      <c r="AR14" s="344"/>
      <c r="AS14" s="683" t="s">
        <v>1031</v>
      </c>
      <c r="AT14" s="235">
        <v>155000</v>
      </c>
      <c r="AU14" s="235">
        <v>14</v>
      </c>
      <c r="AV14" s="235">
        <v>27.7</v>
      </c>
      <c r="AW14" s="235">
        <v>1</v>
      </c>
      <c r="AX14" s="235">
        <v>10</v>
      </c>
      <c r="AY14" s="345">
        <v>0.02</v>
      </c>
      <c r="AZ14" s="345">
        <v>3.7999999999999999E-2</v>
      </c>
      <c r="BA14" s="345"/>
      <c r="BB14" s="345"/>
      <c r="BD14" s="682">
        <v>20000</v>
      </c>
      <c r="BE14" s="207">
        <f>AVERAGE(BF14:BG14)</f>
        <v>5</v>
      </c>
      <c r="BF14" s="254">
        <v>8</v>
      </c>
      <c r="BG14" s="254">
        <v>2</v>
      </c>
      <c r="BI14" s="677" t="s">
        <v>1266</v>
      </c>
      <c r="BJ14" s="677" t="s">
        <v>1266</v>
      </c>
      <c r="BK14" s="678">
        <v>1</v>
      </c>
      <c r="BN14" s="348" t="s">
        <v>989</v>
      </c>
    </row>
    <row r="15" spans="2:69">
      <c r="B15" s="688" t="str">
        <f>IF(Language="DE",MGK[[#This Row],[DE]],MGK[[#This Row],[EN]])</f>
        <v>Metal block</v>
      </c>
      <c r="C15" s="235" t="s">
        <v>1099</v>
      </c>
      <c r="D15" s="235" t="s">
        <v>1259</v>
      </c>
      <c r="E15" s="235" t="s">
        <v>991</v>
      </c>
      <c r="F15" s="235" t="s">
        <v>1000</v>
      </c>
      <c r="G15" s="235" t="s">
        <v>995</v>
      </c>
      <c r="H15" s="235" t="s">
        <v>991</v>
      </c>
      <c r="I15" s="235" t="s">
        <v>1096</v>
      </c>
      <c r="J15" s="341" t="s">
        <v>2188</v>
      </c>
      <c r="K15" s="235">
        <v>4</v>
      </c>
      <c r="L15" s="342">
        <v>1000</v>
      </c>
      <c r="M15" s="343">
        <v>10000</v>
      </c>
      <c r="N15" s="343"/>
      <c r="O15" s="343"/>
      <c r="P15" s="343">
        <v>1000</v>
      </c>
      <c r="Q15" s="343"/>
      <c r="R15" s="341">
        <v>2</v>
      </c>
      <c r="S15" s="690" t="str">
        <f>IFERROR(INDEX(MGKMHR[Gerät],MATCH(MGK[[#This Row],[Lagerart]],MGKMHR[Bezeichnung],0)),0)</f>
        <v>E-Stapler</v>
      </c>
      <c r="T15" s="691" cm="1">
        <f t="array" ref="T15">IFERROR(IF(MGK[[#This Row],[Bestellaufwand]]="gering",0.25, IF(MGK[[#This Row],[Bestellaufwand]]="mittel",1.5,IF(MGK[[#This Row],[Bestellaufwand]]="hoch",8,0))),0)
+IFERROR(IF(MGK[[#This Row],[Bestellaufwand]]="gering",0.25, IF(MGK[[#This Row],[Bestellaufwand]]="mittel",0.5,IF(MGK[[#This Row],[Bestellaufwand]]="hoch",1,0)))*OrdersPerYear,0)</f>
        <v>3.25</v>
      </c>
      <c r="U15" s="688">
        <f>SUM(MGK[[#This Row],[Maße]:[Elekronik]])</f>
        <v>3.375</v>
      </c>
      <c r="V15" s="692" cm="1">
        <f t="array" ref="V15">IFERROR(INDEX(MGKMHR[Handling],MATCH(MGK[[#This Row],[Lagerart]],MGKMHR[Bezeichnung],0))
*(OrdersPerYear+52/MGK[[#This Row],[Lagerreichweite]])*IF(MGK[[#This Row],[Handling]]="gering",0.25,IF(MGK[[#This Row],[Handling]]="hoch",2,1)),0)</f>
        <v>5</v>
      </c>
      <c r="W15" s="693" cm="1">
        <f t="array" ref="W1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5" s="677" cm="1">
        <f t="array" ref="X1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5" s="677" cm="1">
        <f t="array" ref="Y1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5" s="677" cm="1">
        <f t="array" ref="Z15">OrdersPerYear*IF(MGK[[#This Row],[Prüfaufwand]]="gering",0.25,IF(MGK[[#This Row],[Prüfaufwand]]="mittel",0.5,IF(MGK[[#This Row],[Prüfaufwand]]="hoch",1,0)))
*IF(MGK[[#This Row],[Spezifiaktion]]="Zusammenbau",1,0)*1</f>
        <v>0</v>
      </c>
      <c r="AA15" s="677" cm="1">
        <f t="array" ref="AA15">OrdersPerYear*IF(MGK[[#This Row],[Prüfaufwand]]="hoch",1,0)
*IF(MGK[[#This Row],[Spezifiaktion]]="Zusammenbau",1,0)*0.25</f>
        <v>0</v>
      </c>
      <c r="AB15" s="677" cm="1">
        <f t="array" ref="AB15">OrdersPerYear*IF(MGK[[#This Row],[Prüfaufwand]]="hoch",1,0)
*IF(MGK[[#This Row],[Spezifiaktion]]="Zusammenbau",1,0)*0.25</f>
        <v>0</v>
      </c>
      <c r="AC15" s="677" cm="1">
        <f t="array" ref="AC15">OrdersPerYear*IF(MGK[[#This Row],[Prüfaufwand]]="mittel",0.5,IF(MGK[[#This Row],[Prüfaufwand]]="hoch",1,0))
*IF(MGK[[#This Row],[Spezifiaktion]]="Zusammenbau",1,0)*1.5</f>
        <v>0</v>
      </c>
      <c r="AD15" s="677" cm="1">
        <f t="array" ref="AD15">OrdersPerYear*IF(MGK[[#This Row],[Prüfaufwand]]="hoch",1,0)
*IF(MGK[[#This Row],[Spezifiaktion]]="Zusammenbau",1,0)*0.25</f>
        <v>0</v>
      </c>
      <c r="AE15" s="677" cm="1">
        <f t="array" ref="AE15">OrdersPerYear*IF(MGK[[#This Row],[Bestellaufwand]]="gering",0.15,IF(MGK[[#This Row],[Bestellaufwand]]="mittel",0.5,IF(MGK[[#This Row],[Prüfaufwand]]="hoch",1,0)))
*IF(MGK[[#This Row],[Spezifiaktion]]="Elektronik",1,0)*1</f>
        <v>0</v>
      </c>
      <c r="AF15" s="678" cm="1">
        <f t="array" ref="AF15">IFERROR(SUMPRODUCT(MGK[[#This Row],[Maße]:[Elekronik]],TRANSPOSE($AT$8:$AT$16))*ExchangeRate/SUM(MGK[[#This Row],[Maße]:[Elekronik]]),0)</f>
        <v>68866.666666666672</v>
      </c>
      <c r="AG15" s="688" cm="1">
        <f t="array" ref="AG15">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5" s="688" cm="1">
        <f t="array" ref="AH15">IFERROR(SUMPRODUCT(MGK[[#This Row],[Maße]:[Elekronik]],TRANSPOSE($AV$8:$AV$16),TRANSPOSE($AW$8:$AW$16))/SUM(MGK[[#This Row],[Maße]:[Elekronik]]),0)</f>
        <v>4.5333333333333332</v>
      </c>
      <c r="AI15" s="688" cm="1">
        <f t="array" ref="AI15">IFERROR(SUMPRODUCT(MGK[[#This Row],[Maße]:[Elekronik]],TRANSPOSE($AX$8:$AX$16))/SUM(MGK[[#This Row],[Maße]:[Elekronik]]),0)</f>
        <v>6.666666666666667</v>
      </c>
      <c r="AJ15" s="688">
        <f>IFERROR(INDEX(MGKMHR[Invest],MATCH(MGK[[#This Row],[Lagerart]],MGKMHR[Bezeichnung],0))*ExchangeRate,0)</f>
        <v>30.6</v>
      </c>
      <c r="AK15" s="688">
        <f>IFERROR(MGK[[#This Row],[L-Invest]]*(1/INDEX(MGKMHR[AfA],MATCH(MGK[[#This Row],[Lagerart]],MGKMHR[Bezeichnung],0))+INDEX(MGKMHR[Verbrauchsmaterial],MATCH(MGK[[#This Row],[Lagerart]],MGKMHR[Bezeichnung],0))+INDEX(MGKMHR[Instandhaltung],MATCH(MGK[[#This Row],[Lagerart]],MGKMHR[Bezeichnung],0)))/(365*24),0)</f>
        <v>4.3547945205479459E-4</v>
      </c>
      <c r="AL15" s="688">
        <f>IFERROR(INDEX(MGKMHR[Strom],MATCH(MGK[[#This Row],[Lagerart]],MGKMHR[Bezeichnung],0))*INDEX(MGKMHR[Faktor],MATCH(MGK[[#This Row],[Lagerart]],MGKMHR[Bezeichnung],0)),0)</f>
        <v>5.4794520547945206E-3</v>
      </c>
      <c r="AM15" s="688">
        <f>IFERROR(INDEX(MGKMHR[Fläche],MATCH(MGK[[#This Row],[Lagerart]],MGKMHR[Bezeichnung],0)),0)</f>
        <v>0.5</v>
      </c>
      <c r="AN15" s="678">
        <f>IFERROR(INDEX(MGKMHR[Invest],MATCH(MGK[[#This Row],[Lagerbediengerät]],MGKMHR[Bezeichnung],0))*ExchangeRate,0)</f>
        <v>20000</v>
      </c>
      <c r="AO15" s="688">
        <f>IFERROR(MGK[[#This Row],[B-Invest]]*(1/INDEX(MGKMHR[AfA],MATCH(MGK[[#This Row],[Lagerbediengerät]],MGKMHR[Bezeichnung],0))+INDEX(MGKMHR[Verbrauchsmaterial],MATCH(MGK[[#This Row],[Lagerbediengerät]],MGKMHR[Bezeichnung],0))+INDEX(MGKMHR[Instandhaltung],MATCH(MGK[[#This Row],[Lagerbediengerät]],MGKMHR[Bezeichnung],0)))/(250*16*0.8),0)</f>
        <v>6.25</v>
      </c>
      <c r="AP15" s="688">
        <f>IFERROR(INDEX(MGKMHR[Strom],MATCH(MGK[[#This Row],[Lagerbediengerät]],MGKMHR[Bezeichnung],0))*INDEX(MGKMHR[Faktor],MATCH(MGK[[#This Row],[Lagerbediengerät]],MGKMHR[Bezeichnung],0)),0)</f>
        <v>9.6999999999999993</v>
      </c>
      <c r="AQ15" s="688">
        <f>IFERROR(INDEX(MGKMHR[Fläche],MATCH(MGK[[#This Row],[Lagerbediengerät]],MGKMHR[Bezeichnung],0)),0)</f>
        <v>0</v>
      </c>
      <c r="AR15" s="344"/>
      <c r="AS15" s="683" t="s">
        <v>1032</v>
      </c>
      <c r="AT15" s="235">
        <v>460000</v>
      </c>
      <c r="AU15" s="235">
        <v>14</v>
      </c>
      <c r="AV15" s="235">
        <v>91</v>
      </c>
      <c r="AW15" s="235">
        <v>1</v>
      </c>
      <c r="AX15" s="235">
        <v>10</v>
      </c>
      <c r="AY15" s="345">
        <v>0.02</v>
      </c>
      <c r="AZ15" s="345">
        <v>3.7999999999999999E-2</v>
      </c>
      <c r="BA15" s="345"/>
      <c r="BB15" s="345"/>
      <c r="BD15" s="682">
        <v>100000</v>
      </c>
      <c r="BE15" s="207">
        <f>AVERAGE(BF15:BG15)</f>
        <v>2.5</v>
      </c>
      <c r="BF15" s="254">
        <v>4</v>
      </c>
      <c r="BG15" s="254">
        <v>1</v>
      </c>
      <c r="BI15" s="677" t="s">
        <v>2325</v>
      </c>
      <c r="BJ15" s="677" t="s">
        <v>1267</v>
      </c>
      <c r="BK15" s="678">
        <v>1000</v>
      </c>
      <c r="BN15" s="349" t="s">
        <v>1000</v>
      </c>
    </row>
    <row r="16" spans="2:69" ht="13.5" thickBot="1">
      <c r="B16" s="688" t="str">
        <f>IF(Language="DE",MGK[[#This Row],[DE]],MGK[[#This Row],[EN]])</f>
        <v>Metal powder</v>
      </c>
      <c r="C16" s="235" t="s">
        <v>1100</v>
      </c>
      <c r="D16" s="235" t="s">
        <v>1260</v>
      </c>
      <c r="E16" s="235" t="s">
        <v>991</v>
      </c>
      <c r="F16" s="235" t="s">
        <v>1000</v>
      </c>
      <c r="G16" s="235" t="s">
        <v>995</v>
      </c>
      <c r="H16" s="235" t="s">
        <v>991</v>
      </c>
      <c r="I16" s="235" t="s">
        <v>993</v>
      </c>
      <c r="J16" s="341" t="s">
        <v>2188</v>
      </c>
      <c r="K16" s="235">
        <v>4</v>
      </c>
      <c r="L16" s="342"/>
      <c r="M16" s="343">
        <v>10000</v>
      </c>
      <c r="N16" s="343"/>
      <c r="O16" s="343"/>
      <c r="P16" s="343"/>
      <c r="Q16" s="343"/>
      <c r="R16" s="341">
        <v>2</v>
      </c>
      <c r="S16" s="690" t="str">
        <f>IFERROR(INDEX(MGKMHR[Gerät],MATCH(MGK[[#This Row],[Lagerart]],MGKMHR[Bezeichnung],0)),0)</f>
        <v>E-Stapler</v>
      </c>
      <c r="T16" s="691" cm="1">
        <f t="array" ref="T16">IFERROR(IF(MGK[[#This Row],[Bestellaufwand]]="gering",0.25, IF(MGK[[#This Row],[Bestellaufwand]]="mittel",1.5,IF(MGK[[#This Row],[Bestellaufwand]]="hoch",8,0))),0)
+IFERROR(IF(MGK[[#This Row],[Bestellaufwand]]="gering",0.25, IF(MGK[[#This Row],[Bestellaufwand]]="mittel",0.5,IF(MGK[[#This Row],[Bestellaufwand]]="hoch",1,0)))*OrdersPerYear,0)</f>
        <v>3.25</v>
      </c>
      <c r="U16" s="688">
        <f>SUM(MGK[[#This Row],[Maße]:[Elekronik]])</f>
        <v>3.375</v>
      </c>
      <c r="V16" s="692" cm="1">
        <f t="array" ref="V16">IFERROR(INDEX(MGKMHR[Handling],MATCH(MGK[[#This Row],[Lagerart]],MGKMHR[Bezeichnung],0))
*(OrdersPerYear+52/MGK[[#This Row],[Lagerreichweite]])*IF(MGK[[#This Row],[Handling]]="gering",0.25,IF(MGK[[#This Row],[Handling]]="hoch",2,1)),0)</f>
        <v>5</v>
      </c>
      <c r="W16" s="693" cm="1">
        <f t="array" ref="W1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6" s="677" cm="1">
        <f t="array" ref="X1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6" s="677" cm="1">
        <f t="array" ref="Y1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6" s="677" cm="1">
        <f t="array" ref="Z16">OrdersPerYear*IF(MGK[[#This Row],[Prüfaufwand]]="gering",0.25,IF(MGK[[#This Row],[Prüfaufwand]]="mittel",0.5,IF(MGK[[#This Row],[Prüfaufwand]]="hoch",1,0)))
*IF(MGK[[#This Row],[Spezifiaktion]]="Zusammenbau",1,0)*1</f>
        <v>0</v>
      </c>
      <c r="AA16" s="677" cm="1">
        <f t="array" ref="AA16">OrdersPerYear*IF(MGK[[#This Row],[Prüfaufwand]]="hoch",1,0)
*IF(MGK[[#This Row],[Spezifiaktion]]="Zusammenbau",1,0)*0.25</f>
        <v>0</v>
      </c>
      <c r="AB16" s="677" cm="1">
        <f t="array" ref="AB16">OrdersPerYear*IF(MGK[[#This Row],[Prüfaufwand]]="hoch",1,0)
*IF(MGK[[#This Row],[Spezifiaktion]]="Zusammenbau",1,0)*0.25</f>
        <v>0</v>
      </c>
      <c r="AC16" s="677" cm="1">
        <f t="array" ref="AC16">OrdersPerYear*IF(MGK[[#This Row],[Prüfaufwand]]="mittel",0.5,IF(MGK[[#This Row],[Prüfaufwand]]="hoch",1,0))
*IF(MGK[[#This Row],[Spezifiaktion]]="Zusammenbau",1,0)*1.5</f>
        <v>0</v>
      </c>
      <c r="AD16" s="677" cm="1">
        <f t="array" ref="AD16">OrdersPerYear*IF(MGK[[#This Row],[Prüfaufwand]]="hoch",1,0)
*IF(MGK[[#This Row],[Spezifiaktion]]="Zusammenbau",1,0)*0.25</f>
        <v>0</v>
      </c>
      <c r="AE16" s="677" cm="1">
        <f t="array" ref="AE16">OrdersPerYear*IF(MGK[[#This Row],[Bestellaufwand]]="gering",0.15,IF(MGK[[#This Row],[Bestellaufwand]]="mittel",0.5,IF(MGK[[#This Row],[Prüfaufwand]]="hoch",1,0)))
*IF(MGK[[#This Row],[Spezifiaktion]]="Elektronik",1,0)*1</f>
        <v>0</v>
      </c>
      <c r="AF16" s="678" cm="1">
        <f t="array" ref="AF16">IFERROR(SUMPRODUCT(MGK[[#This Row],[Maße]:[Elekronik]],TRANSPOSE($AT$8:$AT$16))*ExchangeRate/SUM(MGK[[#This Row],[Maße]:[Elekronik]]),0)</f>
        <v>68866.666666666672</v>
      </c>
      <c r="AG16" s="688" cm="1">
        <f t="array" ref="AG16">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6" s="688" cm="1">
        <f t="array" ref="AH16">IFERROR(SUMPRODUCT(MGK[[#This Row],[Maße]:[Elekronik]],TRANSPOSE($AV$8:$AV$16),TRANSPOSE($AW$8:$AW$16))/SUM(MGK[[#This Row],[Maße]:[Elekronik]]),0)</f>
        <v>4.5333333333333332</v>
      </c>
      <c r="AI16" s="688" cm="1">
        <f t="array" ref="AI16">IFERROR(SUMPRODUCT(MGK[[#This Row],[Maße]:[Elekronik]],TRANSPOSE($AX$8:$AX$16))/SUM(MGK[[#This Row],[Maße]:[Elekronik]]),0)</f>
        <v>6.666666666666667</v>
      </c>
      <c r="AJ16" s="688">
        <f>IFERROR(INDEX(MGKMHR[Invest],MATCH(MGK[[#This Row],[Lagerart]],MGKMHR[Bezeichnung],0))*ExchangeRate,0)</f>
        <v>30.6</v>
      </c>
      <c r="AK16" s="688">
        <f>IFERROR(MGK[[#This Row],[L-Invest]]*(1/INDEX(MGKMHR[AfA],MATCH(MGK[[#This Row],[Lagerart]],MGKMHR[Bezeichnung],0))+INDEX(MGKMHR[Verbrauchsmaterial],MATCH(MGK[[#This Row],[Lagerart]],MGKMHR[Bezeichnung],0))+INDEX(MGKMHR[Instandhaltung],MATCH(MGK[[#This Row],[Lagerart]],MGKMHR[Bezeichnung],0)))/(365*24),0)</f>
        <v>4.3547945205479459E-4</v>
      </c>
      <c r="AL16" s="688">
        <f>IFERROR(INDEX(MGKMHR[Strom],MATCH(MGK[[#This Row],[Lagerart]],MGKMHR[Bezeichnung],0))*INDEX(MGKMHR[Faktor],MATCH(MGK[[#This Row],[Lagerart]],MGKMHR[Bezeichnung],0)),0)</f>
        <v>5.4794520547945206E-3</v>
      </c>
      <c r="AM16" s="688">
        <f>IFERROR(INDEX(MGKMHR[Fläche],MATCH(MGK[[#This Row],[Lagerart]],MGKMHR[Bezeichnung],0)),0)</f>
        <v>0.5</v>
      </c>
      <c r="AN16" s="678">
        <f>IFERROR(INDEX(MGKMHR[Invest],MATCH(MGK[[#This Row],[Lagerbediengerät]],MGKMHR[Bezeichnung],0))*ExchangeRate,0)</f>
        <v>20000</v>
      </c>
      <c r="AO16" s="688">
        <f>IFERROR(MGK[[#This Row],[B-Invest]]*(1/INDEX(MGKMHR[AfA],MATCH(MGK[[#This Row],[Lagerbediengerät]],MGKMHR[Bezeichnung],0))+INDEX(MGKMHR[Verbrauchsmaterial],MATCH(MGK[[#This Row],[Lagerbediengerät]],MGKMHR[Bezeichnung],0))+INDEX(MGKMHR[Instandhaltung],MATCH(MGK[[#This Row],[Lagerbediengerät]],MGKMHR[Bezeichnung],0)))/(250*16*0.8),0)</f>
        <v>6.25</v>
      </c>
      <c r="AP16" s="688">
        <f>IFERROR(INDEX(MGKMHR[Strom],MATCH(MGK[[#This Row],[Lagerbediengerät]],MGKMHR[Bezeichnung],0))*INDEX(MGKMHR[Faktor],MATCH(MGK[[#This Row],[Lagerbediengerät]],MGKMHR[Bezeichnung],0)),0)</f>
        <v>9.6999999999999993</v>
      </c>
      <c r="AQ16" s="688">
        <f>IFERROR(INDEX(MGKMHR[Fläche],MATCH(MGK[[#This Row],[Lagerbediengerät]],MGKMHR[Bezeichnung],0)),0)</f>
        <v>0</v>
      </c>
      <c r="AR16" s="344"/>
      <c r="AS16" s="684" t="s">
        <v>1033</v>
      </c>
      <c r="AT16" s="354">
        <v>500000</v>
      </c>
      <c r="AU16" s="354">
        <v>10</v>
      </c>
      <c r="AV16" s="354">
        <v>10</v>
      </c>
      <c r="AW16" s="354">
        <v>1</v>
      </c>
      <c r="AX16" s="354">
        <v>10</v>
      </c>
      <c r="AY16" s="355">
        <v>0.02</v>
      </c>
      <c r="AZ16" s="355">
        <v>3.7999999999999999E-2</v>
      </c>
      <c r="BA16" s="355"/>
      <c r="BB16" s="355"/>
      <c r="BD16" s="682">
        <v>500000</v>
      </c>
      <c r="BE16" s="207">
        <v>1.5</v>
      </c>
      <c r="BF16" s="254">
        <v>2</v>
      </c>
      <c r="BG16" s="254">
        <v>0.5</v>
      </c>
      <c r="BI16" s="677" t="s">
        <v>2299</v>
      </c>
      <c r="BJ16" s="677" t="s">
        <v>1267</v>
      </c>
      <c r="BK16" s="678">
        <v>100</v>
      </c>
      <c r="BN16" s="349" t="s">
        <v>1001</v>
      </c>
    </row>
    <row r="17" spans="2:67" ht="13.5" thickTop="1">
      <c r="B17" s="688" t="str">
        <f>IF(Language="DE",MGK[[#This Row],[DE]],MGK[[#This Row],[EN]])</f>
        <v>Electronics</v>
      </c>
      <c r="C17" s="235" t="s">
        <v>1003</v>
      </c>
      <c r="D17" s="235" t="s">
        <v>962</v>
      </c>
      <c r="E17" s="235" t="s">
        <v>991</v>
      </c>
      <c r="F17" s="235" t="s">
        <v>1002</v>
      </c>
      <c r="G17" s="235" t="s">
        <v>995</v>
      </c>
      <c r="H17" s="235" t="s">
        <v>991</v>
      </c>
      <c r="I17" s="235" t="s">
        <v>1003</v>
      </c>
      <c r="J17" s="341" t="s">
        <v>2188</v>
      </c>
      <c r="K17" s="235">
        <v>4</v>
      </c>
      <c r="L17" s="342">
        <v>25000</v>
      </c>
      <c r="M17" s="343"/>
      <c r="N17" s="343"/>
      <c r="O17" s="343"/>
      <c r="P17" s="343">
        <v>1</v>
      </c>
      <c r="Q17" s="343"/>
      <c r="R17" s="341">
        <v>0.01</v>
      </c>
      <c r="S17" s="690" t="str">
        <f>IFERROR(INDEX(MGKMHR[Gerät],MATCH(MGK[[#This Row],[Lagerart]],MGKMHR[Bezeichnung],0)),0)</f>
        <v>Niederhubkommisionierer</v>
      </c>
      <c r="T17" s="691" cm="1">
        <f t="array" ref="T17">IFERROR(IF(MGK[[#This Row],[Bestellaufwand]]="gering",0.25, IF(MGK[[#This Row],[Bestellaufwand]]="mittel",1.5,IF(MGK[[#This Row],[Bestellaufwand]]="hoch",8,0))),0)
+IFERROR(IF(MGK[[#This Row],[Bestellaufwand]]="gering",0.25, IF(MGK[[#This Row],[Bestellaufwand]]="mittel",0.5,IF(MGK[[#This Row],[Bestellaufwand]]="hoch",1,0)))*OrdersPerYear,0)</f>
        <v>3.25</v>
      </c>
      <c r="U17" s="688">
        <f>SUM(MGK[[#This Row],[Maße]:[Elekronik]])</f>
        <v>1.7999999999999998</v>
      </c>
      <c r="V17" s="692" cm="1">
        <f t="array" ref="V17">IFERROR(INDEX(MGKMHR[Handling],MATCH(MGK[[#This Row],[Lagerart]],MGKMHR[Bezeichnung],0))
*(OrdersPerYear+52/MGK[[#This Row],[Lagerreichweite]])*IF(MGK[[#This Row],[Handling]]="gering",0.25,IF(MGK[[#This Row],[Handling]]="hoch",2,1)),0)</f>
        <v>0.10416666666666667</v>
      </c>
      <c r="W17" s="693" cm="1">
        <f t="array" ref="W1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17" s="677" cm="1">
        <f t="array" ref="X1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17" s="677" cm="1">
        <f t="array" ref="Y1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17" s="677" cm="1">
        <f t="array" ref="Z17">OrdersPerYear*IF(MGK[[#This Row],[Prüfaufwand]]="gering",0.25,IF(MGK[[#This Row],[Prüfaufwand]]="mittel",0.5,IF(MGK[[#This Row],[Prüfaufwand]]="hoch",1,0)))
*IF(MGK[[#This Row],[Spezifiaktion]]="Zusammenbau",1,0)*1</f>
        <v>0</v>
      </c>
      <c r="AA17" s="677" cm="1">
        <f t="array" ref="AA17">OrdersPerYear*IF(MGK[[#This Row],[Prüfaufwand]]="hoch",1,0)
*IF(MGK[[#This Row],[Spezifiaktion]]="Zusammenbau",1,0)*0.25</f>
        <v>0</v>
      </c>
      <c r="AB17" s="677" cm="1">
        <f t="array" ref="AB17">OrdersPerYear*IF(MGK[[#This Row],[Prüfaufwand]]="hoch",1,0)
*IF(MGK[[#This Row],[Spezifiaktion]]="Zusammenbau",1,0)*0.25</f>
        <v>0</v>
      </c>
      <c r="AC17" s="677" cm="1">
        <f t="array" ref="AC17">OrdersPerYear*IF(MGK[[#This Row],[Prüfaufwand]]="mittel",0.5,IF(MGK[[#This Row],[Prüfaufwand]]="hoch",1,0))
*IF(MGK[[#This Row],[Spezifiaktion]]="Zusammenbau",1,0)*1.5</f>
        <v>0</v>
      </c>
      <c r="AD17" s="677" cm="1">
        <f t="array" ref="AD17">OrdersPerYear*IF(MGK[[#This Row],[Prüfaufwand]]="hoch",1,0)
*IF(MGK[[#This Row],[Spezifiaktion]]="Zusammenbau",1,0)*0.25</f>
        <v>0</v>
      </c>
      <c r="AE17" s="677" cm="1">
        <f t="array" ref="AE17">OrdersPerYear*IF(MGK[[#This Row],[Bestellaufwand]]="gering",0.15,IF(MGK[[#This Row],[Bestellaufwand]]="mittel",0.5,IF(MGK[[#This Row],[Prüfaufwand]]="hoch",1,0)))
*IF(MGK[[#This Row],[Spezifiaktion]]="Elektronik",1,0)*1</f>
        <v>1.7999999999999998</v>
      </c>
      <c r="AF17" s="678" cm="1">
        <f t="array" ref="AF17">IFERROR(SUMPRODUCT(MGK[[#This Row],[Maße]:[Elekronik]],TRANSPOSE($AT$8:$AT$16))*ExchangeRate/SUM(MGK[[#This Row],[Maße]:[Elekronik]]),0)</f>
        <v>500000</v>
      </c>
      <c r="AG17" s="688" cm="1">
        <f t="array" ref="AG17">IFERROR((SUMPRODUCT(MGK[[#This Row],[Maße]:[Elekronik]],TRANSPOSE($AT$8:$AT$16),1/TRANSPOSE($AU$8:$AU$16))+SUMPRODUCT(MGK[[#This Row],[Maße]:[Elekronik]],TRANSPOSE($AT$8:$AT$16),TRANSPOSE($AY$8:$AY$16))+SUMPRODUCT(MGK[[#This Row],[Maße]:[Elekronik]],TRANSPOSE($AT$8:$AT$16),TRANSPOSE($AZ$8:$AZ$16)))*ExchangeRate/(250*8*0.8)/SUM(MGK[[#This Row],[Maße]:[Elekronik]]),0)</f>
        <v>49.375000000000007</v>
      </c>
      <c r="AH17" s="688" cm="1">
        <f t="array" ref="AH17">IFERROR(SUMPRODUCT(MGK[[#This Row],[Maße]:[Elekronik]],TRANSPOSE($AV$8:$AV$16),TRANSPOSE($AW$8:$AW$16))/SUM(MGK[[#This Row],[Maße]:[Elekronik]]),0)</f>
        <v>10.000000000000002</v>
      </c>
      <c r="AI17" s="688" cm="1">
        <f t="array" ref="AI17">IFERROR(SUMPRODUCT(MGK[[#This Row],[Maße]:[Elekronik]],TRANSPOSE($AX$8:$AX$16))/SUM(MGK[[#This Row],[Maße]:[Elekronik]]),0)</f>
        <v>10.000000000000002</v>
      </c>
      <c r="AJ17" s="688">
        <f>IFERROR(INDEX(MGKMHR[Invest],MATCH(MGK[[#This Row],[Lagerart]],MGKMHR[Bezeichnung],0))*ExchangeRate,0)</f>
        <v>40000</v>
      </c>
      <c r="AK17" s="688">
        <f>IFERROR(MGK[[#This Row],[L-Invest]]*(1/INDEX(MGKMHR[AfA],MATCH(MGK[[#This Row],[Lagerart]],MGKMHR[Bezeichnung],0))+INDEX(MGKMHR[Verbrauchsmaterial],MATCH(MGK[[#This Row],[Lagerart]],MGKMHR[Bezeichnung],0))+INDEX(MGKMHR[Instandhaltung],MATCH(MGK[[#This Row],[Lagerart]],MGKMHR[Bezeichnung],0)))/(365*24),0)</f>
        <v>0.37290715372907152</v>
      </c>
      <c r="AL17" s="688">
        <f>IFERROR(INDEX(MGKMHR[Strom],MATCH(MGK[[#This Row],[Lagerart]],MGKMHR[Bezeichnung],0))*INDEX(MGKMHR[Faktor],MATCH(MGK[[#This Row],[Lagerart]],MGKMHR[Bezeichnung],0)),0)</f>
        <v>3.2876712328767127E-2</v>
      </c>
      <c r="AM17" s="688">
        <f>IFERROR(INDEX(MGKMHR[Fläche],MATCH(MGK[[#This Row],[Lagerart]],MGKMHR[Bezeichnung],0)),0)</f>
        <v>3</v>
      </c>
      <c r="AN17" s="678">
        <f>IFERROR(INDEX(MGKMHR[Invest],MATCH(MGK[[#This Row],[Lagerbediengerät]],MGKMHR[Bezeichnung],0))*ExchangeRate,0)</f>
        <v>2000</v>
      </c>
      <c r="AO17" s="688">
        <f>IFERROR(MGK[[#This Row],[B-Invest]]*(1/INDEX(MGKMHR[AfA],MATCH(MGK[[#This Row],[Lagerbediengerät]],MGKMHR[Bezeichnung],0))+INDEX(MGKMHR[Verbrauchsmaterial],MATCH(MGK[[#This Row],[Lagerbediengerät]],MGKMHR[Bezeichnung],0))+INDEX(MGKMHR[Instandhaltung],MATCH(MGK[[#This Row],[Lagerbediengerät]],MGKMHR[Bezeichnung],0)))/(250*16*0.8),0)</f>
        <v>0.625</v>
      </c>
      <c r="AP17" s="688">
        <f>IFERROR(INDEX(MGKMHR[Strom],MATCH(MGK[[#This Row],[Lagerbediengerät]],MGKMHR[Bezeichnung],0))*INDEX(MGKMHR[Faktor],MATCH(MGK[[#This Row],[Lagerbediengerät]],MGKMHR[Bezeichnung],0)),0)</f>
        <v>1</v>
      </c>
      <c r="AQ17" s="688">
        <f>IFERROR(INDEX(MGKMHR[Fläche],MATCH(MGK[[#This Row],[Lagerbediengerät]],MGKMHR[Bezeichnung],0)),0)</f>
        <v>0</v>
      </c>
      <c r="AR17" s="344"/>
      <c r="AS17" s="685" t="s">
        <v>1000</v>
      </c>
      <c r="AT17" s="356">
        <v>30.6</v>
      </c>
      <c r="AU17" s="356">
        <v>15</v>
      </c>
      <c r="AV17" s="356">
        <v>5.4794520547945206E-3</v>
      </c>
      <c r="AW17" s="356">
        <v>1</v>
      </c>
      <c r="AX17" s="356">
        <v>0.5</v>
      </c>
      <c r="AY17" s="357">
        <v>0.02</v>
      </c>
      <c r="AZ17" s="357">
        <v>3.7999999999999999E-2</v>
      </c>
      <c r="BA17" s="357" t="s">
        <v>1063</v>
      </c>
      <c r="BB17" s="357">
        <v>0.2</v>
      </c>
      <c r="BD17" s="34"/>
      <c r="BE17" s="4"/>
      <c r="BG17" s="5"/>
      <c r="BI17" s="677" t="s">
        <v>2326</v>
      </c>
      <c r="BJ17" s="677" t="s">
        <v>1267</v>
      </c>
      <c r="BK17" s="678">
        <v>10</v>
      </c>
      <c r="BN17" s="349" t="s">
        <v>996</v>
      </c>
    </row>
    <row r="18" spans="2:67">
      <c r="B18" s="688" t="str">
        <f>IF(Language="DE",MGK[[#This Row],[DE]],MGK[[#This Row],[EN]])</f>
        <v>Glas</v>
      </c>
      <c r="C18" s="235" t="s">
        <v>1008</v>
      </c>
      <c r="D18" s="235" t="s">
        <v>1008</v>
      </c>
      <c r="E18" s="235" t="s">
        <v>991</v>
      </c>
      <c r="F18" s="235" t="s">
        <v>1000</v>
      </c>
      <c r="G18" s="235" t="s">
        <v>995</v>
      </c>
      <c r="H18" s="235" t="s">
        <v>991</v>
      </c>
      <c r="I18" s="235" t="s">
        <v>993</v>
      </c>
      <c r="J18" s="341" t="s">
        <v>2188</v>
      </c>
      <c r="K18" s="235">
        <v>4</v>
      </c>
      <c r="L18" s="342"/>
      <c r="M18" s="343">
        <v>1000</v>
      </c>
      <c r="N18" s="343"/>
      <c r="O18" s="343"/>
      <c r="P18" s="343"/>
      <c r="Q18" s="343"/>
      <c r="R18" s="341">
        <v>1</v>
      </c>
      <c r="S18" s="690" t="str">
        <f>IFERROR(INDEX(MGKMHR[Gerät],MATCH(MGK[[#This Row],[Lagerart]],MGKMHR[Bezeichnung],0)),0)</f>
        <v>E-Stapler</v>
      </c>
      <c r="T18" s="691" cm="1">
        <f t="array" ref="T18">IFERROR(IF(MGK[[#This Row],[Bestellaufwand]]="gering",0.25, IF(MGK[[#This Row],[Bestellaufwand]]="mittel",1.5,IF(MGK[[#This Row],[Bestellaufwand]]="hoch",8,0))),0)
+IFERROR(IF(MGK[[#This Row],[Bestellaufwand]]="gering",0.25, IF(MGK[[#This Row],[Bestellaufwand]]="mittel",0.5,IF(MGK[[#This Row],[Bestellaufwand]]="hoch",1,0)))*OrdersPerYear,0)</f>
        <v>3.25</v>
      </c>
      <c r="U18" s="688">
        <f>SUM(MGK[[#This Row],[Maße]:[Elekronik]])</f>
        <v>3.375</v>
      </c>
      <c r="V18" s="692" cm="1">
        <f t="array" ref="V18">IFERROR(INDEX(MGKMHR[Handling],MATCH(MGK[[#This Row],[Lagerart]],MGKMHR[Bezeichnung],0))
*(OrdersPerYear+52/MGK[[#This Row],[Lagerreichweite]])*IF(MGK[[#This Row],[Handling]]="gering",0.25,IF(MGK[[#This Row],[Handling]]="hoch",2,1)),0)</f>
        <v>5</v>
      </c>
      <c r="W18" s="693" cm="1">
        <f t="array" ref="W1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8" s="677" cm="1">
        <f t="array" ref="X1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8" s="677" cm="1">
        <f t="array" ref="Y1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8" s="677" cm="1">
        <f t="array" ref="Z18">OrdersPerYear*IF(MGK[[#This Row],[Prüfaufwand]]="gering",0.25,IF(MGK[[#This Row],[Prüfaufwand]]="mittel",0.5,IF(MGK[[#This Row],[Prüfaufwand]]="hoch",1,0)))
*IF(MGK[[#This Row],[Spezifiaktion]]="Zusammenbau",1,0)*1</f>
        <v>0</v>
      </c>
      <c r="AA18" s="677" cm="1">
        <f t="array" ref="AA18">OrdersPerYear*IF(MGK[[#This Row],[Prüfaufwand]]="hoch",1,0)
*IF(MGK[[#This Row],[Spezifiaktion]]="Zusammenbau",1,0)*0.25</f>
        <v>0</v>
      </c>
      <c r="AB18" s="677" cm="1">
        <f t="array" ref="AB18">OrdersPerYear*IF(MGK[[#This Row],[Prüfaufwand]]="hoch",1,0)
*IF(MGK[[#This Row],[Spezifiaktion]]="Zusammenbau",1,0)*0.25</f>
        <v>0</v>
      </c>
      <c r="AC18" s="677" cm="1">
        <f t="array" ref="AC18">OrdersPerYear*IF(MGK[[#This Row],[Prüfaufwand]]="mittel",0.5,IF(MGK[[#This Row],[Prüfaufwand]]="hoch",1,0))
*IF(MGK[[#This Row],[Spezifiaktion]]="Zusammenbau",1,0)*1.5</f>
        <v>0</v>
      </c>
      <c r="AD18" s="677" cm="1">
        <f t="array" ref="AD18">OrdersPerYear*IF(MGK[[#This Row],[Prüfaufwand]]="hoch",1,0)
*IF(MGK[[#This Row],[Spezifiaktion]]="Zusammenbau",1,0)*0.25</f>
        <v>0</v>
      </c>
      <c r="AE18" s="677" cm="1">
        <f t="array" ref="AE18">OrdersPerYear*IF(MGK[[#This Row],[Bestellaufwand]]="gering",0.15,IF(MGK[[#This Row],[Bestellaufwand]]="mittel",0.5,IF(MGK[[#This Row],[Prüfaufwand]]="hoch",1,0)))
*IF(MGK[[#This Row],[Spezifiaktion]]="Elektronik",1,0)*1</f>
        <v>0</v>
      </c>
      <c r="AF18" s="678" cm="1">
        <f t="array" ref="AF18">IFERROR(SUMPRODUCT(MGK[[#This Row],[Maße]:[Elekronik]],TRANSPOSE($AT$8:$AT$16))*ExchangeRate/SUM(MGK[[#This Row],[Maße]:[Elekronik]]),0)</f>
        <v>68866.666666666672</v>
      </c>
      <c r="AG18" s="688" cm="1">
        <f t="array" ref="AG18">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8" s="688" cm="1">
        <f t="array" ref="AH18">IFERROR(SUMPRODUCT(MGK[[#This Row],[Maße]:[Elekronik]],TRANSPOSE($AV$8:$AV$16),TRANSPOSE($AW$8:$AW$16))/SUM(MGK[[#This Row],[Maße]:[Elekronik]]),0)</f>
        <v>4.5333333333333332</v>
      </c>
      <c r="AI18" s="688" cm="1">
        <f t="array" ref="AI18">IFERROR(SUMPRODUCT(MGK[[#This Row],[Maße]:[Elekronik]],TRANSPOSE($AX$8:$AX$16))/SUM(MGK[[#This Row],[Maße]:[Elekronik]]),0)</f>
        <v>6.666666666666667</v>
      </c>
      <c r="AJ18" s="688">
        <f>IFERROR(INDEX(MGKMHR[Invest],MATCH(MGK[[#This Row],[Lagerart]],MGKMHR[Bezeichnung],0))*ExchangeRate,0)</f>
        <v>30.6</v>
      </c>
      <c r="AK18" s="688">
        <f>IFERROR(MGK[[#This Row],[L-Invest]]*(1/INDEX(MGKMHR[AfA],MATCH(MGK[[#This Row],[Lagerart]],MGKMHR[Bezeichnung],0))+INDEX(MGKMHR[Verbrauchsmaterial],MATCH(MGK[[#This Row],[Lagerart]],MGKMHR[Bezeichnung],0))+INDEX(MGKMHR[Instandhaltung],MATCH(MGK[[#This Row],[Lagerart]],MGKMHR[Bezeichnung],0)))/(365*24),0)</f>
        <v>4.3547945205479459E-4</v>
      </c>
      <c r="AL18" s="688">
        <f>IFERROR(INDEX(MGKMHR[Strom],MATCH(MGK[[#This Row],[Lagerart]],MGKMHR[Bezeichnung],0))*INDEX(MGKMHR[Faktor],MATCH(MGK[[#This Row],[Lagerart]],MGKMHR[Bezeichnung],0)),0)</f>
        <v>5.4794520547945206E-3</v>
      </c>
      <c r="AM18" s="688">
        <f>IFERROR(INDEX(MGKMHR[Fläche],MATCH(MGK[[#This Row],[Lagerart]],MGKMHR[Bezeichnung],0)),0)</f>
        <v>0.5</v>
      </c>
      <c r="AN18" s="678">
        <f>IFERROR(INDEX(MGKMHR[Invest],MATCH(MGK[[#This Row],[Lagerbediengerät]],MGKMHR[Bezeichnung],0))*ExchangeRate,0)</f>
        <v>20000</v>
      </c>
      <c r="AO18" s="688">
        <f>IFERROR(MGK[[#This Row],[B-Invest]]*(1/INDEX(MGKMHR[AfA],MATCH(MGK[[#This Row],[Lagerbediengerät]],MGKMHR[Bezeichnung],0))+INDEX(MGKMHR[Verbrauchsmaterial],MATCH(MGK[[#This Row],[Lagerbediengerät]],MGKMHR[Bezeichnung],0))+INDEX(MGKMHR[Instandhaltung],MATCH(MGK[[#This Row],[Lagerbediengerät]],MGKMHR[Bezeichnung],0)))/(250*16*0.8),0)</f>
        <v>6.25</v>
      </c>
      <c r="AP18" s="688">
        <f>IFERROR(INDEX(MGKMHR[Strom],MATCH(MGK[[#This Row],[Lagerbediengerät]],MGKMHR[Bezeichnung],0))*INDEX(MGKMHR[Faktor],MATCH(MGK[[#This Row],[Lagerbediengerät]],MGKMHR[Bezeichnung],0)),0)</f>
        <v>9.6999999999999993</v>
      </c>
      <c r="AQ18" s="688">
        <f>IFERROR(INDEX(MGKMHR[Fläche],MATCH(MGK[[#This Row],[Lagerbediengerät]],MGKMHR[Bezeichnung],0)),0)</f>
        <v>0</v>
      </c>
      <c r="AR18" s="344"/>
      <c r="AS18" s="683" t="s">
        <v>1001</v>
      </c>
      <c r="AT18" s="235">
        <v>313</v>
      </c>
      <c r="AU18" s="235">
        <v>15</v>
      </c>
      <c r="AV18" s="235">
        <v>2.0700152207001523E-3</v>
      </c>
      <c r="AW18" s="235">
        <v>1</v>
      </c>
      <c r="AX18" s="235">
        <v>0.18888888888888888</v>
      </c>
      <c r="AY18" s="345">
        <v>0.02</v>
      </c>
      <c r="AZ18" s="345">
        <v>3.7999999999999999E-2</v>
      </c>
      <c r="BA18" s="345"/>
      <c r="BB18" s="345">
        <v>0.06</v>
      </c>
      <c r="BD18" s="346" t="s">
        <v>1407</v>
      </c>
      <c r="BE18" s="347" t="s">
        <v>96</v>
      </c>
      <c r="BF18" s="347" t="s">
        <v>155</v>
      </c>
      <c r="BG18" s="347" t="s">
        <v>152</v>
      </c>
      <c r="BI18" s="677" t="s">
        <v>1267</v>
      </c>
      <c r="BJ18" s="677" t="s">
        <v>1267</v>
      </c>
      <c r="BK18" s="678">
        <v>1</v>
      </c>
      <c r="BN18" s="349" t="s">
        <v>1021</v>
      </c>
    </row>
    <row r="19" spans="2:67">
      <c r="B19" s="688" t="str">
        <f>IF(Language="DE",MGK[[#This Row],[DE]],MGK[[#This Row],[EN]])</f>
        <v>Surface treatment</v>
      </c>
      <c r="C19" s="235" t="s">
        <v>1101</v>
      </c>
      <c r="D19" s="235" t="s">
        <v>1085</v>
      </c>
      <c r="E19" s="235" t="s">
        <v>995</v>
      </c>
      <c r="F19" s="235" t="s">
        <v>1000</v>
      </c>
      <c r="G19" s="235" t="s">
        <v>995</v>
      </c>
      <c r="H19" s="235" t="s">
        <v>995</v>
      </c>
      <c r="I19" s="235" t="s">
        <v>997</v>
      </c>
      <c r="J19" s="341" t="s">
        <v>2188</v>
      </c>
      <c r="K19" s="235">
        <v>4</v>
      </c>
      <c r="L19" s="342">
        <v>100</v>
      </c>
      <c r="M19" s="343">
        <v>100</v>
      </c>
      <c r="N19" s="343">
        <v>100</v>
      </c>
      <c r="O19" s="343"/>
      <c r="P19" s="343"/>
      <c r="Q19" s="343"/>
      <c r="R19" s="341">
        <v>1</v>
      </c>
      <c r="S19" s="690" t="str">
        <f>IFERROR(INDEX(MGKMHR[Gerät],MATCH(MGK[[#This Row],[Lagerart]],MGKMHR[Bezeichnung],0)),0)</f>
        <v>E-Stapler</v>
      </c>
      <c r="T19" s="691" cm="1">
        <f t="array" ref="T19">IFERROR(IF(MGK[[#This Row],[Bestellaufwand]]="gering",0.25, IF(MGK[[#This Row],[Bestellaufwand]]="mittel",1.5,IF(MGK[[#This Row],[Bestellaufwand]]="hoch",8,0))),0)
+IFERROR(IF(MGK[[#This Row],[Bestellaufwand]]="gering",0.25, IF(MGK[[#This Row],[Bestellaufwand]]="mittel",0.5,IF(MGK[[#This Row],[Bestellaufwand]]="hoch",1,0)))*OrdersPerYear,0)</f>
        <v>7.5</v>
      </c>
      <c r="U19" s="688">
        <f>SUM(MGK[[#This Row],[Maße]:[Elekronik]])</f>
        <v>13.5</v>
      </c>
      <c r="V19" s="692" cm="1">
        <f t="array" ref="V19">IFERROR(INDEX(MGKMHR[Handling],MATCH(MGK[[#This Row],[Lagerart]],MGKMHR[Bezeichnung],0))
*(OrdersPerYear+52/MGK[[#This Row],[Lagerreichweite]])*IF(MGK[[#This Row],[Handling]]="gering",0.25,IF(MGK[[#This Row],[Handling]]="hoch",2,1)),0)</f>
        <v>5</v>
      </c>
      <c r="W19" s="693" cm="1">
        <f t="array" ref="W1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X19" s="677" cm="1">
        <f t="array" ref="X1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Y19" s="677" cm="1">
        <f t="array" ref="Y1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Z19" s="677" cm="1">
        <f t="array" ref="Z19">OrdersPerYear*IF(MGK[[#This Row],[Prüfaufwand]]="gering",0.25,IF(MGK[[#This Row],[Prüfaufwand]]="mittel",0.5,IF(MGK[[#This Row],[Prüfaufwand]]="hoch",1,0)))
*IF(MGK[[#This Row],[Spezifiaktion]]="Zusammenbau",1,0)*1</f>
        <v>0</v>
      </c>
      <c r="AA19" s="677" cm="1">
        <f t="array" ref="AA19">OrdersPerYear*IF(MGK[[#This Row],[Prüfaufwand]]="hoch",1,0)
*IF(MGK[[#This Row],[Spezifiaktion]]="Zusammenbau",1,0)*0.25</f>
        <v>0</v>
      </c>
      <c r="AB19" s="677" cm="1">
        <f t="array" ref="AB19">OrdersPerYear*IF(MGK[[#This Row],[Prüfaufwand]]="hoch",1,0)
*IF(MGK[[#This Row],[Spezifiaktion]]="Zusammenbau",1,0)*0.25</f>
        <v>0</v>
      </c>
      <c r="AC19" s="677" cm="1">
        <f t="array" ref="AC19">OrdersPerYear*IF(MGK[[#This Row],[Prüfaufwand]]="mittel",0.5,IF(MGK[[#This Row],[Prüfaufwand]]="hoch",1,0))
*IF(MGK[[#This Row],[Spezifiaktion]]="Zusammenbau",1,0)*1.5</f>
        <v>0</v>
      </c>
      <c r="AD19" s="677" cm="1">
        <f t="array" ref="AD19">OrdersPerYear*IF(MGK[[#This Row],[Prüfaufwand]]="hoch",1,0)
*IF(MGK[[#This Row],[Spezifiaktion]]="Zusammenbau",1,0)*0.25</f>
        <v>0</v>
      </c>
      <c r="AE19" s="677" cm="1">
        <f t="array" ref="AE19">OrdersPerYear*IF(MGK[[#This Row],[Bestellaufwand]]="gering",0.15,IF(MGK[[#This Row],[Bestellaufwand]]="mittel",0.5,IF(MGK[[#This Row],[Prüfaufwand]]="hoch",1,0)))
*IF(MGK[[#This Row],[Spezifiaktion]]="Elektronik",1,0)*1</f>
        <v>0</v>
      </c>
      <c r="AF19" s="678" cm="1">
        <f t="array" ref="AF19">IFERROR(SUMPRODUCT(MGK[[#This Row],[Maße]:[Elekronik]],TRANSPOSE($AT$8:$AT$16))*ExchangeRate/SUM(MGK[[#This Row],[Maße]:[Elekronik]]),0)</f>
        <v>68866.666666666672</v>
      </c>
      <c r="AG19" s="688" cm="1">
        <f t="array" ref="AG19">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9" s="688" cm="1">
        <f t="array" ref="AH19">IFERROR(SUMPRODUCT(MGK[[#This Row],[Maße]:[Elekronik]],TRANSPOSE($AV$8:$AV$16),TRANSPOSE($AW$8:$AW$16))/SUM(MGK[[#This Row],[Maße]:[Elekronik]]),0)</f>
        <v>4.5333333333333332</v>
      </c>
      <c r="AI19" s="688" cm="1">
        <f t="array" ref="AI19">IFERROR(SUMPRODUCT(MGK[[#This Row],[Maße]:[Elekronik]],TRANSPOSE($AX$8:$AX$16))/SUM(MGK[[#This Row],[Maße]:[Elekronik]]),0)</f>
        <v>6.666666666666667</v>
      </c>
      <c r="AJ19" s="688">
        <f>IFERROR(INDEX(MGKMHR[Invest],MATCH(MGK[[#This Row],[Lagerart]],MGKMHR[Bezeichnung],0))*ExchangeRate,0)</f>
        <v>30.6</v>
      </c>
      <c r="AK19" s="688">
        <f>IFERROR(MGK[[#This Row],[L-Invest]]*(1/INDEX(MGKMHR[AfA],MATCH(MGK[[#This Row],[Lagerart]],MGKMHR[Bezeichnung],0))+INDEX(MGKMHR[Verbrauchsmaterial],MATCH(MGK[[#This Row],[Lagerart]],MGKMHR[Bezeichnung],0))+INDEX(MGKMHR[Instandhaltung],MATCH(MGK[[#This Row],[Lagerart]],MGKMHR[Bezeichnung],0)))/(365*24),0)</f>
        <v>4.3547945205479459E-4</v>
      </c>
      <c r="AL19" s="688">
        <f>IFERROR(INDEX(MGKMHR[Strom],MATCH(MGK[[#This Row],[Lagerart]],MGKMHR[Bezeichnung],0))*INDEX(MGKMHR[Faktor],MATCH(MGK[[#This Row],[Lagerart]],MGKMHR[Bezeichnung],0)),0)</f>
        <v>5.4794520547945206E-3</v>
      </c>
      <c r="AM19" s="688">
        <f>IFERROR(INDEX(MGKMHR[Fläche],MATCH(MGK[[#This Row],[Lagerart]],MGKMHR[Bezeichnung],0)),0)</f>
        <v>0.5</v>
      </c>
      <c r="AN19" s="678">
        <f>IFERROR(INDEX(MGKMHR[Invest],MATCH(MGK[[#This Row],[Lagerbediengerät]],MGKMHR[Bezeichnung],0))*ExchangeRate,0)</f>
        <v>20000</v>
      </c>
      <c r="AO19" s="688">
        <f>IFERROR(MGK[[#This Row],[B-Invest]]*(1/INDEX(MGKMHR[AfA],MATCH(MGK[[#This Row],[Lagerbediengerät]],MGKMHR[Bezeichnung],0))+INDEX(MGKMHR[Verbrauchsmaterial],MATCH(MGK[[#This Row],[Lagerbediengerät]],MGKMHR[Bezeichnung],0))+INDEX(MGKMHR[Instandhaltung],MATCH(MGK[[#This Row],[Lagerbediengerät]],MGKMHR[Bezeichnung],0)))/(250*16*0.8),0)</f>
        <v>6.25</v>
      </c>
      <c r="AP19" s="688">
        <f>IFERROR(INDEX(MGKMHR[Strom],MATCH(MGK[[#This Row],[Lagerbediengerät]],MGKMHR[Bezeichnung],0))*INDEX(MGKMHR[Faktor],MATCH(MGK[[#This Row],[Lagerbediengerät]],MGKMHR[Bezeichnung],0)),0)</f>
        <v>9.6999999999999993</v>
      </c>
      <c r="AQ19" s="688">
        <f>IFERROR(INDEX(MGKMHR[Fläche],MATCH(MGK[[#This Row],[Lagerbediengerät]],MGKMHR[Bezeichnung],0)),0)</f>
        <v>0</v>
      </c>
      <c r="AR19" s="344"/>
      <c r="AS19" s="683" t="s">
        <v>996</v>
      </c>
      <c r="AT19" s="235">
        <v>29.28</v>
      </c>
      <c r="AU19" s="235">
        <v>15</v>
      </c>
      <c r="AV19" s="235">
        <v>6.8493150684931503E-3</v>
      </c>
      <c r="AW19" s="235">
        <v>1</v>
      </c>
      <c r="AX19" s="235">
        <v>0.625</v>
      </c>
      <c r="AY19" s="345">
        <v>0.02</v>
      </c>
      <c r="AZ19" s="345">
        <v>3.7999999999999999E-2</v>
      </c>
      <c r="BA19" s="345" t="s">
        <v>1063</v>
      </c>
      <c r="BB19" s="345">
        <v>0.2</v>
      </c>
      <c r="BD19" s="681" t="s">
        <v>82</v>
      </c>
      <c r="BE19" s="207">
        <f>AVERAGE(BF19:BG19)</f>
        <v>8</v>
      </c>
      <c r="BF19" s="254">
        <v>8</v>
      </c>
      <c r="BG19" s="254">
        <v>8</v>
      </c>
      <c r="BI19" s="677" t="s">
        <v>2330</v>
      </c>
      <c r="BJ19" s="677" t="s">
        <v>913</v>
      </c>
      <c r="BK19" s="678">
        <f>BK15^2</f>
        <v>1000000</v>
      </c>
      <c r="BN19" s="349" t="s">
        <v>992</v>
      </c>
    </row>
    <row r="20" spans="2:67">
      <c r="B20" s="688" t="str">
        <f>IF(Language="DE",MGK[[#This Row],[DE]],MGK[[#This Row],[EN]])</f>
        <v>Compound materials</v>
      </c>
      <c r="C20" s="235" t="s">
        <v>1009</v>
      </c>
      <c r="D20" s="235" t="s">
        <v>1086</v>
      </c>
      <c r="E20" s="235" t="s">
        <v>995</v>
      </c>
      <c r="F20" s="235" t="s">
        <v>1000</v>
      </c>
      <c r="G20" s="235" t="s">
        <v>995</v>
      </c>
      <c r="H20" s="235" t="s">
        <v>995</v>
      </c>
      <c r="I20" s="235" t="s">
        <v>1090</v>
      </c>
      <c r="J20" s="341" t="s">
        <v>2188</v>
      </c>
      <c r="K20" s="235">
        <v>4</v>
      </c>
      <c r="L20" s="342">
        <v>100</v>
      </c>
      <c r="M20" s="343">
        <v>1000</v>
      </c>
      <c r="N20" s="343"/>
      <c r="O20" s="343"/>
      <c r="P20" s="343">
        <v>10000</v>
      </c>
      <c r="Q20" s="343"/>
      <c r="R20" s="341">
        <v>1</v>
      </c>
      <c r="S20" s="690" t="str">
        <f>IFERROR(INDEX(MGKMHR[Gerät],MATCH(MGK[[#This Row],[Lagerart]],MGKMHR[Bezeichnung],0)),0)</f>
        <v>E-Stapler</v>
      </c>
      <c r="T20" s="691" cm="1">
        <f t="array" ref="T20">IFERROR(IF(MGK[[#This Row],[Bestellaufwand]]="gering",0.25, IF(MGK[[#This Row],[Bestellaufwand]]="mittel",1.5,IF(MGK[[#This Row],[Bestellaufwand]]="hoch",8,0))),0)
+IFERROR(IF(MGK[[#This Row],[Bestellaufwand]]="gering",0.25, IF(MGK[[#This Row],[Bestellaufwand]]="mittel",0.5,IF(MGK[[#This Row],[Bestellaufwand]]="hoch",1,0)))*OrdersPerYear,0)</f>
        <v>7.5</v>
      </c>
      <c r="U20" s="688">
        <f>SUM(MGK[[#This Row],[Maße]:[Elekronik]])</f>
        <v>6.75</v>
      </c>
      <c r="V20" s="692" cm="1">
        <f t="array" ref="V20">IFERROR(INDEX(MGKMHR[Handling],MATCH(MGK[[#This Row],[Lagerart]],MGKMHR[Bezeichnung],0))
*(OrdersPerYear+52/MGK[[#This Row],[Lagerreichweite]])*IF(MGK[[#This Row],[Handling]]="gering",0.25,IF(MGK[[#This Row],[Handling]]="hoch",2,1)),0)</f>
        <v>5</v>
      </c>
      <c r="W20" s="693" cm="1">
        <f t="array" ref="W2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20" s="677" cm="1">
        <f t="array" ref="X2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20" s="677" cm="1">
        <f t="array" ref="Y2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20" s="677" cm="1">
        <f t="array" ref="Z20">OrdersPerYear*IF(MGK[[#This Row],[Prüfaufwand]]="gering",0.25,IF(MGK[[#This Row],[Prüfaufwand]]="mittel",0.5,IF(MGK[[#This Row],[Prüfaufwand]]="hoch",1,0)))
*IF(MGK[[#This Row],[Spezifiaktion]]="Zusammenbau",1,0)*1</f>
        <v>0</v>
      </c>
      <c r="AA20" s="677" cm="1">
        <f t="array" ref="AA20">OrdersPerYear*IF(MGK[[#This Row],[Prüfaufwand]]="hoch",1,0)
*IF(MGK[[#This Row],[Spezifiaktion]]="Zusammenbau",1,0)*0.25</f>
        <v>0</v>
      </c>
      <c r="AB20" s="677" cm="1">
        <f t="array" ref="AB20">OrdersPerYear*IF(MGK[[#This Row],[Prüfaufwand]]="hoch",1,0)
*IF(MGK[[#This Row],[Spezifiaktion]]="Zusammenbau",1,0)*0.25</f>
        <v>0</v>
      </c>
      <c r="AC20" s="677" cm="1">
        <f t="array" ref="AC20">OrdersPerYear*IF(MGK[[#This Row],[Prüfaufwand]]="mittel",0.5,IF(MGK[[#This Row],[Prüfaufwand]]="hoch",1,0))
*IF(MGK[[#This Row],[Spezifiaktion]]="Zusammenbau",1,0)*1.5</f>
        <v>0</v>
      </c>
      <c r="AD20" s="677" cm="1">
        <f t="array" ref="AD20">OrdersPerYear*IF(MGK[[#This Row],[Prüfaufwand]]="hoch",1,0)
*IF(MGK[[#This Row],[Spezifiaktion]]="Zusammenbau",1,0)*0.25</f>
        <v>0</v>
      </c>
      <c r="AE20" s="677" cm="1">
        <f t="array" ref="AE20">OrdersPerYear*IF(MGK[[#This Row],[Bestellaufwand]]="gering",0.15,IF(MGK[[#This Row],[Bestellaufwand]]="mittel",0.5,IF(MGK[[#This Row],[Prüfaufwand]]="hoch",1,0)))
*IF(MGK[[#This Row],[Spezifiaktion]]="Elektronik",1,0)*1</f>
        <v>0</v>
      </c>
      <c r="AF20" s="678" cm="1">
        <f t="array" ref="AF20">IFERROR(SUMPRODUCT(MGK[[#This Row],[Maße]:[Elekronik]],TRANSPOSE($AT$8:$AT$16))*ExchangeRate/SUM(MGK[[#This Row],[Maße]:[Elekronik]]),0)</f>
        <v>68866.666666666672</v>
      </c>
      <c r="AG20" s="688" cm="1">
        <f t="array" ref="AG20">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0" s="688" cm="1">
        <f t="array" ref="AH20">IFERROR(SUMPRODUCT(MGK[[#This Row],[Maße]:[Elekronik]],TRANSPOSE($AV$8:$AV$16),TRANSPOSE($AW$8:$AW$16))/SUM(MGK[[#This Row],[Maße]:[Elekronik]]),0)</f>
        <v>4.5333333333333332</v>
      </c>
      <c r="AI20" s="688" cm="1">
        <f t="array" ref="AI20">IFERROR(SUMPRODUCT(MGK[[#This Row],[Maße]:[Elekronik]],TRANSPOSE($AX$8:$AX$16))/SUM(MGK[[#This Row],[Maße]:[Elekronik]]),0)</f>
        <v>6.666666666666667</v>
      </c>
      <c r="AJ20" s="688">
        <f>IFERROR(INDEX(MGKMHR[Invest],MATCH(MGK[[#This Row],[Lagerart]],MGKMHR[Bezeichnung],0))*ExchangeRate,0)</f>
        <v>30.6</v>
      </c>
      <c r="AK20" s="688">
        <f>IFERROR(MGK[[#This Row],[L-Invest]]*(1/INDEX(MGKMHR[AfA],MATCH(MGK[[#This Row],[Lagerart]],MGKMHR[Bezeichnung],0))+INDEX(MGKMHR[Verbrauchsmaterial],MATCH(MGK[[#This Row],[Lagerart]],MGKMHR[Bezeichnung],0))+INDEX(MGKMHR[Instandhaltung],MATCH(MGK[[#This Row],[Lagerart]],MGKMHR[Bezeichnung],0)))/(365*24),0)</f>
        <v>4.3547945205479459E-4</v>
      </c>
      <c r="AL20" s="688">
        <f>IFERROR(INDEX(MGKMHR[Strom],MATCH(MGK[[#This Row],[Lagerart]],MGKMHR[Bezeichnung],0))*INDEX(MGKMHR[Faktor],MATCH(MGK[[#This Row],[Lagerart]],MGKMHR[Bezeichnung],0)),0)</f>
        <v>5.4794520547945206E-3</v>
      </c>
      <c r="AM20" s="688">
        <f>IFERROR(INDEX(MGKMHR[Fläche],MATCH(MGK[[#This Row],[Lagerart]],MGKMHR[Bezeichnung],0)),0)</f>
        <v>0.5</v>
      </c>
      <c r="AN20" s="678">
        <f>IFERROR(INDEX(MGKMHR[Invest],MATCH(MGK[[#This Row],[Lagerbediengerät]],MGKMHR[Bezeichnung],0))*ExchangeRate,0)</f>
        <v>20000</v>
      </c>
      <c r="AO20" s="688">
        <f>IFERROR(MGK[[#This Row],[B-Invest]]*(1/INDEX(MGKMHR[AfA],MATCH(MGK[[#This Row],[Lagerbediengerät]],MGKMHR[Bezeichnung],0))+INDEX(MGKMHR[Verbrauchsmaterial],MATCH(MGK[[#This Row],[Lagerbediengerät]],MGKMHR[Bezeichnung],0))+INDEX(MGKMHR[Instandhaltung],MATCH(MGK[[#This Row],[Lagerbediengerät]],MGKMHR[Bezeichnung],0)))/(250*16*0.8),0)</f>
        <v>6.25</v>
      </c>
      <c r="AP20" s="688">
        <f>IFERROR(INDEX(MGKMHR[Strom],MATCH(MGK[[#This Row],[Lagerbediengerät]],MGKMHR[Bezeichnung],0))*INDEX(MGKMHR[Faktor],MATCH(MGK[[#This Row],[Lagerbediengerät]],MGKMHR[Bezeichnung],0)),0)</f>
        <v>9.6999999999999993</v>
      </c>
      <c r="AQ20" s="688">
        <f>IFERROR(INDEX(MGKMHR[Fläche],MATCH(MGK[[#This Row],[Lagerbediengerät]],MGKMHR[Bezeichnung],0)),0)</f>
        <v>0</v>
      </c>
      <c r="AR20" s="344"/>
      <c r="AS20" s="683" t="s">
        <v>1021</v>
      </c>
      <c r="AT20" s="235">
        <v>43.5</v>
      </c>
      <c r="AU20" s="235">
        <v>15</v>
      </c>
      <c r="AV20" s="235">
        <v>4.8219178082191784E-3</v>
      </c>
      <c r="AW20" s="235">
        <v>1</v>
      </c>
      <c r="AX20" s="235">
        <v>0.44000000000000006</v>
      </c>
      <c r="AY20" s="345">
        <v>0.02</v>
      </c>
      <c r="AZ20" s="345">
        <v>3.7999999999999999E-2</v>
      </c>
      <c r="BA20" s="345" t="s">
        <v>1064</v>
      </c>
      <c r="BB20" s="345">
        <v>0.05</v>
      </c>
      <c r="BD20" s="681" t="s">
        <v>87</v>
      </c>
      <c r="BE20" s="207">
        <f>AVERAGE(BF20:BG20)</f>
        <v>5</v>
      </c>
      <c r="BF20" s="254">
        <v>5</v>
      </c>
      <c r="BG20" s="254">
        <v>5</v>
      </c>
      <c r="BI20" s="677" t="s">
        <v>2320</v>
      </c>
      <c r="BJ20" s="677" t="s">
        <v>913</v>
      </c>
      <c r="BK20" s="678">
        <f>BK16^2</f>
        <v>10000</v>
      </c>
      <c r="BN20" s="349" t="s">
        <v>1002</v>
      </c>
    </row>
    <row r="21" spans="2:67">
      <c r="B21" s="688" t="str">
        <f>IF(Language="DE",MGK[[#This Row],[DE]],MGK[[#This Row],[EN]])</f>
        <v>Consumable materials liquid</v>
      </c>
      <c r="C21" s="235" t="s">
        <v>1010</v>
      </c>
      <c r="D21" s="235" t="s">
        <v>1087</v>
      </c>
      <c r="E21" s="235" t="s">
        <v>995</v>
      </c>
      <c r="F21" s="235" t="s">
        <v>1021</v>
      </c>
      <c r="G21" s="235" t="s">
        <v>995</v>
      </c>
      <c r="H21" s="235" t="s">
        <v>991</v>
      </c>
      <c r="I21" s="235" t="s">
        <v>993</v>
      </c>
      <c r="J21" s="341" t="s">
        <v>2188</v>
      </c>
      <c r="K21" s="235">
        <v>4</v>
      </c>
      <c r="L21" s="342">
        <v>1000</v>
      </c>
      <c r="M21" s="343">
        <v>1000</v>
      </c>
      <c r="N21" s="343">
        <v>1000</v>
      </c>
      <c r="O21" s="343"/>
      <c r="P21" s="343"/>
      <c r="Q21" s="343"/>
      <c r="R21" s="341">
        <v>1</v>
      </c>
      <c r="S21" s="690" t="str">
        <f>IFERROR(INDEX(MGKMHR[Gerät],MATCH(MGK[[#This Row],[Lagerart]],MGKMHR[Bezeichnung],0)),0)</f>
        <v>Niederhubkommisionierer</v>
      </c>
      <c r="T21" s="691" cm="1">
        <f t="array" ref="T21">IFERROR(IF(MGK[[#This Row],[Bestellaufwand]]="gering",0.25, IF(MGK[[#This Row],[Bestellaufwand]]="mittel",1.5,IF(MGK[[#This Row],[Bestellaufwand]]="hoch",8,0))),0)
+IFERROR(IF(MGK[[#This Row],[Bestellaufwand]]="gering",0.25, IF(MGK[[#This Row],[Bestellaufwand]]="mittel",0.5,IF(MGK[[#This Row],[Bestellaufwand]]="hoch",1,0)))*OrdersPerYear,0)</f>
        <v>7.5</v>
      </c>
      <c r="U21" s="688">
        <f>SUM(MGK[[#This Row],[Maße]:[Elekronik]])</f>
        <v>3.375</v>
      </c>
      <c r="V21" s="692" cm="1">
        <f t="array" ref="V21">IFERROR(INDEX(MGKMHR[Handling],MATCH(MGK[[#This Row],[Lagerart]],MGKMHR[Bezeichnung],0))
*(OrdersPerYear+52/MGK[[#This Row],[Lagerreichweite]])*IF(MGK[[#This Row],[Handling]]="gering",0.25,IF(MGK[[#This Row],[Handling]]="hoch",2,1)),0)</f>
        <v>1.25</v>
      </c>
      <c r="W21" s="693" cm="1">
        <f t="array" ref="W2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21" s="677" cm="1">
        <f t="array" ref="X2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21" s="677" cm="1">
        <f t="array" ref="Y2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21" s="677" cm="1">
        <f t="array" ref="Z21">OrdersPerYear*IF(MGK[[#This Row],[Prüfaufwand]]="gering",0.25,IF(MGK[[#This Row],[Prüfaufwand]]="mittel",0.5,IF(MGK[[#This Row],[Prüfaufwand]]="hoch",1,0)))
*IF(MGK[[#This Row],[Spezifiaktion]]="Zusammenbau",1,0)*1</f>
        <v>0</v>
      </c>
      <c r="AA21" s="677" cm="1">
        <f t="array" ref="AA21">OrdersPerYear*IF(MGK[[#This Row],[Prüfaufwand]]="hoch",1,0)
*IF(MGK[[#This Row],[Spezifiaktion]]="Zusammenbau",1,0)*0.25</f>
        <v>0</v>
      </c>
      <c r="AB21" s="677" cm="1">
        <f t="array" ref="AB21">OrdersPerYear*IF(MGK[[#This Row],[Prüfaufwand]]="hoch",1,0)
*IF(MGK[[#This Row],[Spezifiaktion]]="Zusammenbau",1,0)*0.25</f>
        <v>0</v>
      </c>
      <c r="AC21" s="677" cm="1">
        <f t="array" ref="AC21">OrdersPerYear*IF(MGK[[#This Row],[Prüfaufwand]]="mittel",0.5,IF(MGK[[#This Row],[Prüfaufwand]]="hoch",1,0))
*IF(MGK[[#This Row],[Spezifiaktion]]="Zusammenbau",1,0)*1.5</f>
        <v>0</v>
      </c>
      <c r="AD21" s="677" cm="1">
        <f t="array" ref="AD21">OrdersPerYear*IF(MGK[[#This Row],[Prüfaufwand]]="hoch",1,0)
*IF(MGK[[#This Row],[Spezifiaktion]]="Zusammenbau",1,0)*0.25</f>
        <v>0</v>
      </c>
      <c r="AE21" s="677" cm="1">
        <f t="array" ref="AE21">OrdersPerYear*IF(MGK[[#This Row],[Bestellaufwand]]="gering",0.15,IF(MGK[[#This Row],[Bestellaufwand]]="mittel",0.5,IF(MGK[[#This Row],[Prüfaufwand]]="hoch",1,0)))
*IF(MGK[[#This Row],[Spezifiaktion]]="Elektronik",1,0)*1</f>
        <v>0</v>
      </c>
      <c r="AF21" s="678" cm="1">
        <f t="array" ref="AF21">IFERROR(SUMPRODUCT(MGK[[#This Row],[Maße]:[Elekronik]],TRANSPOSE($AT$8:$AT$16))*ExchangeRate/SUM(MGK[[#This Row],[Maße]:[Elekronik]]),0)</f>
        <v>68866.666666666672</v>
      </c>
      <c r="AG21" s="688" cm="1">
        <f t="array" ref="AG2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1" s="688" cm="1">
        <f t="array" ref="AH21">IFERROR(SUMPRODUCT(MGK[[#This Row],[Maße]:[Elekronik]],TRANSPOSE($AV$8:$AV$16),TRANSPOSE($AW$8:$AW$16))/SUM(MGK[[#This Row],[Maße]:[Elekronik]]),0)</f>
        <v>4.5333333333333332</v>
      </c>
      <c r="AI21" s="688" cm="1">
        <f t="array" ref="AI21">IFERROR(SUMPRODUCT(MGK[[#This Row],[Maße]:[Elekronik]],TRANSPOSE($AX$8:$AX$16))/SUM(MGK[[#This Row],[Maße]:[Elekronik]]),0)</f>
        <v>6.666666666666667</v>
      </c>
      <c r="AJ21" s="688">
        <f>IFERROR(INDEX(MGKMHR[Invest],MATCH(MGK[[#This Row],[Lagerart]],MGKMHR[Bezeichnung],0))*ExchangeRate,0)</f>
        <v>43.5</v>
      </c>
      <c r="AK21" s="688">
        <f>IFERROR(MGK[[#This Row],[L-Invest]]*(1/INDEX(MGKMHR[AfA],MATCH(MGK[[#This Row],[Lagerart]],MGKMHR[Bezeichnung],0))+INDEX(MGKMHR[Verbrauchsmaterial],MATCH(MGK[[#This Row],[Lagerart]],MGKMHR[Bezeichnung],0))+INDEX(MGKMHR[Instandhaltung],MATCH(MGK[[#This Row],[Lagerart]],MGKMHR[Bezeichnung],0)))/(365*24),0)</f>
        <v>6.1906392694063925E-4</v>
      </c>
      <c r="AL21" s="688">
        <f>IFERROR(INDEX(MGKMHR[Strom],MATCH(MGK[[#This Row],[Lagerart]],MGKMHR[Bezeichnung],0))*INDEX(MGKMHR[Faktor],MATCH(MGK[[#This Row],[Lagerart]],MGKMHR[Bezeichnung],0)),0)</f>
        <v>4.8219178082191784E-3</v>
      </c>
      <c r="AM21" s="688">
        <f>IFERROR(INDEX(MGKMHR[Fläche],MATCH(MGK[[#This Row],[Lagerart]],MGKMHR[Bezeichnung],0)),0)</f>
        <v>0.44000000000000006</v>
      </c>
      <c r="AN21" s="678">
        <f>IFERROR(INDEX(MGKMHR[Invest],MATCH(MGK[[#This Row],[Lagerbediengerät]],MGKMHR[Bezeichnung],0))*ExchangeRate,0)</f>
        <v>2000</v>
      </c>
      <c r="AO21" s="688">
        <f>IFERROR(MGK[[#This Row],[B-Invest]]*(1/INDEX(MGKMHR[AfA],MATCH(MGK[[#This Row],[Lagerbediengerät]],MGKMHR[Bezeichnung],0))+INDEX(MGKMHR[Verbrauchsmaterial],MATCH(MGK[[#This Row],[Lagerbediengerät]],MGKMHR[Bezeichnung],0))+INDEX(MGKMHR[Instandhaltung],MATCH(MGK[[#This Row],[Lagerbediengerät]],MGKMHR[Bezeichnung],0)))/(250*16*0.8),0)</f>
        <v>0.625</v>
      </c>
      <c r="AP21" s="688">
        <f>IFERROR(INDEX(MGKMHR[Strom],MATCH(MGK[[#This Row],[Lagerbediengerät]],MGKMHR[Bezeichnung],0))*INDEX(MGKMHR[Faktor],MATCH(MGK[[#This Row],[Lagerbediengerät]],MGKMHR[Bezeichnung],0)),0)</f>
        <v>1</v>
      </c>
      <c r="AQ21" s="688">
        <f>IFERROR(INDEX(MGKMHR[Fläche],MATCH(MGK[[#This Row],[Lagerbediengerät]],MGKMHR[Bezeichnung],0)),0)</f>
        <v>0</v>
      </c>
      <c r="AR21" s="344"/>
      <c r="AS21" s="683" t="s">
        <v>992</v>
      </c>
      <c r="AT21" s="235">
        <v>500</v>
      </c>
      <c r="AU21" s="235">
        <v>15</v>
      </c>
      <c r="AV21" s="235">
        <v>2.1917808219178079E-2</v>
      </c>
      <c r="AW21" s="235">
        <v>1</v>
      </c>
      <c r="AX21" s="235">
        <v>2</v>
      </c>
      <c r="AY21" s="345">
        <v>0.02</v>
      </c>
      <c r="AZ21" s="345">
        <v>3.7999999999999999E-2</v>
      </c>
      <c r="BA21" s="345" t="s">
        <v>1063</v>
      </c>
      <c r="BB21" s="345">
        <v>0.2</v>
      </c>
      <c r="BD21" s="681" t="s">
        <v>88</v>
      </c>
      <c r="BE21" s="207">
        <f>AVERAGE(BF21:BG21)</f>
        <v>1</v>
      </c>
      <c r="BF21" s="254">
        <v>1</v>
      </c>
      <c r="BG21" s="254">
        <v>1</v>
      </c>
      <c r="BI21" s="677" t="s">
        <v>2319</v>
      </c>
      <c r="BJ21" s="677" t="s">
        <v>913</v>
      </c>
      <c r="BK21" s="678">
        <f>BK17^2</f>
        <v>100</v>
      </c>
      <c r="BN21" s="349" t="s">
        <v>998</v>
      </c>
    </row>
    <row r="22" spans="2:67">
      <c r="B22" s="688" t="str">
        <f>IF(Language="DE",MGK[[#This Row],[DE]],MGK[[#This Row],[EN]])</f>
        <v>Consumable materials solid</v>
      </c>
      <c r="C22" s="235" t="s">
        <v>1011</v>
      </c>
      <c r="D22" s="235" t="s">
        <v>1088</v>
      </c>
      <c r="E22" s="235" t="s">
        <v>995</v>
      </c>
      <c r="F22" s="235" t="s">
        <v>1021</v>
      </c>
      <c r="G22" s="235" t="s">
        <v>995</v>
      </c>
      <c r="H22" s="235" t="s">
        <v>991</v>
      </c>
      <c r="I22" s="235" t="s">
        <v>993</v>
      </c>
      <c r="J22" s="341" t="s">
        <v>2188</v>
      </c>
      <c r="K22" s="235">
        <v>4</v>
      </c>
      <c r="L22" s="342">
        <v>10000</v>
      </c>
      <c r="M22" s="343">
        <v>10000</v>
      </c>
      <c r="N22" s="343"/>
      <c r="O22" s="343"/>
      <c r="P22" s="343"/>
      <c r="Q22" s="343"/>
      <c r="R22" s="341">
        <v>1</v>
      </c>
      <c r="S22" s="690" t="str">
        <f>IFERROR(INDEX(MGKMHR[Gerät],MATCH(MGK[[#This Row],[Lagerart]],MGKMHR[Bezeichnung],0)),0)</f>
        <v>Niederhubkommisionierer</v>
      </c>
      <c r="T22" s="691" cm="1">
        <f t="array" ref="T22">IFERROR(IF(MGK[[#This Row],[Bestellaufwand]]="gering",0.25, IF(MGK[[#This Row],[Bestellaufwand]]="mittel",1.5,IF(MGK[[#This Row],[Bestellaufwand]]="hoch",8,0))),0)
+IFERROR(IF(MGK[[#This Row],[Bestellaufwand]]="gering",0.25, IF(MGK[[#This Row],[Bestellaufwand]]="mittel",0.5,IF(MGK[[#This Row],[Bestellaufwand]]="hoch",1,0)))*OrdersPerYear,0)</f>
        <v>7.5</v>
      </c>
      <c r="U22" s="688">
        <f>SUM(MGK[[#This Row],[Maße]:[Elekronik]])</f>
        <v>3.375</v>
      </c>
      <c r="V22" s="692" cm="1">
        <f t="array" ref="V22">IFERROR(INDEX(MGKMHR[Handling],MATCH(MGK[[#This Row],[Lagerart]],MGKMHR[Bezeichnung],0))
*(OrdersPerYear+52/MGK[[#This Row],[Lagerreichweite]])*IF(MGK[[#This Row],[Handling]]="gering",0.25,IF(MGK[[#This Row],[Handling]]="hoch",2,1)),0)</f>
        <v>1.25</v>
      </c>
      <c r="W22" s="693" cm="1">
        <f t="array" ref="W2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22" s="677" cm="1">
        <f t="array" ref="X2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22" s="677" cm="1">
        <f t="array" ref="Y2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22" s="677" cm="1">
        <f t="array" ref="Z22">OrdersPerYear*IF(MGK[[#This Row],[Prüfaufwand]]="gering",0.25,IF(MGK[[#This Row],[Prüfaufwand]]="mittel",0.5,IF(MGK[[#This Row],[Prüfaufwand]]="hoch",1,0)))
*IF(MGK[[#This Row],[Spezifiaktion]]="Zusammenbau",1,0)*1</f>
        <v>0</v>
      </c>
      <c r="AA22" s="677" cm="1">
        <f t="array" ref="AA22">OrdersPerYear*IF(MGK[[#This Row],[Prüfaufwand]]="hoch",1,0)
*IF(MGK[[#This Row],[Spezifiaktion]]="Zusammenbau",1,0)*0.25</f>
        <v>0</v>
      </c>
      <c r="AB22" s="677" cm="1">
        <f t="array" ref="AB22">OrdersPerYear*IF(MGK[[#This Row],[Prüfaufwand]]="hoch",1,0)
*IF(MGK[[#This Row],[Spezifiaktion]]="Zusammenbau",1,0)*0.25</f>
        <v>0</v>
      </c>
      <c r="AC22" s="677" cm="1">
        <f t="array" ref="AC22">OrdersPerYear*IF(MGK[[#This Row],[Prüfaufwand]]="mittel",0.5,IF(MGK[[#This Row],[Prüfaufwand]]="hoch",1,0))
*IF(MGK[[#This Row],[Spezifiaktion]]="Zusammenbau",1,0)*1.5</f>
        <v>0</v>
      </c>
      <c r="AD22" s="677" cm="1">
        <f t="array" ref="AD22">OrdersPerYear*IF(MGK[[#This Row],[Prüfaufwand]]="hoch",1,0)
*IF(MGK[[#This Row],[Spezifiaktion]]="Zusammenbau",1,0)*0.25</f>
        <v>0</v>
      </c>
      <c r="AE22" s="677" cm="1">
        <f t="array" ref="AE22">OrdersPerYear*IF(MGK[[#This Row],[Bestellaufwand]]="gering",0.15,IF(MGK[[#This Row],[Bestellaufwand]]="mittel",0.5,IF(MGK[[#This Row],[Prüfaufwand]]="hoch",1,0)))
*IF(MGK[[#This Row],[Spezifiaktion]]="Elektronik",1,0)*1</f>
        <v>0</v>
      </c>
      <c r="AF22" s="678" cm="1">
        <f t="array" ref="AF22">IFERROR(SUMPRODUCT(MGK[[#This Row],[Maße]:[Elekronik]],TRANSPOSE($AT$8:$AT$16))*ExchangeRate/SUM(MGK[[#This Row],[Maße]:[Elekronik]]),0)</f>
        <v>68866.666666666672</v>
      </c>
      <c r="AG22" s="688" cm="1">
        <f t="array" ref="AG22">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2" s="688" cm="1">
        <f t="array" ref="AH22">IFERROR(SUMPRODUCT(MGK[[#This Row],[Maße]:[Elekronik]],TRANSPOSE($AV$8:$AV$16),TRANSPOSE($AW$8:$AW$16))/SUM(MGK[[#This Row],[Maße]:[Elekronik]]),0)</f>
        <v>4.5333333333333332</v>
      </c>
      <c r="AI22" s="688" cm="1">
        <f t="array" ref="AI22">IFERROR(SUMPRODUCT(MGK[[#This Row],[Maße]:[Elekronik]],TRANSPOSE($AX$8:$AX$16))/SUM(MGK[[#This Row],[Maße]:[Elekronik]]),0)</f>
        <v>6.666666666666667</v>
      </c>
      <c r="AJ22" s="688">
        <f>IFERROR(INDEX(MGKMHR[Invest],MATCH(MGK[[#This Row],[Lagerart]],MGKMHR[Bezeichnung],0))*ExchangeRate,0)</f>
        <v>43.5</v>
      </c>
      <c r="AK22" s="688">
        <f>IFERROR(MGK[[#This Row],[L-Invest]]*(1/INDEX(MGKMHR[AfA],MATCH(MGK[[#This Row],[Lagerart]],MGKMHR[Bezeichnung],0))+INDEX(MGKMHR[Verbrauchsmaterial],MATCH(MGK[[#This Row],[Lagerart]],MGKMHR[Bezeichnung],0))+INDEX(MGKMHR[Instandhaltung],MATCH(MGK[[#This Row],[Lagerart]],MGKMHR[Bezeichnung],0)))/(365*24),0)</f>
        <v>6.1906392694063925E-4</v>
      </c>
      <c r="AL22" s="688">
        <f>IFERROR(INDEX(MGKMHR[Strom],MATCH(MGK[[#This Row],[Lagerart]],MGKMHR[Bezeichnung],0))*INDEX(MGKMHR[Faktor],MATCH(MGK[[#This Row],[Lagerart]],MGKMHR[Bezeichnung],0)),0)</f>
        <v>4.8219178082191784E-3</v>
      </c>
      <c r="AM22" s="688">
        <f>IFERROR(INDEX(MGKMHR[Fläche],MATCH(MGK[[#This Row],[Lagerart]],MGKMHR[Bezeichnung],0)),0)</f>
        <v>0.44000000000000006</v>
      </c>
      <c r="AN22" s="678">
        <f>IFERROR(INDEX(MGKMHR[Invest],MATCH(MGK[[#This Row],[Lagerbediengerät]],MGKMHR[Bezeichnung],0))*ExchangeRate,0)</f>
        <v>2000</v>
      </c>
      <c r="AO22" s="688">
        <f>IFERROR(MGK[[#This Row],[B-Invest]]*(1/INDEX(MGKMHR[AfA],MATCH(MGK[[#This Row],[Lagerbediengerät]],MGKMHR[Bezeichnung],0))+INDEX(MGKMHR[Verbrauchsmaterial],MATCH(MGK[[#This Row],[Lagerbediengerät]],MGKMHR[Bezeichnung],0))+INDEX(MGKMHR[Instandhaltung],MATCH(MGK[[#This Row],[Lagerbediengerät]],MGKMHR[Bezeichnung],0)))/(250*16*0.8),0)</f>
        <v>0.625</v>
      </c>
      <c r="AP22" s="688">
        <f>IFERROR(INDEX(MGKMHR[Strom],MATCH(MGK[[#This Row],[Lagerbediengerät]],MGKMHR[Bezeichnung],0))*INDEX(MGKMHR[Faktor],MATCH(MGK[[#This Row],[Lagerbediengerät]],MGKMHR[Bezeichnung],0)),0)</f>
        <v>1</v>
      </c>
      <c r="AQ22" s="688">
        <f>IFERROR(INDEX(MGKMHR[Fläche],MATCH(MGK[[#This Row],[Lagerbediengerät]],MGKMHR[Bezeichnung],0)),0)</f>
        <v>0</v>
      </c>
      <c r="AR22" s="344"/>
      <c r="AS22" s="683" t="s">
        <v>1002</v>
      </c>
      <c r="AT22" s="235">
        <v>40000</v>
      </c>
      <c r="AU22" s="235">
        <v>15</v>
      </c>
      <c r="AV22" s="235">
        <v>3.2876712328767127E-2</v>
      </c>
      <c r="AW22" s="235">
        <v>1</v>
      </c>
      <c r="AX22" s="235">
        <v>3</v>
      </c>
      <c r="AY22" s="345">
        <v>5.0000000000000001E-3</v>
      </c>
      <c r="AZ22" s="345">
        <v>0.01</v>
      </c>
      <c r="BA22" s="345" t="s">
        <v>1064</v>
      </c>
      <c r="BB22" s="345">
        <v>4.1666666666666666E-3</v>
      </c>
      <c r="BD22" s="34"/>
      <c r="BE22" s="4"/>
      <c r="BG22" s="5"/>
      <c r="BI22" s="677" t="s">
        <v>913</v>
      </c>
      <c r="BJ22" s="677" t="s">
        <v>913</v>
      </c>
      <c r="BK22" s="678">
        <f>BK18^2</f>
        <v>1</v>
      </c>
    </row>
    <row r="23" spans="2:67" ht="13.5" thickBot="1">
      <c r="B23" s="688" t="str">
        <f>IF(Language="DE",MGK[[#This Row],[DE]],MGK[[#This Row],[EN]])</f>
        <v>Paper &amp; Foils</v>
      </c>
      <c r="C23" s="235" t="s">
        <v>1012</v>
      </c>
      <c r="D23" s="235" t="s">
        <v>1089</v>
      </c>
      <c r="E23" s="235" t="s">
        <v>995</v>
      </c>
      <c r="F23" s="235" t="s">
        <v>1000</v>
      </c>
      <c r="G23" s="235" t="s">
        <v>995</v>
      </c>
      <c r="H23" s="235" t="s">
        <v>991</v>
      </c>
      <c r="I23" s="235" t="s">
        <v>1090</v>
      </c>
      <c r="J23" s="341" t="s">
        <v>2188</v>
      </c>
      <c r="K23" s="235">
        <v>4</v>
      </c>
      <c r="L23" s="342">
        <v>10000</v>
      </c>
      <c r="M23" s="343">
        <v>1000</v>
      </c>
      <c r="N23" s="343"/>
      <c r="O23" s="343"/>
      <c r="P23" s="343">
        <v>25000</v>
      </c>
      <c r="Q23" s="343"/>
      <c r="R23" s="341">
        <v>5</v>
      </c>
      <c r="S23" s="690" t="str">
        <f>IFERROR(INDEX(MGKMHR[Gerät],MATCH(MGK[[#This Row],[Lagerart]],MGKMHR[Bezeichnung],0)),0)</f>
        <v>E-Stapler</v>
      </c>
      <c r="T23" s="691" cm="1">
        <f t="array" ref="T23">IFERROR(IF(MGK[[#This Row],[Bestellaufwand]]="gering",0.25, IF(MGK[[#This Row],[Bestellaufwand]]="mittel",1.5,IF(MGK[[#This Row],[Bestellaufwand]]="hoch",8,0))),0)
+IFERROR(IF(MGK[[#This Row],[Bestellaufwand]]="gering",0.25, IF(MGK[[#This Row],[Bestellaufwand]]="mittel",0.5,IF(MGK[[#This Row],[Bestellaufwand]]="hoch",1,0)))*OrdersPerYear,0)</f>
        <v>7.5</v>
      </c>
      <c r="U23" s="688">
        <f>SUM(MGK[[#This Row],[Maße]:[Elekronik]])</f>
        <v>3.375</v>
      </c>
      <c r="V23" s="692" cm="1">
        <f t="array" ref="V23">IFERROR(INDEX(MGKMHR[Handling],MATCH(MGK[[#This Row],[Lagerart]],MGKMHR[Bezeichnung],0))
*(OrdersPerYear+52/MGK[[#This Row],[Lagerreichweite]])*IF(MGK[[#This Row],[Handling]]="gering",0.25,IF(MGK[[#This Row],[Handling]]="hoch",2,1)),0)</f>
        <v>5</v>
      </c>
      <c r="W23" s="693" cm="1">
        <f t="array" ref="W2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23" s="677" cm="1">
        <f t="array" ref="X2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23" s="677" cm="1">
        <f t="array" ref="Y2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23" s="677" cm="1">
        <f t="array" ref="Z23">OrdersPerYear*IF(MGK[[#This Row],[Prüfaufwand]]="gering",0.25,IF(MGK[[#This Row],[Prüfaufwand]]="mittel",0.5,IF(MGK[[#This Row],[Prüfaufwand]]="hoch",1,0)))
*IF(MGK[[#This Row],[Spezifiaktion]]="Zusammenbau",1,0)*1</f>
        <v>0</v>
      </c>
      <c r="AA23" s="677" cm="1">
        <f t="array" ref="AA23">OrdersPerYear*IF(MGK[[#This Row],[Prüfaufwand]]="hoch",1,0)
*IF(MGK[[#This Row],[Spezifiaktion]]="Zusammenbau",1,0)*0.25</f>
        <v>0</v>
      </c>
      <c r="AB23" s="677" cm="1">
        <f t="array" ref="AB23">OrdersPerYear*IF(MGK[[#This Row],[Prüfaufwand]]="hoch",1,0)
*IF(MGK[[#This Row],[Spezifiaktion]]="Zusammenbau",1,0)*0.25</f>
        <v>0</v>
      </c>
      <c r="AC23" s="677" cm="1">
        <f t="array" ref="AC23">OrdersPerYear*IF(MGK[[#This Row],[Prüfaufwand]]="mittel",0.5,IF(MGK[[#This Row],[Prüfaufwand]]="hoch",1,0))
*IF(MGK[[#This Row],[Spezifiaktion]]="Zusammenbau",1,0)*1.5</f>
        <v>0</v>
      </c>
      <c r="AD23" s="677" cm="1">
        <f t="array" ref="AD23">OrdersPerYear*IF(MGK[[#This Row],[Prüfaufwand]]="hoch",1,0)
*IF(MGK[[#This Row],[Spezifiaktion]]="Zusammenbau",1,0)*0.25</f>
        <v>0</v>
      </c>
      <c r="AE23" s="677" cm="1">
        <f t="array" ref="AE23">OrdersPerYear*IF(MGK[[#This Row],[Bestellaufwand]]="gering",0.15,IF(MGK[[#This Row],[Bestellaufwand]]="mittel",0.5,IF(MGK[[#This Row],[Prüfaufwand]]="hoch",1,0)))
*IF(MGK[[#This Row],[Spezifiaktion]]="Elektronik",1,0)*1</f>
        <v>0</v>
      </c>
      <c r="AF23" s="678" cm="1">
        <f t="array" ref="AF23">IFERROR(SUMPRODUCT(MGK[[#This Row],[Maße]:[Elekronik]],TRANSPOSE($AT$8:$AT$16))*ExchangeRate/SUM(MGK[[#This Row],[Maße]:[Elekronik]]),0)</f>
        <v>68866.666666666672</v>
      </c>
      <c r="AG23" s="688" cm="1">
        <f t="array" ref="AG23">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3" s="688" cm="1">
        <f t="array" ref="AH23">IFERROR(SUMPRODUCT(MGK[[#This Row],[Maße]:[Elekronik]],TRANSPOSE($AV$8:$AV$16),TRANSPOSE($AW$8:$AW$16))/SUM(MGK[[#This Row],[Maße]:[Elekronik]]),0)</f>
        <v>4.5333333333333332</v>
      </c>
      <c r="AI23" s="688" cm="1">
        <f t="array" ref="AI23">IFERROR(SUMPRODUCT(MGK[[#This Row],[Maße]:[Elekronik]],TRANSPOSE($AX$8:$AX$16))/SUM(MGK[[#This Row],[Maße]:[Elekronik]]),0)</f>
        <v>6.666666666666667</v>
      </c>
      <c r="AJ23" s="688">
        <f>IFERROR(INDEX(MGKMHR[Invest],MATCH(MGK[[#This Row],[Lagerart]],MGKMHR[Bezeichnung],0))*ExchangeRate,0)</f>
        <v>30.6</v>
      </c>
      <c r="AK23" s="688">
        <f>IFERROR(MGK[[#This Row],[L-Invest]]*(1/INDEX(MGKMHR[AfA],MATCH(MGK[[#This Row],[Lagerart]],MGKMHR[Bezeichnung],0))+INDEX(MGKMHR[Verbrauchsmaterial],MATCH(MGK[[#This Row],[Lagerart]],MGKMHR[Bezeichnung],0))+INDEX(MGKMHR[Instandhaltung],MATCH(MGK[[#This Row],[Lagerart]],MGKMHR[Bezeichnung],0)))/(365*24),0)</f>
        <v>4.3547945205479459E-4</v>
      </c>
      <c r="AL23" s="688">
        <f>IFERROR(INDEX(MGKMHR[Strom],MATCH(MGK[[#This Row],[Lagerart]],MGKMHR[Bezeichnung],0))*INDEX(MGKMHR[Faktor],MATCH(MGK[[#This Row],[Lagerart]],MGKMHR[Bezeichnung],0)),0)</f>
        <v>5.4794520547945206E-3</v>
      </c>
      <c r="AM23" s="688">
        <f>IFERROR(INDEX(MGKMHR[Fläche],MATCH(MGK[[#This Row],[Lagerart]],MGKMHR[Bezeichnung],0)),0)</f>
        <v>0.5</v>
      </c>
      <c r="AN23" s="678">
        <f>IFERROR(INDEX(MGKMHR[Invest],MATCH(MGK[[#This Row],[Lagerbediengerät]],MGKMHR[Bezeichnung],0))*ExchangeRate,0)</f>
        <v>20000</v>
      </c>
      <c r="AO23" s="688">
        <f>IFERROR(MGK[[#This Row],[B-Invest]]*(1/INDEX(MGKMHR[AfA],MATCH(MGK[[#This Row],[Lagerbediengerät]],MGKMHR[Bezeichnung],0))+INDEX(MGKMHR[Verbrauchsmaterial],MATCH(MGK[[#This Row],[Lagerbediengerät]],MGKMHR[Bezeichnung],0))+INDEX(MGKMHR[Instandhaltung],MATCH(MGK[[#This Row],[Lagerbediengerät]],MGKMHR[Bezeichnung],0)))/(250*16*0.8),0)</f>
        <v>6.25</v>
      </c>
      <c r="AP23" s="688">
        <f>IFERROR(INDEX(MGKMHR[Strom],MATCH(MGK[[#This Row],[Lagerbediengerät]],MGKMHR[Bezeichnung],0))*INDEX(MGKMHR[Faktor],MATCH(MGK[[#This Row],[Lagerbediengerät]],MGKMHR[Bezeichnung],0)),0)</f>
        <v>9.6999999999999993</v>
      </c>
      <c r="AQ23" s="688">
        <f>IFERROR(INDEX(MGKMHR[Fläche],MATCH(MGK[[#This Row],[Lagerbediengerät]],MGKMHR[Bezeichnung],0)),0)</f>
        <v>0</v>
      </c>
      <c r="AR23" s="344"/>
      <c r="AS23" s="686" t="s">
        <v>998</v>
      </c>
      <c r="AT23" s="358">
        <v>647</v>
      </c>
      <c r="AU23" s="358">
        <v>15</v>
      </c>
      <c r="AV23" s="358">
        <v>1.3698630136986301E-2</v>
      </c>
      <c r="AW23" s="358">
        <v>1</v>
      </c>
      <c r="AX23" s="358">
        <v>1.25</v>
      </c>
      <c r="AY23" s="359">
        <v>0.02</v>
      </c>
      <c r="AZ23" s="359">
        <v>3.7999999999999999E-2</v>
      </c>
      <c r="BA23" s="359" t="s">
        <v>1065</v>
      </c>
      <c r="BB23" s="359">
        <v>0.2</v>
      </c>
      <c r="BD23" s="346" t="s">
        <v>556</v>
      </c>
      <c r="BE23" s="347" t="s">
        <v>96</v>
      </c>
      <c r="BF23" s="347" t="s">
        <v>155</v>
      </c>
      <c r="BG23" s="347" t="s">
        <v>152</v>
      </c>
      <c r="BI23" s="677" t="s">
        <v>2329</v>
      </c>
      <c r="BJ23" s="677" t="s">
        <v>1268</v>
      </c>
      <c r="BK23" s="678">
        <f>BK15^3</f>
        <v>1000000000</v>
      </c>
      <c r="BN23" s="348" t="s">
        <v>1045</v>
      </c>
    </row>
    <row r="24" spans="2:67" ht="13.5" thickTop="1">
      <c r="B24" s="688" t="str">
        <f>IF(Language="DE",MGK[[#This Row],[DE]],MGK[[#This Row],[EN]])</f>
        <v>Standard parts</v>
      </c>
      <c r="C24" s="235" t="s">
        <v>1102</v>
      </c>
      <c r="D24" s="235" t="s">
        <v>1262</v>
      </c>
      <c r="E24" s="235" t="s">
        <v>991</v>
      </c>
      <c r="F24" s="235" t="s">
        <v>1000</v>
      </c>
      <c r="G24" s="235" t="s">
        <v>995</v>
      </c>
      <c r="H24" s="235" t="s">
        <v>991</v>
      </c>
      <c r="I24" s="235" t="s">
        <v>997</v>
      </c>
      <c r="J24" s="341" t="s">
        <v>2188</v>
      </c>
      <c r="K24" s="235">
        <v>4</v>
      </c>
      <c r="L24" s="342">
        <v>1000</v>
      </c>
      <c r="M24" s="343">
        <v>100</v>
      </c>
      <c r="N24" s="343"/>
      <c r="O24" s="343"/>
      <c r="P24" s="343"/>
      <c r="Q24" s="343"/>
      <c r="R24" s="341">
        <v>0.01</v>
      </c>
      <c r="S24" s="690" t="str">
        <f>IFERROR(INDEX(MGKMHR[Gerät],MATCH(MGK[[#This Row],[Lagerart]],MGKMHR[Bezeichnung],0)),0)</f>
        <v>E-Stapler</v>
      </c>
      <c r="T24" s="691" cm="1">
        <f t="array" ref="T24">IFERROR(IF(MGK[[#This Row],[Bestellaufwand]]="gering",0.25, IF(MGK[[#This Row],[Bestellaufwand]]="mittel",1.5,IF(MGK[[#This Row],[Bestellaufwand]]="hoch",8,0))),0)
+IFERROR(IF(MGK[[#This Row],[Bestellaufwand]]="gering",0.25, IF(MGK[[#This Row],[Bestellaufwand]]="mittel",0.5,IF(MGK[[#This Row],[Bestellaufwand]]="hoch",1,0)))*OrdersPerYear,0)</f>
        <v>3.25</v>
      </c>
      <c r="U24" s="688">
        <f>SUM(MGK[[#This Row],[Maße]:[Elekronik]])</f>
        <v>6.75</v>
      </c>
      <c r="V24" s="692" cm="1">
        <f t="array" ref="V24">IFERROR(INDEX(MGKMHR[Handling],MATCH(MGK[[#This Row],[Lagerart]],MGKMHR[Bezeichnung],0))
*(OrdersPerYear+52/MGK[[#This Row],[Lagerreichweite]])*IF(MGK[[#This Row],[Handling]]="gering",0.25,IF(MGK[[#This Row],[Handling]]="hoch",2,1)),0)</f>
        <v>5</v>
      </c>
      <c r="W24" s="693" cm="1">
        <f t="array" ref="W2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24" s="677" cm="1">
        <f t="array" ref="X2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24" s="677" cm="1">
        <f t="array" ref="Y2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24" s="677" cm="1">
        <f t="array" ref="Z24">OrdersPerYear*IF(MGK[[#This Row],[Prüfaufwand]]="gering",0.25,IF(MGK[[#This Row],[Prüfaufwand]]="mittel",0.5,IF(MGK[[#This Row],[Prüfaufwand]]="hoch",1,0)))
*IF(MGK[[#This Row],[Spezifiaktion]]="Zusammenbau",1,0)*1</f>
        <v>0</v>
      </c>
      <c r="AA24" s="677" cm="1">
        <f t="array" ref="AA24">OrdersPerYear*IF(MGK[[#This Row],[Prüfaufwand]]="hoch",1,0)
*IF(MGK[[#This Row],[Spezifiaktion]]="Zusammenbau",1,0)*0.25</f>
        <v>0</v>
      </c>
      <c r="AB24" s="677" cm="1">
        <f t="array" ref="AB24">OrdersPerYear*IF(MGK[[#This Row],[Prüfaufwand]]="hoch",1,0)
*IF(MGK[[#This Row],[Spezifiaktion]]="Zusammenbau",1,0)*0.25</f>
        <v>0</v>
      </c>
      <c r="AC24" s="677" cm="1">
        <f t="array" ref="AC24">OrdersPerYear*IF(MGK[[#This Row],[Prüfaufwand]]="mittel",0.5,IF(MGK[[#This Row],[Prüfaufwand]]="hoch",1,0))
*IF(MGK[[#This Row],[Spezifiaktion]]="Zusammenbau",1,0)*1.5</f>
        <v>0</v>
      </c>
      <c r="AD24" s="677" cm="1">
        <f t="array" ref="AD24">OrdersPerYear*IF(MGK[[#This Row],[Prüfaufwand]]="hoch",1,0)
*IF(MGK[[#This Row],[Spezifiaktion]]="Zusammenbau",1,0)*0.25</f>
        <v>0</v>
      </c>
      <c r="AE24" s="677" cm="1">
        <f t="array" ref="AE24">OrdersPerYear*IF(MGK[[#This Row],[Bestellaufwand]]="gering",0.15,IF(MGK[[#This Row],[Bestellaufwand]]="mittel",0.5,IF(MGK[[#This Row],[Prüfaufwand]]="hoch",1,0)))
*IF(MGK[[#This Row],[Spezifiaktion]]="Elektronik",1,0)*1</f>
        <v>0</v>
      </c>
      <c r="AF24" s="678" cm="1">
        <f t="array" ref="AF24">IFERROR(SUMPRODUCT(MGK[[#This Row],[Maße]:[Elekronik]],TRANSPOSE($AT$8:$AT$16))*ExchangeRate/SUM(MGK[[#This Row],[Maße]:[Elekronik]]),0)</f>
        <v>68866.666666666672</v>
      </c>
      <c r="AG24" s="688" cm="1">
        <f t="array" ref="AG24">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4" s="688" cm="1">
        <f t="array" ref="AH24">IFERROR(SUMPRODUCT(MGK[[#This Row],[Maße]:[Elekronik]],TRANSPOSE($AV$8:$AV$16),TRANSPOSE($AW$8:$AW$16))/SUM(MGK[[#This Row],[Maße]:[Elekronik]]),0)</f>
        <v>4.5333333333333332</v>
      </c>
      <c r="AI24" s="688" cm="1">
        <f t="array" ref="AI24">IFERROR(SUMPRODUCT(MGK[[#This Row],[Maße]:[Elekronik]],TRANSPOSE($AX$8:$AX$16))/SUM(MGK[[#This Row],[Maße]:[Elekronik]]),0)</f>
        <v>6.666666666666667</v>
      </c>
      <c r="AJ24" s="688">
        <f>IFERROR(INDEX(MGKMHR[Invest],MATCH(MGK[[#This Row],[Lagerart]],MGKMHR[Bezeichnung],0))*ExchangeRate,0)</f>
        <v>30.6</v>
      </c>
      <c r="AK24" s="688">
        <f>IFERROR(MGK[[#This Row],[L-Invest]]*(1/INDEX(MGKMHR[AfA],MATCH(MGK[[#This Row],[Lagerart]],MGKMHR[Bezeichnung],0))+INDEX(MGKMHR[Verbrauchsmaterial],MATCH(MGK[[#This Row],[Lagerart]],MGKMHR[Bezeichnung],0))+INDEX(MGKMHR[Instandhaltung],MATCH(MGK[[#This Row],[Lagerart]],MGKMHR[Bezeichnung],0)))/(365*24),0)</f>
        <v>4.3547945205479459E-4</v>
      </c>
      <c r="AL24" s="688">
        <f>IFERROR(INDEX(MGKMHR[Strom],MATCH(MGK[[#This Row],[Lagerart]],MGKMHR[Bezeichnung],0))*INDEX(MGKMHR[Faktor],MATCH(MGK[[#This Row],[Lagerart]],MGKMHR[Bezeichnung],0)),0)</f>
        <v>5.4794520547945206E-3</v>
      </c>
      <c r="AM24" s="688">
        <f>IFERROR(INDEX(MGKMHR[Fläche],MATCH(MGK[[#This Row],[Lagerart]],MGKMHR[Bezeichnung],0)),0)</f>
        <v>0.5</v>
      </c>
      <c r="AN24" s="678">
        <f>IFERROR(INDEX(MGKMHR[Invest],MATCH(MGK[[#This Row],[Lagerbediengerät]],MGKMHR[Bezeichnung],0))*ExchangeRate,0)</f>
        <v>20000</v>
      </c>
      <c r="AO24" s="688">
        <f>IFERROR(MGK[[#This Row],[B-Invest]]*(1/INDEX(MGKMHR[AfA],MATCH(MGK[[#This Row],[Lagerbediengerät]],MGKMHR[Bezeichnung],0))+INDEX(MGKMHR[Verbrauchsmaterial],MATCH(MGK[[#This Row],[Lagerbediengerät]],MGKMHR[Bezeichnung],0))+INDEX(MGKMHR[Instandhaltung],MATCH(MGK[[#This Row],[Lagerbediengerät]],MGKMHR[Bezeichnung],0)))/(250*16*0.8),0)</f>
        <v>6.25</v>
      </c>
      <c r="AP24" s="688">
        <f>IFERROR(INDEX(MGKMHR[Strom],MATCH(MGK[[#This Row],[Lagerbediengerät]],MGKMHR[Bezeichnung],0))*INDEX(MGKMHR[Faktor],MATCH(MGK[[#This Row],[Lagerbediengerät]],MGKMHR[Bezeichnung],0)),0)</f>
        <v>9.6999999999999993</v>
      </c>
      <c r="AQ24" s="688">
        <f>IFERROR(INDEX(MGKMHR[Fläche],MATCH(MGK[[#This Row],[Lagerbediengerät]],MGKMHR[Bezeichnung],0)),0)</f>
        <v>0</v>
      </c>
      <c r="AR24" s="344"/>
      <c r="AS24" s="687" t="s">
        <v>1063</v>
      </c>
      <c r="AT24" s="360">
        <v>20000</v>
      </c>
      <c r="AU24" s="360">
        <v>1</v>
      </c>
      <c r="AV24" s="360">
        <v>9.6999999999999993</v>
      </c>
      <c r="AW24" s="360">
        <v>1</v>
      </c>
      <c r="AX24" s="360">
        <v>0</v>
      </c>
      <c r="AY24" s="361">
        <v>0</v>
      </c>
      <c r="AZ24" s="361">
        <v>0</v>
      </c>
      <c r="BA24" s="361"/>
      <c r="BB24" s="361"/>
      <c r="BD24" s="681" t="s">
        <v>82</v>
      </c>
      <c r="BE24" s="207">
        <f>AVERAGE(BF24:BG24)</f>
        <v>7.5</v>
      </c>
      <c r="BF24" s="254">
        <v>12</v>
      </c>
      <c r="BG24" s="254">
        <v>3</v>
      </c>
      <c r="BI24" s="677" t="s">
        <v>2327</v>
      </c>
      <c r="BJ24" s="677" t="s">
        <v>1268</v>
      </c>
      <c r="BK24" s="678">
        <f>BK16^3</f>
        <v>1000000</v>
      </c>
      <c r="BN24" s="349" t="s">
        <v>991</v>
      </c>
    </row>
    <row r="25" spans="2:67">
      <c r="B25" s="688" t="str">
        <f>IF(Language="DE",MGK[[#This Row],[DE]],MGK[[#This Row],[EN]])</f>
        <v>Assy electronics</v>
      </c>
      <c r="C25" s="235" t="s">
        <v>1167</v>
      </c>
      <c r="D25" s="235" t="s">
        <v>1168</v>
      </c>
      <c r="E25" s="235" t="s">
        <v>994</v>
      </c>
      <c r="F25" s="235" t="s">
        <v>1021</v>
      </c>
      <c r="G25" s="235" t="s">
        <v>994</v>
      </c>
      <c r="H25" s="235" t="s">
        <v>994</v>
      </c>
      <c r="I25" s="235" t="s">
        <v>1003</v>
      </c>
      <c r="J25" s="341" t="s">
        <v>2188</v>
      </c>
      <c r="K25" s="235">
        <v>4</v>
      </c>
      <c r="L25" s="342">
        <v>1000</v>
      </c>
      <c r="M25" s="343">
        <v>25</v>
      </c>
      <c r="N25" s="343"/>
      <c r="O25" s="343"/>
      <c r="P25" s="343"/>
      <c r="Q25" s="343"/>
      <c r="R25" s="341">
        <v>1</v>
      </c>
      <c r="S25" s="690" t="str">
        <f>IFERROR(INDEX(MGKMHR[Gerät],MATCH(MGK[[#This Row],[Lagerart]],MGKMHR[Bezeichnung],0)),0)</f>
        <v>Niederhubkommisionierer</v>
      </c>
      <c r="T25" s="691" cm="1">
        <f t="array" ref="T25">IFERROR(IF(MGK[[#This Row],[Bestellaufwand]]="gering",0.25, IF(MGK[[#This Row],[Bestellaufwand]]="mittel",1.5,IF(MGK[[#This Row],[Bestellaufwand]]="hoch",8,0))),0)
+IFERROR(IF(MGK[[#This Row],[Bestellaufwand]]="gering",0.25, IF(MGK[[#This Row],[Bestellaufwand]]="mittel",0.5,IF(MGK[[#This Row],[Bestellaufwand]]="hoch",1,0)))*OrdersPerYear,0)</f>
        <v>20</v>
      </c>
      <c r="U25" s="688">
        <f>SUM(MGK[[#This Row],[Maße]:[Elekronik]])</f>
        <v>12</v>
      </c>
      <c r="V25" s="692" cm="1">
        <f t="array" ref="V25">IFERROR(INDEX(MGKMHR[Handling],MATCH(MGK[[#This Row],[Lagerart]],MGKMHR[Bezeichnung],0))
*(OrdersPerYear+52/MGK[[#This Row],[Lagerreichweite]])*IF(MGK[[#This Row],[Handling]]="gering",0.25,IF(MGK[[#This Row],[Handling]]="hoch",2,1)),0)</f>
        <v>2.5</v>
      </c>
      <c r="W25" s="693" cm="1">
        <f t="array" ref="W2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25" s="677" cm="1">
        <f t="array" ref="X2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25" s="677" cm="1">
        <f t="array" ref="Y2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25" s="677" cm="1">
        <f t="array" ref="Z25">OrdersPerYear*IF(MGK[[#This Row],[Prüfaufwand]]="gering",0.25,IF(MGK[[#This Row],[Prüfaufwand]]="mittel",0.5,IF(MGK[[#This Row],[Prüfaufwand]]="hoch",1,0)))
*IF(MGK[[#This Row],[Spezifiaktion]]="Zusammenbau",1,0)*1</f>
        <v>0</v>
      </c>
      <c r="AA25" s="677" cm="1">
        <f t="array" ref="AA25">OrdersPerYear*IF(MGK[[#This Row],[Prüfaufwand]]="hoch",1,0)
*IF(MGK[[#This Row],[Spezifiaktion]]="Zusammenbau",1,0)*0.25</f>
        <v>0</v>
      </c>
      <c r="AB25" s="677" cm="1">
        <f t="array" ref="AB25">OrdersPerYear*IF(MGK[[#This Row],[Prüfaufwand]]="hoch",1,0)
*IF(MGK[[#This Row],[Spezifiaktion]]="Zusammenbau",1,0)*0.25</f>
        <v>0</v>
      </c>
      <c r="AC25" s="677" cm="1">
        <f t="array" ref="AC25">OrdersPerYear*IF(MGK[[#This Row],[Prüfaufwand]]="mittel",0.5,IF(MGK[[#This Row],[Prüfaufwand]]="hoch",1,0))
*IF(MGK[[#This Row],[Spezifiaktion]]="Zusammenbau",1,0)*1.5</f>
        <v>0</v>
      </c>
      <c r="AD25" s="677" cm="1">
        <f t="array" ref="AD25">OrdersPerYear*IF(MGK[[#This Row],[Prüfaufwand]]="hoch",1,0)
*IF(MGK[[#This Row],[Spezifiaktion]]="Zusammenbau",1,0)*0.25</f>
        <v>0</v>
      </c>
      <c r="AE25" s="677" cm="1">
        <f t="array" ref="AE25">OrdersPerYear*IF(MGK[[#This Row],[Bestellaufwand]]="gering",0.15,IF(MGK[[#This Row],[Bestellaufwand]]="mittel",0.5,IF(MGK[[#This Row],[Prüfaufwand]]="hoch",1,0)))
*IF(MGK[[#This Row],[Spezifiaktion]]="Elektronik",1,0)*1</f>
        <v>12</v>
      </c>
      <c r="AF25" s="678" cm="1">
        <f t="array" ref="AF25">IFERROR(SUMPRODUCT(MGK[[#This Row],[Maße]:[Elekronik]],TRANSPOSE($AT$8:$AT$16))*ExchangeRate/SUM(MGK[[#This Row],[Maße]:[Elekronik]]),0)</f>
        <v>500000</v>
      </c>
      <c r="AG25" s="688" cm="1">
        <f t="array" ref="AG25">IFERROR((SUMPRODUCT(MGK[[#This Row],[Maße]:[Elekronik]],TRANSPOSE($AT$8:$AT$16),1/TRANSPOSE($AU$8:$AU$16))+SUMPRODUCT(MGK[[#This Row],[Maße]:[Elekronik]],TRANSPOSE($AT$8:$AT$16),TRANSPOSE($AY$8:$AY$16))+SUMPRODUCT(MGK[[#This Row],[Maße]:[Elekronik]],TRANSPOSE($AT$8:$AT$16),TRANSPOSE($AZ$8:$AZ$16)))*ExchangeRate/(250*8*0.8)/SUM(MGK[[#This Row],[Maße]:[Elekronik]]),0)</f>
        <v>49.375</v>
      </c>
      <c r="AH25" s="688" cm="1">
        <f t="array" ref="AH25">IFERROR(SUMPRODUCT(MGK[[#This Row],[Maße]:[Elekronik]],TRANSPOSE($AV$8:$AV$16),TRANSPOSE($AW$8:$AW$16))/SUM(MGK[[#This Row],[Maße]:[Elekronik]]),0)</f>
        <v>10</v>
      </c>
      <c r="AI25" s="688" cm="1">
        <f t="array" ref="AI25">IFERROR(SUMPRODUCT(MGK[[#This Row],[Maße]:[Elekronik]],TRANSPOSE($AX$8:$AX$16))/SUM(MGK[[#This Row],[Maße]:[Elekronik]]),0)</f>
        <v>10</v>
      </c>
      <c r="AJ25" s="688">
        <f>IFERROR(INDEX(MGKMHR[Invest],MATCH(MGK[[#This Row],[Lagerart]],MGKMHR[Bezeichnung],0))*ExchangeRate,0)</f>
        <v>43.5</v>
      </c>
      <c r="AK25" s="688">
        <f>IFERROR(MGK[[#This Row],[L-Invest]]*(1/INDEX(MGKMHR[AfA],MATCH(MGK[[#This Row],[Lagerart]],MGKMHR[Bezeichnung],0))+INDEX(MGKMHR[Verbrauchsmaterial],MATCH(MGK[[#This Row],[Lagerart]],MGKMHR[Bezeichnung],0))+INDEX(MGKMHR[Instandhaltung],MATCH(MGK[[#This Row],[Lagerart]],MGKMHR[Bezeichnung],0)))/(365*24),0)</f>
        <v>6.1906392694063925E-4</v>
      </c>
      <c r="AL25" s="688">
        <f>IFERROR(INDEX(MGKMHR[Strom],MATCH(MGK[[#This Row],[Lagerart]],MGKMHR[Bezeichnung],0))*INDEX(MGKMHR[Faktor],MATCH(MGK[[#This Row],[Lagerart]],MGKMHR[Bezeichnung],0)),0)</f>
        <v>4.8219178082191784E-3</v>
      </c>
      <c r="AM25" s="688">
        <f>IFERROR(INDEX(MGKMHR[Fläche],MATCH(MGK[[#This Row],[Lagerart]],MGKMHR[Bezeichnung],0)),0)</f>
        <v>0.44000000000000006</v>
      </c>
      <c r="AN25" s="678">
        <f>IFERROR(INDEX(MGKMHR[Invest],MATCH(MGK[[#This Row],[Lagerbediengerät]],MGKMHR[Bezeichnung],0))*ExchangeRate,0)</f>
        <v>2000</v>
      </c>
      <c r="AO25" s="688">
        <f>IFERROR(MGK[[#This Row],[B-Invest]]*(1/INDEX(MGKMHR[AfA],MATCH(MGK[[#This Row],[Lagerbediengerät]],MGKMHR[Bezeichnung],0))+INDEX(MGKMHR[Verbrauchsmaterial],MATCH(MGK[[#This Row],[Lagerbediengerät]],MGKMHR[Bezeichnung],0))+INDEX(MGKMHR[Instandhaltung],MATCH(MGK[[#This Row],[Lagerbediengerät]],MGKMHR[Bezeichnung],0)))/(250*16*0.8),0)</f>
        <v>0.625</v>
      </c>
      <c r="AP25" s="688">
        <f>IFERROR(INDEX(MGKMHR[Strom],MATCH(MGK[[#This Row],[Lagerbediengerät]],MGKMHR[Bezeichnung],0))*INDEX(MGKMHR[Faktor],MATCH(MGK[[#This Row],[Lagerbediengerät]],MGKMHR[Bezeichnung],0)),0)</f>
        <v>1</v>
      </c>
      <c r="AQ25" s="688">
        <f>IFERROR(INDEX(MGKMHR[Fläche],MATCH(MGK[[#This Row],[Lagerbediengerät]],MGKMHR[Bezeichnung],0)),0)</f>
        <v>0</v>
      </c>
      <c r="AR25" s="344"/>
      <c r="AS25" s="683" t="s">
        <v>1064</v>
      </c>
      <c r="AT25" s="235">
        <v>2000</v>
      </c>
      <c r="AU25" s="235">
        <v>1</v>
      </c>
      <c r="AV25" s="235">
        <v>1</v>
      </c>
      <c r="AW25" s="235">
        <v>1</v>
      </c>
      <c r="AX25" s="235">
        <v>0</v>
      </c>
      <c r="AY25" s="345">
        <v>0</v>
      </c>
      <c r="AZ25" s="345">
        <v>0</v>
      </c>
      <c r="BA25" s="345"/>
      <c r="BB25" s="345"/>
      <c r="BD25" s="681" t="s">
        <v>87</v>
      </c>
      <c r="BE25" s="207">
        <v>6</v>
      </c>
      <c r="BF25" s="254">
        <v>10</v>
      </c>
      <c r="BG25" s="254">
        <v>1.5</v>
      </c>
      <c r="BI25" s="677" t="s">
        <v>2328</v>
      </c>
      <c r="BJ25" s="677" t="s">
        <v>1268</v>
      </c>
      <c r="BK25" s="678">
        <f>BK17^3</f>
        <v>1000</v>
      </c>
      <c r="BN25" s="349" t="s">
        <v>995</v>
      </c>
    </row>
    <row r="26" spans="2:67">
      <c r="B26" s="688" t="str">
        <f>IF(Language="DE",MGK[[#This Row],[DE]],MGK[[#This Row],[EN]])</f>
        <v>Part to be provided</v>
      </c>
      <c r="C26" s="235" t="s">
        <v>1429</v>
      </c>
      <c r="D26" s="235" t="s">
        <v>1430</v>
      </c>
      <c r="E26" s="235"/>
      <c r="F26" s="235"/>
      <c r="G26" s="235"/>
      <c r="H26" s="235"/>
      <c r="I26" s="235"/>
      <c r="J26" s="341"/>
      <c r="K26" s="235"/>
      <c r="L26" s="342"/>
      <c r="M26" s="343"/>
      <c r="N26" s="343"/>
      <c r="O26" s="343"/>
      <c r="P26" s="343"/>
      <c r="Q26" s="343"/>
      <c r="R26" s="341"/>
      <c r="S26" s="690">
        <f>IFERROR(INDEX(MGKMHR[Gerät],MATCH(MGK[[#This Row],[Lagerart]],MGKMHR[Bezeichnung],0)),0)</f>
        <v>0</v>
      </c>
      <c r="T26" s="691" cm="1">
        <f t="array" ref="T26">IFERROR(IF(MGK[[#This Row],[Bestellaufwand]]="gering",0.25, IF(MGK[[#This Row],[Bestellaufwand]]="mittel",1.5,IF(MGK[[#This Row],[Bestellaufwand]]="hoch",8,0))),0)
+IFERROR(IF(MGK[[#This Row],[Bestellaufwand]]="gering",0.25, IF(MGK[[#This Row],[Bestellaufwand]]="mittel",0.5,IF(MGK[[#This Row],[Bestellaufwand]]="hoch",1,0)))*OrdersPerYear,0)</f>
        <v>0</v>
      </c>
      <c r="U26" s="688">
        <f>SUM(MGK[[#This Row],[Maße]:[Elekronik]])</f>
        <v>0</v>
      </c>
      <c r="V26" s="692" cm="1">
        <f t="array" ref="V26">IFERROR(INDEX(MGKMHR[Handling],MATCH(MGK[[#This Row],[Lagerart]],MGKMHR[Bezeichnung],0))
*(OrdersPerYear+52/MGK[[#This Row],[Lagerreichweite]])*IF(MGK[[#This Row],[Handling]]="gering",0.25,IF(MGK[[#This Row],[Handling]]="hoch",2,1)),0)</f>
        <v>0</v>
      </c>
      <c r="W26" s="693" cm="1">
        <f t="array" ref="W2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26" s="677" cm="1">
        <f t="array" ref="X2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26" s="677" cm="1">
        <f t="array" ref="Y2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26" s="677" cm="1">
        <f t="array" ref="Z26">OrdersPerYear*IF(MGK[[#This Row],[Prüfaufwand]]="gering",0.25,IF(MGK[[#This Row],[Prüfaufwand]]="mittel",0.5,IF(MGK[[#This Row],[Prüfaufwand]]="hoch",1,0)))
*IF(MGK[[#This Row],[Spezifiaktion]]="Zusammenbau",1,0)*1</f>
        <v>0</v>
      </c>
      <c r="AA26" s="677" cm="1">
        <f t="array" ref="AA26">OrdersPerYear*IF(MGK[[#This Row],[Prüfaufwand]]="hoch",1,0)
*IF(MGK[[#This Row],[Spezifiaktion]]="Zusammenbau",1,0)*0.25</f>
        <v>0</v>
      </c>
      <c r="AB26" s="677" cm="1">
        <f t="array" ref="AB26">OrdersPerYear*IF(MGK[[#This Row],[Prüfaufwand]]="hoch",1,0)
*IF(MGK[[#This Row],[Spezifiaktion]]="Zusammenbau",1,0)*0.25</f>
        <v>0</v>
      </c>
      <c r="AC26" s="677" cm="1">
        <f t="array" ref="AC26">OrdersPerYear*IF(MGK[[#This Row],[Prüfaufwand]]="mittel",0.5,IF(MGK[[#This Row],[Prüfaufwand]]="hoch",1,0))
*IF(MGK[[#This Row],[Spezifiaktion]]="Zusammenbau",1,0)*1.5</f>
        <v>0</v>
      </c>
      <c r="AD26" s="677" cm="1">
        <f t="array" ref="AD26">OrdersPerYear*IF(MGK[[#This Row],[Prüfaufwand]]="hoch",1,0)
*IF(MGK[[#This Row],[Spezifiaktion]]="Zusammenbau",1,0)*0.25</f>
        <v>0</v>
      </c>
      <c r="AE26" s="677" cm="1">
        <f t="array" ref="AE26">OrdersPerYear*IF(MGK[[#This Row],[Bestellaufwand]]="gering",0.15,IF(MGK[[#This Row],[Bestellaufwand]]="mittel",0.5,IF(MGK[[#This Row],[Prüfaufwand]]="hoch",1,0)))
*IF(MGK[[#This Row],[Spezifiaktion]]="Elektronik",1,0)*1</f>
        <v>0</v>
      </c>
      <c r="AF26" s="678" cm="1">
        <f t="array" ref="AF26">IFERROR(SUMPRODUCT(MGK[[#This Row],[Maße]:[Elekronik]],TRANSPOSE($AT$8:$AT$16))*ExchangeRate/SUM(MGK[[#This Row],[Maße]:[Elekronik]]),0)</f>
        <v>0</v>
      </c>
      <c r="AG26" s="688" cm="1">
        <f t="array" ref="AG26">IFERROR((SUMPRODUCT(MGK[[#This Row],[Maße]:[Elekronik]],TRANSPOSE($AT$8:$AT$16),1/TRANSPOSE($AU$8:$AU$16))+SUMPRODUCT(MGK[[#This Row],[Maße]:[Elekronik]],TRANSPOSE($AT$8:$AT$16),TRANSPOSE($AY$8:$AY$16))+SUMPRODUCT(MGK[[#This Row],[Maße]:[Elekronik]],TRANSPOSE($AT$8:$AT$16),TRANSPOSE($AZ$8:$AZ$16)))*ExchangeRate/(250*8*0.8)/SUM(MGK[[#This Row],[Maße]:[Elekronik]]),0)</f>
        <v>0</v>
      </c>
      <c r="AH26" s="688" cm="1">
        <f t="array" ref="AH26">IFERROR(SUMPRODUCT(MGK[[#This Row],[Maße]:[Elekronik]],TRANSPOSE($AV$8:$AV$16),TRANSPOSE($AW$8:$AW$16))/SUM(MGK[[#This Row],[Maße]:[Elekronik]]),0)</f>
        <v>0</v>
      </c>
      <c r="AI26" s="688" cm="1">
        <f t="array" ref="AI26">IFERROR(SUMPRODUCT(MGK[[#This Row],[Maße]:[Elekronik]],TRANSPOSE($AX$8:$AX$16))/SUM(MGK[[#This Row],[Maße]:[Elekronik]]),0)</f>
        <v>0</v>
      </c>
      <c r="AJ26" s="688">
        <f>IFERROR(INDEX(MGKMHR[Invest],MATCH(MGK[[#This Row],[Lagerart]],MGKMHR[Bezeichnung],0))*ExchangeRate,0)</f>
        <v>0</v>
      </c>
      <c r="AK26" s="688">
        <f>IFERROR(MGK[[#This Row],[L-Invest]]*(1/INDEX(MGKMHR[AfA],MATCH(MGK[[#This Row],[Lagerart]],MGKMHR[Bezeichnung],0))+INDEX(MGKMHR[Verbrauchsmaterial],MATCH(MGK[[#This Row],[Lagerart]],MGKMHR[Bezeichnung],0))+INDEX(MGKMHR[Instandhaltung],MATCH(MGK[[#This Row],[Lagerart]],MGKMHR[Bezeichnung],0)))/(365*24),0)</f>
        <v>0</v>
      </c>
      <c r="AL26" s="688">
        <f>IFERROR(INDEX(MGKMHR[Strom],MATCH(MGK[[#This Row],[Lagerart]],MGKMHR[Bezeichnung],0))*INDEX(MGKMHR[Faktor],MATCH(MGK[[#This Row],[Lagerart]],MGKMHR[Bezeichnung],0)),0)</f>
        <v>0</v>
      </c>
      <c r="AM26" s="688">
        <f>IFERROR(INDEX(MGKMHR[Fläche],MATCH(MGK[[#This Row],[Lagerart]],MGKMHR[Bezeichnung],0)),0)</f>
        <v>0</v>
      </c>
      <c r="AN26" s="678">
        <f>IFERROR(INDEX(MGKMHR[Invest],MATCH(MGK[[#This Row],[Lagerbediengerät]],MGKMHR[Bezeichnung],0))*ExchangeRate,0)</f>
        <v>0</v>
      </c>
      <c r="AO26" s="688">
        <f>IFERROR(MGK[[#This Row],[B-Invest]]*(1/INDEX(MGKMHR[AfA],MATCH(MGK[[#This Row],[Lagerbediengerät]],MGKMHR[Bezeichnung],0))+INDEX(MGKMHR[Verbrauchsmaterial],MATCH(MGK[[#This Row],[Lagerbediengerät]],MGKMHR[Bezeichnung],0))+INDEX(MGKMHR[Instandhaltung],MATCH(MGK[[#This Row],[Lagerbediengerät]],MGKMHR[Bezeichnung],0)))/(250*16*0.8),0)</f>
        <v>0</v>
      </c>
      <c r="AP26" s="688">
        <f>IFERROR(INDEX(MGKMHR[Strom],MATCH(MGK[[#This Row],[Lagerbediengerät]],MGKMHR[Bezeichnung],0))*INDEX(MGKMHR[Faktor],MATCH(MGK[[#This Row],[Lagerbediengerät]],MGKMHR[Bezeichnung],0)),0)</f>
        <v>0</v>
      </c>
      <c r="AQ26" s="688">
        <f>IFERROR(INDEX(MGKMHR[Fläche],MATCH(MGK[[#This Row],[Lagerbediengerät]],MGKMHR[Bezeichnung],0)),0)</f>
        <v>0</v>
      </c>
      <c r="AR26" s="344"/>
      <c r="AS26" s="684" t="s">
        <v>1065</v>
      </c>
      <c r="AT26" s="354">
        <v>11000</v>
      </c>
      <c r="AU26" s="354">
        <v>1</v>
      </c>
      <c r="AV26" s="354">
        <v>5</v>
      </c>
      <c r="AW26" s="354">
        <v>1</v>
      </c>
      <c r="AX26" s="354">
        <v>0</v>
      </c>
      <c r="AY26" s="355">
        <v>0</v>
      </c>
      <c r="AZ26" s="355">
        <v>0</v>
      </c>
      <c r="BA26" s="345"/>
      <c r="BB26" s="345"/>
      <c r="BD26" s="681" t="s">
        <v>88</v>
      </c>
      <c r="BE26" s="207">
        <f>AVERAGE(BF26:BG26)</f>
        <v>3.5</v>
      </c>
      <c r="BF26" s="254">
        <v>6</v>
      </c>
      <c r="BG26" s="254">
        <v>1</v>
      </c>
      <c r="BI26" s="679" t="s">
        <v>1268</v>
      </c>
      <c r="BJ26" s="679" t="s">
        <v>1268</v>
      </c>
      <c r="BK26" s="680">
        <f>BK18^3</f>
        <v>1</v>
      </c>
      <c r="BN26" s="349" t="s">
        <v>994</v>
      </c>
    </row>
    <row r="27" spans="2:67">
      <c r="C27" s="4"/>
      <c r="D27" s="4"/>
      <c r="E27" s="4"/>
      <c r="F27" s="4"/>
      <c r="G27" s="4"/>
      <c r="H27" s="4"/>
      <c r="I27" s="4"/>
      <c r="J27" s="4"/>
      <c r="K27" s="362"/>
      <c r="L27" s="362"/>
      <c r="M27" s="362"/>
      <c r="N27" s="362"/>
      <c r="O27" s="362"/>
      <c r="P27" s="362"/>
      <c r="Q27" s="362"/>
      <c r="R27" s="362"/>
      <c r="S27" s="363"/>
      <c r="T27" s="4"/>
      <c r="U27" s="177"/>
      <c r="V27" s="177"/>
      <c r="W27" s="177"/>
      <c r="AG27" s="314"/>
      <c r="AH27" s="177"/>
      <c r="AI27" s="177"/>
      <c r="AJ27" s="177"/>
      <c r="AK27" s="177"/>
      <c r="AL27" s="177"/>
      <c r="AM27" s="177"/>
      <c r="AN27" s="177"/>
      <c r="AO27" s="314"/>
      <c r="AP27" s="177"/>
      <c r="AQ27" s="177"/>
      <c r="AR27" s="177"/>
      <c r="AU27" s="4"/>
      <c r="AV27" s="4"/>
      <c r="AW27" s="4"/>
      <c r="AX27" s="4"/>
      <c r="AY27" s="4"/>
      <c r="AZ27" s="4"/>
      <c r="BA27" s="4"/>
      <c r="BB27" s="4"/>
      <c r="BC27" s="4"/>
      <c r="BD27" s="4"/>
      <c r="BE27" s="4"/>
      <c r="BF27" s="4"/>
      <c r="BG27" s="4"/>
      <c r="BH27" s="4"/>
      <c r="BL27" s="4"/>
      <c r="BM27" s="4"/>
      <c r="BO27" s="4"/>
    </row>
    <row r="28" spans="2:67">
      <c r="AR28" s="177"/>
      <c r="AU28" s="4"/>
      <c r="AV28" s="4"/>
      <c r="AW28" s="4"/>
      <c r="AX28" s="4"/>
      <c r="AY28" s="4"/>
      <c r="AZ28" s="4"/>
      <c r="BA28" s="4"/>
      <c r="BB28" s="4"/>
      <c r="BC28" s="4"/>
      <c r="BD28" s="4"/>
      <c r="BE28" s="4"/>
      <c r="BF28" s="4"/>
      <c r="BG28" s="4"/>
      <c r="BH28" s="4"/>
      <c r="BL28" s="4"/>
      <c r="BM28" s="4"/>
      <c r="BN28" s="348" t="s">
        <v>990</v>
      </c>
      <c r="BO28" s="4"/>
    </row>
    <row r="29" spans="2:67">
      <c r="AS29" s="5"/>
      <c r="AT29" s="5"/>
      <c r="BC29" s="364"/>
      <c r="BE29" s="177"/>
      <c r="BG29" s="5"/>
      <c r="BN29" s="349" t="s">
        <v>1039</v>
      </c>
    </row>
    <row r="30" spans="2:67">
      <c r="BN30" s="349" t="s">
        <v>991</v>
      </c>
    </row>
    <row r="31" spans="2:67">
      <c r="BN31" s="349" t="s">
        <v>995</v>
      </c>
    </row>
    <row r="32" spans="2:67">
      <c r="BN32" s="349" t="s">
        <v>994</v>
      </c>
    </row>
    <row r="34" spans="66:66">
      <c r="BN34" s="348" t="s">
        <v>1015</v>
      </c>
    </row>
    <row r="35" spans="66:66">
      <c r="BN35" s="349" t="s">
        <v>997</v>
      </c>
    </row>
    <row r="36" spans="66:66">
      <c r="BN36" s="349" t="s">
        <v>709</v>
      </c>
    </row>
    <row r="37" spans="66:66">
      <c r="BN37" s="349" t="s">
        <v>993</v>
      </c>
    </row>
    <row r="38" spans="66:66">
      <c r="BN38" s="349" t="s">
        <v>999</v>
      </c>
    </row>
    <row r="39" spans="66:66">
      <c r="BN39" s="349" t="s">
        <v>1003</v>
      </c>
    </row>
    <row r="40" spans="66:66">
      <c r="BN40" s="349" t="s">
        <v>1090</v>
      </c>
    </row>
    <row r="41" spans="66:66">
      <c r="BN41" s="349" t="s">
        <v>1096</v>
      </c>
    </row>
    <row r="43" spans="66:66">
      <c r="BN43" s="348" t="s">
        <v>2186</v>
      </c>
    </row>
    <row r="44" spans="66:66">
      <c r="BN44" s="349" t="s">
        <v>2189</v>
      </c>
    </row>
    <row r="45" spans="66:66">
      <c r="BN45" s="349" t="s">
        <v>2188</v>
      </c>
    </row>
    <row r="46" spans="66:66">
      <c r="BN46" s="349" t="s">
        <v>2190</v>
      </c>
    </row>
    <row r="47" spans="66:66">
      <c r="BN47" s="349" t="s">
        <v>2191</v>
      </c>
    </row>
    <row r="48" spans="66:66">
      <c r="BN48" s="349" t="s">
        <v>2187</v>
      </c>
    </row>
    <row r="50" spans="66:66">
      <c r="BN50" s="348" t="s">
        <v>1019</v>
      </c>
    </row>
    <row r="51" spans="66:66">
      <c r="BN51" s="349">
        <v>1E-4</v>
      </c>
    </row>
    <row r="52" spans="66:66">
      <c r="BN52" s="349">
        <v>1E-3</v>
      </c>
    </row>
    <row r="53" spans="66:66">
      <c r="BN53" s="349">
        <v>0.01</v>
      </c>
    </row>
    <row r="54" spans="66:66">
      <c r="BN54" s="349">
        <v>0.1</v>
      </c>
    </row>
    <row r="55" spans="66:66">
      <c r="BN55" s="349">
        <v>1</v>
      </c>
    </row>
    <row r="56" spans="66:66">
      <c r="BN56" s="349">
        <v>2</v>
      </c>
    </row>
    <row r="57" spans="66:66">
      <c r="BN57" s="349">
        <v>5</v>
      </c>
    </row>
  </sheetData>
  <mergeCells count="8">
    <mergeCell ref="BI5:BK5"/>
    <mergeCell ref="L4:Q4"/>
    <mergeCell ref="B2:BN2"/>
    <mergeCell ref="T4:V4"/>
    <mergeCell ref="W4:AE4"/>
    <mergeCell ref="AF4:AI4"/>
    <mergeCell ref="AJ4:AM4"/>
    <mergeCell ref="AN4:AQ4"/>
  </mergeCells>
  <phoneticPr fontId="39" type="noConversion"/>
  <dataValidations count="11">
    <dataValidation type="list" allowBlank="1" showInputMessage="1" showErrorMessage="1" sqref="BA17:BA23 T26:T27 S7:S25" xr:uid="{067FD3C9-CDE3-4931-A249-BE87D0DE45A6}">
      <formula1>$AT$24:$AT$29</formula1>
    </dataValidation>
    <dataValidation type="list" allowBlank="1" showInputMessage="1" showErrorMessage="1" sqref="J27 F27" xr:uid="{202633EF-75C1-450D-9A0D-DD98D8FFC2C5}">
      <formula1>#REF!</formula1>
    </dataValidation>
    <dataValidation type="list" allowBlank="1" showInputMessage="1" showErrorMessage="1" sqref="E7:E27" xr:uid="{BA983E1C-5CE3-4958-943A-D31B80E6C694}">
      <formula1>$BN$10:$BN$12</formula1>
    </dataValidation>
    <dataValidation type="list" allowBlank="1" showInputMessage="1" showErrorMessage="1" sqref="F7:F27" xr:uid="{17A2F75B-7D1E-4130-AE75-96B343947E0A}">
      <formula1>$BN$15:$BN$21</formula1>
    </dataValidation>
    <dataValidation type="list" allowBlank="1" showInputMessage="1" showErrorMessage="1" sqref="G7:G27" xr:uid="{AE6FB451-68CB-4A26-B592-70576C1FB0CA}">
      <formula1>$BN$24:$BN$26</formula1>
    </dataValidation>
    <dataValidation type="list" allowBlank="1" showInputMessage="1" showErrorMessage="1" sqref="H7:H27" xr:uid="{5602C644-687D-446D-B1B8-76098CC642C5}">
      <formula1>$BN$29:$BN$32</formula1>
    </dataValidation>
    <dataValidation type="list" allowBlank="1" showInputMessage="1" showErrorMessage="1" sqref="I7:I27" xr:uid="{9BBDE34A-25BC-4275-8A57-83C64F80959B}">
      <formula1>$BN$35:$BN$41</formula1>
    </dataValidation>
    <dataValidation type="list" allowBlank="1" showInputMessage="1" sqref="K27:R27" xr:uid="{3A4F839D-95E3-4EEF-8FD7-F90E47E0C202}">
      <formula1>#REF!</formula1>
    </dataValidation>
    <dataValidation type="list" allowBlank="1" showInputMessage="1" sqref="K27:R27" xr:uid="{D4912D5C-5E8B-4E5B-9B35-BBAD6D2ADCE3}">
      <formula1>$BT$7:$BT$13</formula1>
    </dataValidation>
    <dataValidation type="list" allowBlank="1" showInputMessage="1" sqref="S26:S27 R7:R26" xr:uid="{048C7EDC-71AA-4449-BF0D-DE8E3663C2D1}">
      <formula1>$BN$51:$BN$57</formula1>
    </dataValidation>
    <dataValidation type="list" allowBlank="1" showInputMessage="1" showErrorMessage="1" sqref="J7:J26" xr:uid="{DA6C2F99-4D30-4CB1-892A-B0302254A468}">
      <formula1>$BN$44:$BN$48</formula1>
    </dataValidation>
  </dataValidations>
  <pageMargins left="0.7" right="0.7" top="0.78740157499999996" bottom="0.78740157499999996" header="0.3" footer="0.3"/>
  <pageSetup paperSize="9" orientation="portrait" r:id="rId1"/>
  <legacyDrawing r:id="rId2"/>
  <tableParts count="3">
    <tablePart r:id="rId3"/>
    <tablePart r:id="rId4"/>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37BE3-17AA-4A80-B379-90830EE11020}">
  <sheetPr codeName="TabHandling">
    <tabColor theme="9" tint="0.59999389629810485"/>
  </sheetPr>
  <dimension ref="B1:AO33"/>
  <sheetViews>
    <sheetView showGridLines="0" zoomScale="85" zoomScaleNormal="85" workbookViewId="0">
      <selection activeCell="B2" sqref="B2:AX4"/>
    </sheetView>
  </sheetViews>
  <sheetFormatPr baseColWidth="10" defaultColWidth="11.42578125" defaultRowHeight="12.75"/>
  <cols>
    <col min="1" max="1" width="2.42578125" style="5" customWidth="1"/>
    <col min="2" max="6" width="12.7109375" style="5" customWidth="1"/>
    <col min="7" max="7" width="2.7109375" style="5" customWidth="1"/>
    <col min="8" max="8" width="4" style="5" bestFit="1" customWidth="1"/>
    <col min="9" max="10" width="4" style="4" bestFit="1" customWidth="1"/>
    <col min="11" max="11" width="3.85546875" style="5" bestFit="1" customWidth="1"/>
    <col min="12" max="12" width="4.28515625" style="5" bestFit="1" customWidth="1"/>
    <col min="13" max="15" width="4" style="5" bestFit="1" customWidth="1"/>
    <col min="16" max="16" width="4.7109375" style="5" bestFit="1" customWidth="1"/>
    <col min="17" max="24" width="4" style="5" bestFit="1" customWidth="1"/>
    <col min="25" max="25" width="5.7109375" style="5" customWidth="1"/>
    <col min="26" max="27" width="4" style="5" bestFit="1" customWidth="1"/>
    <col min="28" max="28" width="6" style="5" bestFit="1" customWidth="1"/>
    <col min="29" max="31" width="4" style="5" bestFit="1" customWidth="1"/>
    <col min="32" max="32" width="8.28515625" style="5" bestFit="1" customWidth="1"/>
    <col min="33" max="33" width="4.7109375" style="5" bestFit="1" customWidth="1"/>
    <col min="34" max="34" width="4" style="5" bestFit="1" customWidth="1"/>
    <col min="35" max="35" width="39.7109375" style="5" bestFit="1" customWidth="1"/>
    <col min="36" max="36" width="2.7109375" style="5" customWidth="1"/>
    <col min="37" max="41" width="12.7109375" style="5" customWidth="1"/>
    <col min="42" max="16384" width="11.42578125" style="5"/>
  </cols>
  <sheetData>
    <row r="1" spans="2:41" ht="13.5" thickBot="1"/>
    <row r="2" spans="2:41" ht="79.150000000000006" customHeight="1">
      <c r="I2" s="1464" t="s">
        <v>3288</v>
      </c>
      <c r="J2" s="1464"/>
      <c r="K2" s="1464"/>
      <c r="L2" s="1464"/>
      <c r="M2" s="1465" t="s">
        <v>3289</v>
      </c>
      <c r="N2" s="1465"/>
      <c r="O2" s="1465"/>
      <c r="P2" s="1465"/>
      <c r="Q2" s="1465" t="s">
        <v>3290</v>
      </c>
      <c r="R2" s="1465"/>
      <c r="S2" s="1465"/>
      <c r="T2" s="1465"/>
      <c r="U2" s="1466" t="s">
        <v>3302</v>
      </c>
      <c r="V2" s="1466"/>
      <c r="W2" s="1466"/>
      <c r="X2" s="1466"/>
      <c r="Y2" s="1093" t="s">
        <v>3303</v>
      </c>
      <c r="Z2" s="1453" t="s">
        <v>3292</v>
      </c>
      <c r="AA2" s="1453"/>
      <c r="AB2" s="1453"/>
      <c r="AC2" s="1453"/>
      <c r="AD2" s="1454" t="s">
        <v>3293</v>
      </c>
      <c r="AE2" s="1454"/>
      <c r="AF2" s="1454"/>
      <c r="AG2" s="1454"/>
      <c r="AH2" s="1455" t="s">
        <v>3294</v>
      </c>
      <c r="AI2" s="1459" t="s">
        <v>3295</v>
      </c>
      <c r="AK2" s="1092" t="s">
        <v>3310</v>
      </c>
      <c r="AL2" s="1090"/>
      <c r="AM2" s="1090"/>
      <c r="AN2" s="1090"/>
      <c r="AO2" s="1091"/>
    </row>
    <row r="3" spans="2:41" ht="14.45" customHeight="1" thickBot="1">
      <c r="E3" s="1467" t="s">
        <v>200</v>
      </c>
      <c r="F3" s="1468"/>
      <c r="I3" s="1460" t="s">
        <v>3296</v>
      </c>
      <c r="J3" s="1460" t="s">
        <v>3297</v>
      </c>
      <c r="K3" s="1460" t="s">
        <v>3298</v>
      </c>
      <c r="L3" s="1460" t="s">
        <v>3299</v>
      </c>
      <c r="M3" s="1461" t="s">
        <v>3296</v>
      </c>
      <c r="N3" s="1461" t="s">
        <v>3297</v>
      </c>
      <c r="O3" s="1461" t="s">
        <v>3298</v>
      </c>
      <c r="P3" s="1461" t="s">
        <v>3299</v>
      </c>
      <c r="Q3" s="1461" t="s">
        <v>3296</v>
      </c>
      <c r="R3" s="1461" t="s">
        <v>3297</v>
      </c>
      <c r="S3" s="1461" t="s">
        <v>3298</v>
      </c>
      <c r="T3" s="1461" t="s">
        <v>3299</v>
      </c>
      <c r="U3" s="1462" t="s">
        <v>3296</v>
      </c>
      <c r="V3" s="1462" t="s">
        <v>3297</v>
      </c>
      <c r="W3" s="1462" t="s">
        <v>3298</v>
      </c>
      <c r="X3" s="1462" t="s">
        <v>3299</v>
      </c>
      <c r="Y3" s="1451" t="s">
        <v>3299</v>
      </c>
      <c r="Z3" s="1452" t="s">
        <v>3296</v>
      </c>
      <c r="AA3" s="1452" t="s">
        <v>3297</v>
      </c>
      <c r="AB3" s="1452" t="s">
        <v>3298</v>
      </c>
      <c r="AC3" s="1452" t="s">
        <v>3299</v>
      </c>
      <c r="AD3" s="1458" t="s">
        <v>3296</v>
      </c>
      <c r="AE3" s="1458" t="s">
        <v>3297</v>
      </c>
      <c r="AF3" s="1458" t="s">
        <v>3298</v>
      </c>
      <c r="AG3" s="1458" t="s">
        <v>3299</v>
      </c>
      <c r="AH3" s="1456"/>
      <c r="AI3" s="1459"/>
      <c r="AK3" s="1088"/>
      <c r="AN3" s="1467" t="s">
        <v>200</v>
      </c>
      <c r="AO3" s="1469"/>
    </row>
    <row r="4" spans="2:41" ht="25.5">
      <c r="B4" s="668" t="s">
        <v>198</v>
      </c>
      <c r="C4" s="669" t="s">
        <v>197</v>
      </c>
      <c r="D4" s="670"/>
      <c r="E4" s="671" t="s">
        <v>196</v>
      </c>
      <c r="F4" s="673" t="s">
        <v>75</v>
      </c>
      <c r="I4" s="1460"/>
      <c r="J4" s="1460"/>
      <c r="K4" s="1460"/>
      <c r="L4" s="1460"/>
      <c r="M4" s="1461"/>
      <c r="N4" s="1461"/>
      <c r="O4" s="1461"/>
      <c r="P4" s="1461"/>
      <c r="Q4" s="1461"/>
      <c r="R4" s="1461"/>
      <c r="S4" s="1461"/>
      <c r="T4" s="1461"/>
      <c r="U4" s="1462"/>
      <c r="V4" s="1462"/>
      <c r="W4" s="1462"/>
      <c r="X4" s="1462"/>
      <c r="Y4" s="1451"/>
      <c r="Z4" s="1452"/>
      <c r="AA4" s="1452"/>
      <c r="AB4" s="1452"/>
      <c r="AC4" s="1452"/>
      <c r="AD4" s="1458"/>
      <c r="AE4" s="1458"/>
      <c r="AF4" s="1458"/>
      <c r="AG4" s="1458"/>
      <c r="AH4" s="1457"/>
      <c r="AI4" s="1459"/>
      <c r="AK4" s="668" t="s">
        <v>198</v>
      </c>
      <c r="AL4" s="669" t="s">
        <v>197</v>
      </c>
      <c r="AM4" s="670"/>
      <c r="AN4" s="671" t="s">
        <v>196</v>
      </c>
      <c r="AO4" s="673" t="s">
        <v>75</v>
      </c>
    </row>
    <row r="5" spans="2:41">
      <c r="B5" s="662">
        <v>0.1</v>
      </c>
      <c r="C5" s="663" t="s">
        <v>3306</v>
      </c>
      <c r="D5" s="664">
        <v>0</v>
      </c>
      <c r="E5" s="365">
        <f>AH5</f>
        <v>15</v>
      </c>
      <c r="F5" s="369">
        <v>1</v>
      </c>
      <c r="H5" s="1463" t="s">
        <v>3304</v>
      </c>
      <c r="I5" s="1066">
        <v>1</v>
      </c>
      <c r="J5" s="1066">
        <f>70*0.036</f>
        <v>2.52</v>
      </c>
      <c r="K5" s="1067" t="s">
        <v>3300</v>
      </c>
      <c r="L5" s="1068">
        <f>+I5*J5</f>
        <v>2.52</v>
      </c>
      <c r="M5" s="1069"/>
      <c r="N5" s="1070">
        <f>45*0.036</f>
        <v>1.6199999999999999</v>
      </c>
      <c r="O5" s="1071" t="s">
        <v>2884</v>
      </c>
      <c r="P5" s="1072">
        <f>+M5*N5</f>
        <v>0</v>
      </c>
      <c r="Q5" s="1069"/>
      <c r="R5" s="1070">
        <f>25*0.036</f>
        <v>0.89999999999999991</v>
      </c>
      <c r="S5" s="1071" t="s">
        <v>2912</v>
      </c>
      <c r="T5" s="1073">
        <f>+Q5*R5</f>
        <v>0</v>
      </c>
      <c r="U5" s="1074"/>
      <c r="V5" s="1075">
        <f>60*0.036</f>
        <v>2.1599999999999997</v>
      </c>
      <c r="W5" s="1076" t="s">
        <v>2915</v>
      </c>
      <c r="X5" s="1077">
        <f>+U5*V5</f>
        <v>0</v>
      </c>
      <c r="Y5" s="1087">
        <v>2</v>
      </c>
      <c r="Z5" s="1079">
        <v>1</v>
      </c>
      <c r="AA5" s="1080">
        <f>40*0.036+55*0.036</f>
        <v>3.42</v>
      </c>
      <c r="AB5" s="1080" t="s">
        <v>2998</v>
      </c>
      <c r="AC5" s="1078">
        <f>+Z5*AA5</f>
        <v>3.42</v>
      </c>
      <c r="AD5" s="1081">
        <v>2</v>
      </c>
      <c r="AE5" s="1082">
        <f>85*0.036</f>
        <v>3.0599999999999996</v>
      </c>
      <c r="AF5" s="1083" t="s">
        <v>3071</v>
      </c>
      <c r="AG5" s="1084">
        <f>+AD5*AE5</f>
        <v>6.1199999999999992</v>
      </c>
      <c r="AH5" s="172">
        <f>+ROUNDUP((X5+T5+L5+Y5+AC5+AG5)/5,0)*5</f>
        <v>15</v>
      </c>
      <c r="AI5" s="1085" t="s">
        <v>3305</v>
      </c>
      <c r="AK5" s="662">
        <v>0.1</v>
      </c>
      <c r="AL5" s="663" t="s">
        <v>195</v>
      </c>
      <c r="AM5" s="664">
        <v>0</v>
      </c>
      <c r="AN5" s="365">
        <v>6</v>
      </c>
      <c r="AO5" s="369">
        <v>1</v>
      </c>
    </row>
    <row r="6" spans="2:41">
      <c r="B6" s="662">
        <v>1</v>
      </c>
      <c r="C6" s="663" t="s">
        <v>193</v>
      </c>
      <c r="D6" s="664">
        <v>0.5</v>
      </c>
      <c r="E6" s="365">
        <f>AH6</f>
        <v>20</v>
      </c>
      <c r="F6" s="369">
        <v>1</v>
      </c>
      <c r="H6" s="1463"/>
      <c r="I6" s="1066">
        <v>1</v>
      </c>
      <c r="J6" s="1066">
        <f>85*0.036</f>
        <v>3.0599999999999996</v>
      </c>
      <c r="K6" s="1067" t="s">
        <v>2847</v>
      </c>
      <c r="L6" s="1068">
        <f>+I6*J6</f>
        <v>3.0599999999999996</v>
      </c>
      <c r="M6" s="1069"/>
      <c r="N6" s="1070">
        <f>45*0.036</f>
        <v>1.6199999999999999</v>
      </c>
      <c r="O6" s="1071" t="s">
        <v>2884</v>
      </c>
      <c r="P6" s="1072">
        <f>+M6*N6</f>
        <v>0</v>
      </c>
      <c r="Q6" s="1069">
        <v>2</v>
      </c>
      <c r="R6" s="1070">
        <f>25*0.036</f>
        <v>0.89999999999999991</v>
      </c>
      <c r="S6" s="1071" t="s">
        <v>2912</v>
      </c>
      <c r="T6" s="1073">
        <f>+Q6*R6</f>
        <v>1.7999999999999998</v>
      </c>
      <c r="U6" s="1074"/>
      <c r="V6" s="1075">
        <f>60*0.036</f>
        <v>2.1599999999999997</v>
      </c>
      <c r="W6" s="1076" t="s">
        <v>2915</v>
      </c>
      <c r="X6" s="1077">
        <f>+U6*V6</f>
        <v>0</v>
      </c>
      <c r="Y6" s="1087">
        <v>2</v>
      </c>
      <c r="Z6" s="1079">
        <v>1</v>
      </c>
      <c r="AA6" s="1080">
        <f>40*0.036+55*0.036</f>
        <v>3.42</v>
      </c>
      <c r="AB6" s="1080" t="s">
        <v>2998</v>
      </c>
      <c r="AC6" s="1078">
        <f>+Z6*AA6</f>
        <v>3.42</v>
      </c>
      <c r="AD6" s="1081">
        <v>2</v>
      </c>
      <c r="AE6" s="1082">
        <f>135*0.036</f>
        <v>4.8599999999999994</v>
      </c>
      <c r="AF6" s="1083" t="s">
        <v>3074</v>
      </c>
      <c r="AG6" s="1084">
        <f>+AD6*AE6</f>
        <v>9.7199999999999989</v>
      </c>
      <c r="AH6" s="172">
        <f>+ROUNDUP((X6+T6+L6+Y6+AC6+AG6)/5,0)*5</f>
        <v>20</v>
      </c>
      <c r="AI6" s="1085" t="s">
        <v>3305</v>
      </c>
      <c r="AK6" s="662">
        <v>0.5</v>
      </c>
      <c r="AL6" s="663" t="s">
        <v>194</v>
      </c>
      <c r="AM6" s="664">
        <v>0.1</v>
      </c>
      <c r="AN6" s="365">
        <v>12</v>
      </c>
      <c r="AO6" s="369">
        <v>1</v>
      </c>
    </row>
    <row r="7" spans="2:41">
      <c r="B7" s="662">
        <v>5</v>
      </c>
      <c r="C7" s="663" t="s">
        <v>3307</v>
      </c>
      <c r="D7" s="664">
        <v>1</v>
      </c>
      <c r="E7" s="365">
        <f>AH7</f>
        <v>35</v>
      </c>
      <c r="F7" s="369">
        <v>1</v>
      </c>
      <c r="H7" s="1463"/>
      <c r="I7" s="1066">
        <v>1</v>
      </c>
      <c r="J7" s="1066">
        <f>85*0.036</f>
        <v>3.0599999999999996</v>
      </c>
      <c r="K7" s="1067" t="s">
        <v>2847</v>
      </c>
      <c r="L7" s="1068">
        <f>+I7*J7</f>
        <v>3.0599999999999996</v>
      </c>
      <c r="M7" s="1069">
        <v>1</v>
      </c>
      <c r="N7" s="1070">
        <f>45*0.036</f>
        <v>1.6199999999999999</v>
      </c>
      <c r="O7" s="1071" t="s">
        <v>2884</v>
      </c>
      <c r="P7" s="1072">
        <f>+M7*N7</f>
        <v>1.6199999999999999</v>
      </c>
      <c r="Q7" s="1069">
        <v>4</v>
      </c>
      <c r="R7" s="1070">
        <f>25*0.036</f>
        <v>0.89999999999999991</v>
      </c>
      <c r="S7" s="1071" t="s">
        <v>2912</v>
      </c>
      <c r="T7" s="1073">
        <f>+Q7*R7</f>
        <v>3.5999999999999996</v>
      </c>
      <c r="U7" s="1074">
        <v>1</v>
      </c>
      <c r="V7" s="1075">
        <f>60*0.036</f>
        <v>2.1599999999999997</v>
      </c>
      <c r="W7" s="1076" t="s">
        <v>2915</v>
      </c>
      <c r="X7" s="1077">
        <f>+U7*V7</f>
        <v>2.1599999999999997</v>
      </c>
      <c r="Y7" s="1087">
        <v>3</v>
      </c>
      <c r="Z7" s="1079">
        <v>1</v>
      </c>
      <c r="AA7" s="1080">
        <f>145*0.036+55*0.036</f>
        <v>7.1999999999999993</v>
      </c>
      <c r="AB7" s="1086" t="s">
        <v>3001</v>
      </c>
      <c r="AC7" s="1078">
        <f>+Z7*AA7</f>
        <v>7.1999999999999993</v>
      </c>
      <c r="AD7" s="1081">
        <v>3</v>
      </c>
      <c r="AE7" s="1082">
        <f>135*0.036</f>
        <v>4.8599999999999994</v>
      </c>
      <c r="AF7" s="1083" t="s">
        <v>3074</v>
      </c>
      <c r="AG7" s="1084">
        <f>+AD7*AE7</f>
        <v>14.579999999999998</v>
      </c>
      <c r="AH7" s="172">
        <f>+ROUNDUP((X7+T7+L7+Y7+AC7+AG7)/5,0)*5</f>
        <v>35</v>
      </c>
      <c r="AI7" s="1085" t="s">
        <v>3305</v>
      </c>
      <c r="AK7" s="662">
        <v>1</v>
      </c>
      <c r="AL7" s="663" t="s">
        <v>193</v>
      </c>
      <c r="AM7" s="664">
        <v>0.5</v>
      </c>
      <c r="AN7" s="365">
        <v>16</v>
      </c>
      <c r="AO7" s="369">
        <v>1</v>
      </c>
    </row>
    <row r="8" spans="2:41">
      <c r="B8" s="662">
        <v>10</v>
      </c>
      <c r="C8" s="663" t="s">
        <v>3308</v>
      </c>
      <c r="D8" s="664">
        <v>8</v>
      </c>
      <c r="E8" s="365">
        <f>AH8</f>
        <v>55</v>
      </c>
      <c r="F8" s="369">
        <v>1</v>
      </c>
      <c r="H8" s="1463"/>
      <c r="I8" s="1066">
        <v>1</v>
      </c>
      <c r="J8" s="1066">
        <f>160*0.036</f>
        <v>5.76</v>
      </c>
      <c r="K8" s="1067" t="s">
        <v>2848</v>
      </c>
      <c r="L8" s="1068">
        <f>+I8*J8</f>
        <v>5.76</v>
      </c>
      <c r="M8" s="1069">
        <v>1</v>
      </c>
      <c r="N8" s="1070">
        <f>45*0.036</f>
        <v>1.6199999999999999</v>
      </c>
      <c r="O8" s="1071" t="s">
        <v>2884</v>
      </c>
      <c r="P8" s="1072">
        <f>+M8*N8</f>
        <v>1.6199999999999999</v>
      </c>
      <c r="Q8" s="1069">
        <v>8</v>
      </c>
      <c r="R8" s="1070">
        <f>25*0.036</f>
        <v>0.89999999999999991</v>
      </c>
      <c r="S8" s="1071" t="s">
        <v>2912</v>
      </c>
      <c r="T8" s="1073">
        <f>+Q8*R8</f>
        <v>7.1999999999999993</v>
      </c>
      <c r="U8" s="1074">
        <v>1</v>
      </c>
      <c r="V8" s="1075">
        <f>60*0.036</f>
        <v>2.1599999999999997</v>
      </c>
      <c r="W8" s="1076" t="s">
        <v>2915</v>
      </c>
      <c r="X8" s="1077">
        <f>+U8*V8</f>
        <v>2.1599999999999997</v>
      </c>
      <c r="Y8" s="1087">
        <v>3</v>
      </c>
      <c r="Z8" s="1080">
        <v>2</v>
      </c>
      <c r="AA8" s="1080">
        <f>145*0.036+55*0.036</f>
        <v>7.1999999999999993</v>
      </c>
      <c r="AB8" s="1086" t="s">
        <v>3001</v>
      </c>
      <c r="AC8" s="1078">
        <f>+Z8*AA8</f>
        <v>14.399999999999999</v>
      </c>
      <c r="AD8" s="1081">
        <v>4</v>
      </c>
      <c r="AE8" s="1082">
        <f>135*0.036</f>
        <v>4.8599999999999994</v>
      </c>
      <c r="AF8" s="1083" t="s">
        <v>3074</v>
      </c>
      <c r="AG8" s="1084">
        <f>+AD8*AE8</f>
        <v>19.439999999999998</v>
      </c>
      <c r="AH8" s="172">
        <f>+ROUNDUP((X8+T8+L8+Y8+AC8+AG8)/5,0)*5</f>
        <v>55</v>
      </c>
      <c r="AI8" s="1085" t="s">
        <v>3305</v>
      </c>
      <c r="AK8" s="662">
        <v>5</v>
      </c>
      <c r="AL8" s="663" t="s">
        <v>192</v>
      </c>
      <c r="AM8" s="664">
        <v>1</v>
      </c>
      <c r="AN8" s="365">
        <v>30</v>
      </c>
      <c r="AO8" s="369">
        <v>1</v>
      </c>
    </row>
    <row r="9" spans="2:41" ht="13.5" thickBot="1">
      <c r="B9" s="665">
        <v>22</v>
      </c>
      <c r="C9" s="666" t="s">
        <v>3309</v>
      </c>
      <c r="D9" s="667">
        <v>22</v>
      </c>
      <c r="E9" s="367">
        <f>AH9</f>
        <v>130</v>
      </c>
      <c r="F9" s="370">
        <v>1</v>
      </c>
      <c r="H9" s="1463"/>
      <c r="I9" s="1066">
        <v>2</v>
      </c>
      <c r="J9" s="1066">
        <f>160*0.036</f>
        <v>5.76</v>
      </c>
      <c r="K9" s="1067" t="s">
        <v>2848</v>
      </c>
      <c r="L9" s="1068">
        <f>+I9*J9</f>
        <v>11.52</v>
      </c>
      <c r="M9" s="1069">
        <v>2</v>
      </c>
      <c r="N9" s="1070">
        <f>45*0.036</f>
        <v>1.6199999999999999</v>
      </c>
      <c r="O9" s="1071" t="s">
        <v>2884</v>
      </c>
      <c r="P9" s="1072">
        <f>+M9*N9</f>
        <v>3.2399999999999998</v>
      </c>
      <c r="Q9" s="1069">
        <v>10</v>
      </c>
      <c r="R9" s="1070">
        <f>25*0.036</f>
        <v>0.89999999999999991</v>
      </c>
      <c r="S9" s="1071" t="s">
        <v>2912</v>
      </c>
      <c r="T9" s="1073">
        <f>+Q9*R9</f>
        <v>9</v>
      </c>
      <c r="U9" s="1074">
        <v>2</v>
      </c>
      <c r="V9" s="1075">
        <f>60*0.036</f>
        <v>2.1599999999999997</v>
      </c>
      <c r="W9" s="1076" t="s">
        <v>2915</v>
      </c>
      <c r="X9" s="1077">
        <f>+U9*V9</f>
        <v>4.3199999999999994</v>
      </c>
      <c r="Y9" s="1087">
        <v>5</v>
      </c>
      <c r="Z9" s="1080">
        <v>3</v>
      </c>
      <c r="AA9" s="1080">
        <f>145*0.036+55*0.036</f>
        <v>7.1999999999999993</v>
      </c>
      <c r="AB9" s="1086" t="s">
        <v>3001</v>
      </c>
      <c r="AC9" s="1078">
        <f>+Z9*AA9</f>
        <v>21.599999999999998</v>
      </c>
      <c r="AD9" s="1081">
        <v>3</v>
      </c>
      <c r="AE9" s="1081">
        <f>(650+55)*0.036</f>
        <v>25.38</v>
      </c>
      <c r="AF9" s="1083" t="s">
        <v>3068</v>
      </c>
      <c r="AG9" s="1084">
        <f>+AD9*AE9</f>
        <v>76.14</v>
      </c>
      <c r="AH9" s="172">
        <f>+ROUNDUP((X9+T9+L9+Y9+AC9+AG9)/5,0)*5</f>
        <v>130</v>
      </c>
      <c r="AI9" s="1085" t="s">
        <v>3305</v>
      </c>
      <c r="AK9" s="662">
        <v>10</v>
      </c>
      <c r="AL9" s="663" t="s">
        <v>191</v>
      </c>
      <c r="AM9" s="664">
        <v>5</v>
      </c>
      <c r="AN9" s="365">
        <v>60</v>
      </c>
      <c r="AO9" s="369">
        <v>1</v>
      </c>
    </row>
    <row r="10" spans="2:41">
      <c r="AK10" s="662">
        <v>50</v>
      </c>
      <c r="AL10" s="663" t="s">
        <v>190</v>
      </c>
      <c r="AM10" s="664">
        <v>10</v>
      </c>
      <c r="AN10" s="365">
        <v>120</v>
      </c>
      <c r="AO10" s="369">
        <v>1</v>
      </c>
    </row>
    <row r="11" spans="2:41">
      <c r="AK11" s="662">
        <v>100</v>
      </c>
      <c r="AL11" s="663" t="s">
        <v>189</v>
      </c>
      <c r="AM11" s="664">
        <v>50</v>
      </c>
      <c r="AN11" s="365">
        <v>360</v>
      </c>
      <c r="AO11" s="369">
        <v>2</v>
      </c>
    </row>
    <row r="12" spans="2:41">
      <c r="AK12" s="662">
        <v>500</v>
      </c>
      <c r="AL12" s="663" t="s">
        <v>188</v>
      </c>
      <c r="AM12" s="664">
        <v>100</v>
      </c>
      <c r="AN12" s="365">
        <v>720</v>
      </c>
      <c r="AO12" s="369">
        <v>2</v>
      </c>
    </row>
    <row r="13" spans="2:41">
      <c r="AK13" s="662">
        <v>1000</v>
      </c>
      <c r="AL13" s="663" t="s">
        <v>187</v>
      </c>
      <c r="AM13" s="664">
        <v>500</v>
      </c>
      <c r="AN13" s="365">
        <v>1800</v>
      </c>
      <c r="AO13" s="369">
        <v>2</v>
      </c>
    </row>
    <row r="14" spans="2:41">
      <c r="AK14" s="662">
        <v>5000</v>
      </c>
      <c r="AL14" s="663" t="s">
        <v>186</v>
      </c>
      <c r="AM14" s="664">
        <v>1000</v>
      </c>
      <c r="AN14" s="365">
        <v>3600</v>
      </c>
      <c r="AO14" s="369">
        <v>3</v>
      </c>
    </row>
    <row r="15" spans="2:41">
      <c r="AK15" s="662">
        <v>10000</v>
      </c>
      <c r="AL15" s="663" t="s">
        <v>185</v>
      </c>
      <c r="AM15" s="664">
        <v>5000</v>
      </c>
      <c r="AN15" s="365">
        <v>7200</v>
      </c>
      <c r="AO15" s="369">
        <v>3</v>
      </c>
    </row>
    <row r="16" spans="2:41">
      <c r="AK16" s="662">
        <v>100000</v>
      </c>
      <c r="AL16" s="663" t="s">
        <v>184</v>
      </c>
      <c r="AM16" s="664">
        <v>10000</v>
      </c>
      <c r="AN16" s="365">
        <v>12600</v>
      </c>
      <c r="AO16" s="369">
        <v>3</v>
      </c>
    </row>
    <row r="17" spans="2:41" ht="13.5" thickBot="1">
      <c r="AK17" s="665"/>
      <c r="AL17" s="666"/>
      <c r="AM17" s="667">
        <v>100000</v>
      </c>
      <c r="AN17" s="367"/>
      <c r="AO17" s="370"/>
    </row>
    <row r="18" spans="2:41" ht="51.75">
      <c r="I18" s="1464" t="s">
        <v>3288</v>
      </c>
      <c r="J18" s="1464"/>
      <c r="K18" s="1464"/>
      <c r="L18" s="1464"/>
      <c r="M18" s="1465" t="s">
        <v>3289</v>
      </c>
      <c r="N18" s="1465"/>
      <c r="O18" s="1465"/>
      <c r="P18" s="1465"/>
      <c r="Q18" s="1465" t="s">
        <v>3290</v>
      </c>
      <c r="R18" s="1465"/>
      <c r="S18" s="1465"/>
      <c r="T18" s="1465"/>
      <c r="U18" s="1466" t="s">
        <v>3291</v>
      </c>
      <c r="V18" s="1466"/>
      <c r="W18" s="1466"/>
      <c r="X18" s="1466"/>
      <c r="Y18" s="1093" t="s">
        <v>3303</v>
      </c>
      <c r="Z18" s="1453" t="s">
        <v>3292</v>
      </c>
      <c r="AA18" s="1453"/>
      <c r="AB18" s="1453"/>
      <c r="AC18" s="1453"/>
      <c r="AD18" s="1454" t="s">
        <v>3293</v>
      </c>
      <c r="AE18" s="1454"/>
      <c r="AF18" s="1454"/>
      <c r="AG18" s="1454"/>
      <c r="AH18" s="1455" t="s">
        <v>3294</v>
      </c>
      <c r="AI18" s="1459" t="s">
        <v>3295</v>
      </c>
      <c r="AK18" s="1088"/>
      <c r="AO18" s="1089"/>
    </row>
    <row r="19" spans="2:41" ht="13.5" thickBot="1">
      <c r="E19" s="1467" t="s">
        <v>199</v>
      </c>
      <c r="F19" s="1468"/>
      <c r="I19" s="1460" t="s">
        <v>3296</v>
      </c>
      <c r="J19" s="1460" t="s">
        <v>3297</v>
      </c>
      <c r="K19" s="1460" t="s">
        <v>3298</v>
      </c>
      <c r="L19" s="1460" t="s">
        <v>3299</v>
      </c>
      <c r="M19" s="1461" t="s">
        <v>3296</v>
      </c>
      <c r="N19" s="1461" t="s">
        <v>3297</v>
      </c>
      <c r="O19" s="1461" t="s">
        <v>3298</v>
      </c>
      <c r="P19" s="1461" t="s">
        <v>3299</v>
      </c>
      <c r="Q19" s="1461" t="s">
        <v>3296</v>
      </c>
      <c r="R19" s="1461" t="s">
        <v>3297</v>
      </c>
      <c r="S19" s="1461" t="s">
        <v>3298</v>
      </c>
      <c r="T19" s="1461" t="s">
        <v>3299</v>
      </c>
      <c r="U19" s="1462" t="s">
        <v>3296</v>
      </c>
      <c r="V19" s="1462" t="s">
        <v>3297</v>
      </c>
      <c r="W19" s="1462" t="s">
        <v>3298</v>
      </c>
      <c r="X19" s="1462" t="s">
        <v>3299</v>
      </c>
      <c r="Y19" s="1451" t="s">
        <v>3299</v>
      </c>
      <c r="Z19" s="1452" t="s">
        <v>3296</v>
      </c>
      <c r="AA19" s="1452" t="s">
        <v>3297</v>
      </c>
      <c r="AB19" s="1452" t="s">
        <v>3298</v>
      </c>
      <c r="AC19" s="1452" t="s">
        <v>3299</v>
      </c>
      <c r="AD19" s="1458" t="s">
        <v>3296</v>
      </c>
      <c r="AE19" s="1458" t="s">
        <v>3297</v>
      </c>
      <c r="AF19" s="1458" t="s">
        <v>3298</v>
      </c>
      <c r="AG19" s="1458" t="s">
        <v>3299</v>
      </c>
      <c r="AH19" s="1456"/>
      <c r="AI19" s="1459"/>
      <c r="AK19" s="1088"/>
      <c r="AN19" s="1467" t="s">
        <v>199</v>
      </c>
      <c r="AO19" s="1469"/>
    </row>
    <row r="20" spans="2:41" ht="25.5">
      <c r="B20" s="668" t="s">
        <v>198</v>
      </c>
      <c r="C20" s="669" t="s">
        <v>197</v>
      </c>
      <c r="D20" s="670"/>
      <c r="E20" s="671" t="s">
        <v>196</v>
      </c>
      <c r="F20" s="672" t="s">
        <v>75</v>
      </c>
      <c r="I20" s="1460"/>
      <c r="J20" s="1460"/>
      <c r="K20" s="1460"/>
      <c r="L20" s="1460"/>
      <c r="M20" s="1461"/>
      <c r="N20" s="1461"/>
      <c r="O20" s="1461"/>
      <c r="P20" s="1461"/>
      <c r="Q20" s="1461"/>
      <c r="R20" s="1461"/>
      <c r="S20" s="1461"/>
      <c r="T20" s="1461"/>
      <c r="U20" s="1462"/>
      <c r="V20" s="1462"/>
      <c r="W20" s="1462"/>
      <c r="X20" s="1462"/>
      <c r="Y20" s="1451"/>
      <c r="Z20" s="1452"/>
      <c r="AA20" s="1452"/>
      <c r="AB20" s="1452"/>
      <c r="AC20" s="1452"/>
      <c r="AD20" s="1458"/>
      <c r="AE20" s="1458"/>
      <c r="AF20" s="1458"/>
      <c r="AG20" s="1458"/>
      <c r="AH20" s="1457"/>
      <c r="AI20" s="1459"/>
      <c r="AK20" s="668" t="s">
        <v>198</v>
      </c>
      <c r="AL20" s="669" t="s">
        <v>197</v>
      </c>
      <c r="AM20" s="670"/>
      <c r="AN20" s="671" t="s">
        <v>196</v>
      </c>
      <c r="AO20" s="673" t="s">
        <v>75</v>
      </c>
    </row>
    <row r="21" spans="2:41">
      <c r="B21" s="662">
        <v>0.1</v>
      </c>
      <c r="C21" s="663" t="s">
        <v>3306</v>
      </c>
      <c r="D21" s="664">
        <v>0</v>
      </c>
      <c r="E21" s="365">
        <f>AH21</f>
        <v>3</v>
      </c>
      <c r="F21" s="366">
        <v>1</v>
      </c>
      <c r="H21" s="1463" t="s">
        <v>3304</v>
      </c>
      <c r="I21" s="1066">
        <v>1</v>
      </c>
      <c r="J21" s="1066">
        <f>70*0.036</f>
        <v>2.52</v>
      </c>
      <c r="K21" s="1067" t="s">
        <v>3300</v>
      </c>
      <c r="L21" s="1068">
        <f>+I21*J21</f>
        <v>2.52</v>
      </c>
      <c r="M21" s="1069"/>
      <c r="N21" s="1070">
        <f>45*0.036</f>
        <v>1.6199999999999999</v>
      </c>
      <c r="O21" s="1071" t="s">
        <v>2884</v>
      </c>
      <c r="P21" s="1072">
        <f>+M21*N21</f>
        <v>0</v>
      </c>
      <c r="Q21" s="1069"/>
      <c r="R21" s="1070">
        <f>25*0.036</f>
        <v>0.89999999999999991</v>
      </c>
      <c r="S21" s="1071" t="s">
        <v>2912</v>
      </c>
      <c r="T21" s="1073">
        <f>+Q21*R21</f>
        <v>0</v>
      </c>
      <c r="U21" s="1074"/>
      <c r="V21" s="1075">
        <f>60*0.036</f>
        <v>2.1599999999999997</v>
      </c>
      <c r="W21" s="1076" t="s">
        <v>2915</v>
      </c>
      <c r="X21" s="1077">
        <f>+U21*V21</f>
        <v>0</v>
      </c>
      <c r="Y21" s="1087"/>
      <c r="Z21" s="1079"/>
      <c r="AA21" s="1080"/>
      <c r="AB21" s="1080"/>
      <c r="AC21" s="1078"/>
      <c r="AD21" s="1081"/>
      <c r="AE21" s="1082"/>
      <c r="AF21" s="1083"/>
      <c r="AG21" s="1084"/>
      <c r="AH21" s="172">
        <f>+ROUNDUP(X21+T21+L21+Y21+AC21+AG21,0)</f>
        <v>3</v>
      </c>
      <c r="AI21" s="1085" t="s">
        <v>3301</v>
      </c>
      <c r="AK21" s="662">
        <v>0.1</v>
      </c>
      <c r="AL21" s="663" t="s">
        <v>195</v>
      </c>
      <c r="AM21" s="664">
        <v>0</v>
      </c>
      <c r="AN21" s="365">
        <v>3</v>
      </c>
      <c r="AO21" s="369">
        <v>1</v>
      </c>
    </row>
    <row r="22" spans="2:41">
      <c r="B22" s="662">
        <v>1</v>
      </c>
      <c r="C22" s="663" t="s">
        <v>193</v>
      </c>
      <c r="D22" s="664">
        <v>0.5</v>
      </c>
      <c r="E22" s="365">
        <f>AH22</f>
        <v>5</v>
      </c>
      <c r="F22" s="366">
        <v>1</v>
      </c>
      <c r="H22" s="1463"/>
      <c r="I22" s="1066">
        <v>1</v>
      </c>
      <c r="J22" s="1066">
        <f>85*0.036</f>
        <v>3.0599999999999996</v>
      </c>
      <c r="K22" s="1067" t="s">
        <v>2847</v>
      </c>
      <c r="L22" s="1068">
        <f>+I22*J22</f>
        <v>3.0599999999999996</v>
      </c>
      <c r="M22" s="1069"/>
      <c r="N22" s="1070">
        <f>45*0.036</f>
        <v>1.6199999999999999</v>
      </c>
      <c r="O22" s="1071" t="s">
        <v>2884</v>
      </c>
      <c r="P22" s="1072">
        <f>+M22*N22</f>
        <v>0</v>
      </c>
      <c r="Q22" s="1069">
        <v>2</v>
      </c>
      <c r="R22" s="1070">
        <f>25*0.036</f>
        <v>0.89999999999999991</v>
      </c>
      <c r="S22" s="1071" t="s">
        <v>2912</v>
      </c>
      <c r="T22" s="1073">
        <f>+Q22*R22</f>
        <v>1.7999999999999998</v>
      </c>
      <c r="U22" s="1074"/>
      <c r="V22" s="1075">
        <f>60*0.036</f>
        <v>2.1599999999999997</v>
      </c>
      <c r="W22" s="1076" t="s">
        <v>2915</v>
      </c>
      <c r="X22" s="1077">
        <f>+U22*V22</f>
        <v>0</v>
      </c>
      <c r="Y22" s="1087"/>
      <c r="Z22" s="1079"/>
      <c r="AA22" s="1080"/>
      <c r="AB22" s="1086"/>
      <c r="AC22" s="1078"/>
      <c r="AD22" s="1081"/>
      <c r="AE22" s="1082"/>
      <c r="AF22" s="1083"/>
      <c r="AG22" s="1084"/>
      <c r="AH22" s="172">
        <f>+ROUNDUP(X22+T22+L22+Y22+AC22+AG22,0)</f>
        <v>5</v>
      </c>
      <c r="AI22" s="1085" t="s">
        <v>3301</v>
      </c>
      <c r="AK22" s="662">
        <v>0.5</v>
      </c>
      <c r="AL22" s="663" t="s">
        <v>194</v>
      </c>
      <c r="AM22" s="664">
        <v>0.1</v>
      </c>
      <c r="AN22" s="365">
        <v>6</v>
      </c>
      <c r="AO22" s="369">
        <v>1</v>
      </c>
    </row>
    <row r="23" spans="2:41">
      <c r="B23" s="662">
        <v>5</v>
      </c>
      <c r="C23" s="663" t="s">
        <v>3307</v>
      </c>
      <c r="D23" s="664">
        <v>1</v>
      </c>
      <c r="E23" s="365">
        <f>AH23</f>
        <v>9</v>
      </c>
      <c r="F23" s="366">
        <v>1</v>
      </c>
      <c r="H23" s="1463"/>
      <c r="I23" s="1066">
        <v>1</v>
      </c>
      <c r="J23" s="1066">
        <f>85*0.036</f>
        <v>3.0599999999999996</v>
      </c>
      <c r="K23" s="1067" t="s">
        <v>2847</v>
      </c>
      <c r="L23" s="1068">
        <f>+I23*J23</f>
        <v>3.0599999999999996</v>
      </c>
      <c r="M23" s="1069">
        <v>1</v>
      </c>
      <c r="N23" s="1070">
        <f>45*0.036</f>
        <v>1.6199999999999999</v>
      </c>
      <c r="O23" s="1071" t="s">
        <v>2884</v>
      </c>
      <c r="P23" s="1072">
        <f>+M23*N23</f>
        <v>1.6199999999999999</v>
      </c>
      <c r="Q23" s="1069">
        <v>4</v>
      </c>
      <c r="R23" s="1070">
        <f>25*0.036</f>
        <v>0.89999999999999991</v>
      </c>
      <c r="S23" s="1071" t="s">
        <v>2912</v>
      </c>
      <c r="T23" s="1073">
        <f>+Q23*R23</f>
        <v>3.5999999999999996</v>
      </c>
      <c r="U23" s="1074">
        <v>1</v>
      </c>
      <c r="V23" s="1075">
        <f>60*0.036</f>
        <v>2.1599999999999997</v>
      </c>
      <c r="W23" s="1076" t="s">
        <v>2915</v>
      </c>
      <c r="X23" s="1077">
        <f>+U23*V23</f>
        <v>2.1599999999999997</v>
      </c>
      <c r="Y23" s="1087"/>
      <c r="Z23" s="1079"/>
      <c r="AA23" s="1080"/>
      <c r="AB23" s="1086"/>
      <c r="AC23" s="1078"/>
      <c r="AD23" s="1081"/>
      <c r="AE23" s="1082"/>
      <c r="AF23" s="1083"/>
      <c r="AG23" s="1084"/>
      <c r="AH23" s="172">
        <f>+ROUNDUP(X23+T23+L23+Y23+AC23+AG23,0)</f>
        <v>9</v>
      </c>
      <c r="AI23" s="1085" t="s">
        <v>3301</v>
      </c>
      <c r="AK23" s="662">
        <v>1</v>
      </c>
      <c r="AL23" s="663" t="s">
        <v>193</v>
      </c>
      <c r="AM23" s="664">
        <v>0.5</v>
      </c>
      <c r="AN23" s="365">
        <v>10</v>
      </c>
      <c r="AO23" s="369">
        <v>1</v>
      </c>
    </row>
    <row r="24" spans="2:41">
      <c r="B24" s="662">
        <v>10</v>
      </c>
      <c r="C24" s="663" t="s">
        <v>3308</v>
      </c>
      <c r="D24" s="664">
        <v>8</v>
      </c>
      <c r="E24" s="365">
        <f>AH24</f>
        <v>16</v>
      </c>
      <c r="F24" s="366">
        <v>1</v>
      </c>
      <c r="H24" s="1463"/>
      <c r="I24" s="1066">
        <v>1</v>
      </c>
      <c r="J24" s="1066">
        <f>160*0.036</f>
        <v>5.76</v>
      </c>
      <c r="K24" s="1067" t="s">
        <v>2848</v>
      </c>
      <c r="L24" s="1068">
        <f>+I24*J24</f>
        <v>5.76</v>
      </c>
      <c r="M24" s="1069">
        <v>1</v>
      </c>
      <c r="N24" s="1070">
        <f>45*0.036</f>
        <v>1.6199999999999999</v>
      </c>
      <c r="O24" s="1071" t="s">
        <v>2884</v>
      </c>
      <c r="P24" s="1072">
        <f>+M24*N24</f>
        <v>1.6199999999999999</v>
      </c>
      <c r="Q24" s="1069">
        <v>8</v>
      </c>
      <c r="R24" s="1070">
        <f>25*0.036</f>
        <v>0.89999999999999991</v>
      </c>
      <c r="S24" s="1071" t="s">
        <v>2912</v>
      </c>
      <c r="T24" s="1073">
        <f>+Q24*R24</f>
        <v>7.1999999999999993</v>
      </c>
      <c r="U24" s="1074">
        <v>1</v>
      </c>
      <c r="V24" s="1075">
        <f>60*0.036</f>
        <v>2.1599999999999997</v>
      </c>
      <c r="W24" s="1076" t="s">
        <v>2915</v>
      </c>
      <c r="X24" s="1077">
        <f>+U24*V24</f>
        <v>2.1599999999999997</v>
      </c>
      <c r="Y24" s="1087"/>
      <c r="Z24" s="1079"/>
      <c r="AA24" s="1080"/>
      <c r="AB24" s="1086"/>
      <c r="AC24" s="1078"/>
      <c r="AD24" s="1081"/>
      <c r="AE24" s="1082"/>
      <c r="AF24" s="1083"/>
      <c r="AG24" s="1084"/>
      <c r="AH24" s="172">
        <f>+ROUNDUP(X24+T24+L24+Y24+AC24+AG24,0)</f>
        <v>16</v>
      </c>
      <c r="AI24" s="1085" t="s">
        <v>3301</v>
      </c>
      <c r="AK24" s="662">
        <v>5</v>
      </c>
      <c r="AL24" s="663" t="s">
        <v>192</v>
      </c>
      <c r="AM24" s="664">
        <v>1</v>
      </c>
      <c r="AN24" s="365">
        <v>15</v>
      </c>
      <c r="AO24" s="369">
        <v>1</v>
      </c>
    </row>
    <row r="25" spans="2:41" ht="13.5" thickBot="1">
      <c r="B25" s="665">
        <v>22</v>
      </c>
      <c r="C25" s="666" t="s">
        <v>3309</v>
      </c>
      <c r="D25" s="667">
        <v>22</v>
      </c>
      <c r="E25" s="367">
        <f>AH25</f>
        <v>25</v>
      </c>
      <c r="F25" s="368">
        <v>1</v>
      </c>
      <c r="H25" s="1463"/>
      <c r="I25" s="1066">
        <v>2</v>
      </c>
      <c r="J25" s="1066">
        <f>160*0.036</f>
        <v>5.76</v>
      </c>
      <c r="K25" s="1067" t="s">
        <v>2848</v>
      </c>
      <c r="L25" s="1068">
        <f>+I25*J25</f>
        <v>11.52</v>
      </c>
      <c r="M25" s="1069">
        <v>2</v>
      </c>
      <c r="N25" s="1070">
        <f>45*0.036</f>
        <v>1.6199999999999999</v>
      </c>
      <c r="O25" s="1071" t="s">
        <v>2884</v>
      </c>
      <c r="P25" s="1072">
        <f>+M25*N25</f>
        <v>3.2399999999999998</v>
      </c>
      <c r="Q25" s="1069">
        <v>10</v>
      </c>
      <c r="R25" s="1070">
        <f>25*0.036</f>
        <v>0.89999999999999991</v>
      </c>
      <c r="S25" s="1071" t="s">
        <v>2912</v>
      </c>
      <c r="T25" s="1073">
        <f>+Q25*R25</f>
        <v>9</v>
      </c>
      <c r="U25" s="1074">
        <v>2</v>
      </c>
      <c r="V25" s="1075">
        <f>60*0.036</f>
        <v>2.1599999999999997</v>
      </c>
      <c r="W25" s="1076" t="s">
        <v>2915</v>
      </c>
      <c r="X25" s="1077">
        <f>+U25*V25</f>
        <v>4.3199999999999994</v>
      </c>
      <c r="Y25" s="1087"/>
      <c r="Z25" s="1079"/>
      <c r="AA25" s="1080"/>
      <c r="AB25" s="1086"/>
      <c r="AC25" s="1078"/>
      <c r="AD25" s="1081"/>
      <c r="AE25" s="1082"/>
      <c r="AF25" s="1083"/>
      <c r="AG25" s="1084"/>
      <c r="AH25" s="172">
        <f>+ROUNDUP(X25+T25+L25+Y25+AC25+AG25,0)</f>
        <v>25</v>
      </c>
      <c r="AI25" s="1085" t="s">
        <v>3301</v>
      </c>
      <c r="AK25" s="662">
        <v>10</v>
      </c>
      <c r="AL25" s="663" t="s">
        <v>191</v>
      </c>
      <c r="AM25" s="664">
        <v>5</v>
      </c>
      <c r="AN25" s="365">
        <v>30</v>
      </c>
      <c r="AO25" s="369">
        <v>1</v>
      </c>
    </row>
    <row r="26" spans="2:41">
      <c r="AK26" s="662">
        <v>50</v>
      </c>
      <c r="AL26" s="663" t="s">
        <v>190</v>
      </c>
      <c r="AM26" s="664">
        <v>10</v>
      </c>
      <c r="AN26" s="365">
        <v>45</v>
      </c>
      <c r="AO26" s="369">
        <v>1</v>
      </c>
    </row>
    <row r="27" spans="2:41">
      <c r="AK27" s="662">
        <v>100</v>
      </c>
      <c r="AL27" s="663" t="s">
        <v>189</v>
      </c>
      <c r="AM27" s="664">
        <v>50</v>
      </c>
      <c r="AN27" s="365">
        <v>90</v>
      </c>
      <c r="AO27" s="369">
        <v>1</v>
      </c>
    </row>
    <row r="28" spans="2:41">
      <c r="AK28" s="662">
        <v>500</v>
      </c>
      <c r="AL28" s="663" t="s">
        <v>188</v>
      </c>
      <c r="AM28" s="664">
        <v>100</v>
      </c>
      <c r="AN28" s="365">
        <v>180</v>
      </c>
      <c r="AO28" s="369">
        <v>1</v>
      </c>
    </row>
    <row r="29" spans="2:41">
      <c r="AK29" s="662">
        <v>1000</v>
      </c>
      <c r="AL29" s="663" t="s">
        <v>187</v>
      </c>
      <c r="AM29" s="664">
        <v>500</v>
      </c>
      <c r="AN29" s="365">
        <v>360</v>
      </c>
      <c r="AO29" s="369">
        <v>2</v>
      </c>
    </row>
    <row r="30" spans="2:41">
      <c r="AK30" s="662">
        <v>5000</v>
      </c>
      <c r="AL30" s="663" t="s">
        <v>186</v>
      </c>
      <c r="AM30" s="664">
        <v>1000</v>
      </c>
      <c r="AN30" s="365">
        <v>720</v>
      </c>
      <c r="AO30" s="369">
        <v>2</v>
      </c>
    </row>
    <row r="31" spans="2:41">
      <c r="AK31" s="662">
        <v>10000</v>
      </c>
      <c r="AL31" s="663" t="s">
        <v>185</v>
      </c>
      <c r="AM31" s="664">
        <v>5000</v>
      </c>
      <c r="AN31" s="365">
        <v>1200</v>
      </c>
      <c r="AO31" s="369">
        <v>3</v>
      </c>
    </row>
    <row r="32" spans="2:41">
      <c r="AK32" s="662">
        <v>100000</v>
      </c>
      <c r="AL32" s="663" t="s">
        <v>184</v>
      </c>
      <c r="AM32" s="664">
        <v>10000</v>
      </c>
      <c r="AN32" s="365">
        <v>1800</v>
      </c>
      <c r="AO32" s="369">
        <v>3</v>
      </c>
    </row>
    <row r="33" spans="37:41" ht="13.5" thickBot="1">
      <c r="AK33" s="665"/>
      <c r="AL33" s="666"/>
      <c r="AM33" s="667">
        <v>100000</v>
      </c>
      <c r="AN33" s="367"/>
      <c r="AO33" s="370"/>
    </row>
  </sheetData>
  <mergeCells count="72">
    <mergeCell ref="E19:F19"/>
    <mergeCell ref="E3:F3"/>
    <mergeCell ref="AN3:AO3"/>
    <mergeCell ref="AN19:AO19"/>
    <mergeCell ref="I18:L18"/>
    <mergeCell ref="M18:P18"/>
    <mergeCell ref="Q18:T18"/>
    <mergeCell ref="U18:X18"/>
    <mergeCell ref="Z18:AC18"/>
    <mergeCell ref="AD18:AG18"/>
    <mergeCell ref="AI18:AI20"/>
    <mergeCell ref="I19:I20"/>
    <mergeCell ref="J19:J20"/>
    <mergeCell ref="K19:K20"/>
    <mergeCell ref="L19:L20"/>
    <mergeCell ref="M19:M20"/>
    <mergeCell ref="Y19:Y20"/>
    <mergeCell ref="Z19:Z20"/>
    <mergeCell ref="AA19:AA20"/>
    <mergeCell ref="AB19:AB20"/>
    <mergeCell ref="S19:S20"/>
    <mergeCell ref="T19:T20"/>
    <mergeCell ref="U19:U20"/>
    <mergeCell ref="V19:V20"/>
    <mergeCell ref="W19:W20"/>
    <mergeCell ref="H21:H25"/>
    <mergeCell ref="I2:L2"/>
    <mergeCell ref="M2:P2"/>
    <mergeCell ref="Q2:T2"/>
    <mergeCell ref="U2:X2"/>
    <mergeCell ref="X19:X20"/>
    <mergeCell ref="N19:N20"/>
    <mergeCell ref="O19:O20"/>
    <mergeCell ref="P19:P20"/>
    <mergeCell ref="Q19:Q20"/>
    <mergeCell ref="R19:R20"/>
    <mergeCell ref="H5:H9"/>
    <mergeCell ref="V3:V4"/>
    <mergeCell ref="W3:W4"/>
    <mergeCell ref="X3:X4"/>
    <mergeCell ref="AI2:AI4"/>
    <mergeCell ref="I3:I4"/>
    <mergeCell ref="J3:J4"/>
    <mergeCell ref="K3:K4"/>
    <mergeCell ref="L3:L4"/>
    <mergeCell ref="M3:M4"/>
    <mergeCell ref="N3:N4"/>
    <mergeCell ref="O3:O4"/>
    <mergeCell ref="P3:P4"/>
    <mergeCell ref="Q3:Q4"/>
    <mergeCell ref="R3:R4"/>
    <mergeCell ref="S3:S4"/>
    <mergeCell ref="T3:T4"/>
    <mergeCell ref="U3:U4"/>
    <mergeCell ref="AF3:AF4"/>
    <mergeCell ref="AG3:AG4"/>
    <mergeCell ref="AH18:AH20"/>
    <mergeCell ref="AA3:AA4"/>
    <mergeCell ref="AB3:AB4"/>
    <mergeCell ref="AC3:AC4"/>
    <mergeCell ref="AD3:AD4"/>
    <mergeCell ref="AE3:AE4"/>
    <mergeCell ref="AC19:AC20"/>
    <mergeCell ref="AD19:AD20"/>
    <mergeCell ref="AE19:AE20"/>
    <mergeCell ref="AF19:AF20"/>
    <mergeCell ref="AG19:AG20"/>
    <mergeCell ref="Y3:Y4"/>
    <mergeCell ref="Z3:Z4"/>
    <mergeCell ref="Z2:AC2"/>
    <mergeCell ref="AD2:AG2"/>
    <mergeCell ref="AH2:AH4"/>
  </mergeCells>
  <pageMargins left="0.7" right="0.7" top="0.78740157499999996" bottom="0.78740157499999996"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7CA2C-BD91-4750-8F2D-69AF207A0B50}">
  <sheetPr codeName="TabTemplateColumn">
    <tabColor theme="9"/>
    <outlinePr summaryBelow="0" summaryRight="0"/>
  </sheetPr>
  <dimension ref="D1:I79"/>
  <sheetViews>
    <sheetView showGridLines="0" topLeftCell="A45" workbookViewId="0">
      <selection activeCell="D54" sqref="D54"/>
    </sheetView>
  </sheetViews>
  <sheetFormatPr baseColWidth="10" defaultColWidth="11.42578125" defaultRowHeight="12.75" outlineLevelCol="1"/>
  <cols>
    <col min="1" max="3" width="2.7109375" style="5" customWidth="1"/>
    <col min="4" max="4" width="25.7109375" style="4" customWidth="1" collapsed="1"/>
    <col min="5" max="5" width="5.7109375" style="42" hidden="1" customWidth="1" outlineLevel="1"/>
    <col min="6" max="6" width="2.7109375" style="5" customWidth="1"/>
    <col min="7" max="7" width="28.85546875" style="5" bestFit="1" customWidth="1"/>
    <col min="8" max="8" width="2.7109375" style="5" customWidth="1"/>
    <col min="9" max="9" width="11.42578125" style="880"/>
    <col min="10" max="16384" width="11.42578125" style="5"/>
  </cols>
  <sheetData>
    <row r="1" spans="4:9" ht="4.5" customHeight="1"/>
    <row r="2" spans="4:9" ht="4.5" customHeight="1">
      <c r="E2" s="4"/>
    </row>
    <row r="3" spans="4:9" ht="4.5" customHeight="1"/>
    <row r="4" spans="4:9" ht="4.5" customHeight="1">
      <c r="D4" s="2"/>
      <c r="E4" s="145"/>
    </row>
    <row r="5" spans="4:9" ht="4.5" customHeight="1">
      <c r="D5" s="2"/>
      <c r="E5" s="145"/>
    </row>
    <row r="6" spans="4:9" ht="4.5" customHeight="1">
      <c r="D6" s="2"/>
      <c r="E6" s="145"/>
    </row>
    <row r="7" spans="4:9" ht="4.5" customHeight="1">
      <c r="D7" s="2"/>
      <c r="E7" s="145"/>
    </row>
    <row r="8" spans="4:9" ht="4.5" customHeight="1">
      <c r="D8" s="2"/>
      <c r="E8" s="145"/>
    </row>
    <row r="9" spans="4:9" ht="4.5" customHeight="1">
      <c r="D9" s="2"/>
      <c r="E9" s="145"/>
    </row>
    <row r="10" spans="4:9">
      <c r="D10" s="187">
        <v>0</v>
      </c>
      <c r="E10" s="145"/>
      <c r="I10" s="880" t="s">
        <v>2501</v>
      </c>
    </row>
    <row r="11" spans="4:9">
      <c r="D11" s="152" t="str">
        <f>$B$10&amp;" "&amp;D$10</f>
        <v xml:space="preserve"> 0</v>
      </c>
      <c r="E11" s="154"/>
      <c r="G11" s="371" t="s">
        <v>33</v>
      </c>
      <c r="I11" s="881" cm="1">
        <f t="array" ref="I11">IF(INDEX(Premises!$10:$10,1,(ROW()-9)*2)=0,0,INDEX(Premises!$10:$10,1,(ROW()-9)*2))</f>
        <v>1</v>
      </c>
    </row>
    <row r="12" spans="4:9">
      <c r="D12" s="146"/>
      <c r="E12" s="154"/>
      <c r="G12" s="372" t="s">
        <v>22</v>
      </c>
      <c r="I12" s="882" cm="1">
        <f t="array" ref="I12">INDEX(Premises!$10:$10,1,(ROW()-9)*2)</f>
        <v>0</v>
      </c>
    </row>
    <row r="13" spans="4:9">
      <c r="D13" s="155"/>
      <c r="E13" s="154"/>
      <c r="G13" s="372" t="s">
        <v>19</v>
      </c>
      <c r="I13" s="882" cm="1">
        <f t="array" ref="I13">INDEX(Premises!$10:$10,1,(ROW()-9)*2)</f>
        <v>0</v>
      </c>
    </row>
    <row r="14" spans="4:9">
      <c r="D14" s="156"/>
      <c r="E14" s="154"/>
      <c r="G14" s="372" t="s">
        <v>48</v>
      </c>
      <c r="I14" s="882" cm="1">
        <f t="array" ref="I14">INDEX(Premises!$10:$10,1,(ROW()-9)*2)</f>
        <v>0</v>
      </c>
    </row>
    <row r="15" spans="4:9">
      <c r="D15" s="156"/>
      <c r="E15" s="154"/>
      <c r="G15" s="372" t="s">
        <v>47</v>
      </c>
      <c r="I15" s="882" cm="1">
        <f t="array" ref="I15">INDEX(Premises!$10:$10,1,(ROW()-9)*2)</f>
        <v>0</v>
      </c>
    </row>
    <row r="16" spans="4:9">
      <c r="D16" s="156"/>
      <c r="E16" s="154"/>
      <c r="G16" s="372" t="s">
        <v>46</v>
      </c>
      <c r="I16" s="882" cm="1">
        <f t="array" ref="I16">INDEX(Premises!$10:$10,1,(ROW()-9)*2)</f>
        <v>0</v>
      </c>
    </row>
    <row r="17" spans="4:9">
      <c r="D17" s="373"/>
      <c r="E17" s="374"/>
      <c r="G17" s="375"/>
      <c r="I17" s="882" cm="1">
        <f t="array" ref="I17">INDEX(Premises!$10:$10,1,(ROW()-9)*2)</f>
        <v>0</v>
      </c>
    </row>
    <row r="18" spans="4:9">
      <c r="D18" s="160"/>
      <c r="E18" s="727">
        <f>IFERROR(MATCH(D$18,LOC[Standort],0),0)</f>
        <v>0</v>
      </c>
      <c r="G18" s="371" t="s">
        <v>15</v>
      </c>
      <c r="I18" s="882" cm="1">
        <f t="array" ref="I18">INDEX(Premises!$10:$10,1,(ROW()-9)*2)</f>
        <v>0</v>
      </c>
    </row>
    <row r="19" spans="4:9">
      <c r="D19" s="156">
        <f>E19</f>
        <v>0</v>
      </c>
      <c r="E19" s="700" cm="1">
        <f t="array" ref="E19">IF(E$18=0,0,IFERROR(INDEX(LOC[Arbeitstage],E$18),0))</f>
        <v>0</v>
      </c>
      <c r="G19" s="372" t="s">
        <v>16</v>
      </c>
      <c r="I19" s="882" cm="1">
        <f t="array" ref="I19">INDEX(Premises!$10:$10,1,(ROW()-9)*2)</f>
        <v>0</v>
      </c>
    </row>
    <row r="20" spans="4:9">
      <c r="D20" s="156"/>
      <c r="E20" s="154"/>
      <c r="G20" s="372" t="s">
        <v>6</v>
      </c>
      <c r="I20" s="882" cm="1">
        <f t="array" ref="I20">INDEX(Premises!$10:$10,1,(ROW()-9)*2)</f>
        <v>0</v>
      </c>
    </row>
    <row r="21" spans="4:9">
      <c r="D21" s="146"/>
      <c r="E21" s="699" cm="1">
        <f t="array" ref="E21">IF(E$18=0,0,IFERROR(ExchangeRate*IF(D$20=1,INDEX(LOC[M1S],E$18),IF(D$20=2,INDEX(LOC[M2S],E$18),IF(D$20=3,INDEX(LOC[M3S],E$18),0))),0))</f>
        <v>0</v>
      </c>
      <c r="G21" s="372" t="s">
        <v>91</v>
      </c>
      <c r="I21" s="882" cm="1">
        <f t="array" ref="I21">INDEX(Premises!$10:$10,1,(ROW()-9)*2)</f>
        <v>0</v>
      </c>
    </row>
    <row r="22" spans="4:9">
      <c r="D22" s="146"/>
      <c r="E22" s="699" cm="1">
        <f t="array" ref="E22">IF(E$18=0,0,IFERROR(ExchangeRate*IF(D$20=1,INDEX(LOC[F1S],E$18),IF(D$20=2,INDEX(LOC[F2S],E$18),IF(D$20=3,INDEX(LOC[F3S],E$18),0))),0))</f>
        <v>0</v>
      </c>
      <c r="G22" s="372" t="s">
        <v>92</v>
      </c>
      <c r="I22" s="882" cm="1">
        <f t="array" ref="I22">INDEX(Premises!$10:$10,1,(ROW()-9)*2)</f>
        <v>0</v>
      </c>
    </row>
    <row r="23" spans="4:9">
      <c r="D23" s="163"/>
      <c r="E23" s="699" cm="1">
        <f t="array" ref="E23">IF(E$18=0,0,IFERROR(ExchangeRate*INDEX(LOC[Monatesmiete],E$18),0))</f>
        <v>0</v>
      </c>
      <c r="G23" s="372" t="s">
        <v>17</v>
      </c>
      <c r="I23" s="882" cm="1">
        <f t="array" ref="I23">INDEX(Premises!$10:$10,1,(ROW()-9)*2)</f>
        <v>0</v>
      </c>
    </row>
    <row r="24" spans="4:9">
      <c r="D24" s="163"/>
      <c r="E24" s="699" cm="1">
        <f t="array" ref="E24">IF(E$18=0,0,IFERROR(ExchangeRate*INDEX(LOC[Strom],E$18),0))</f>
        <v>0</v>
      </c>
      <c r="G24" s="372" t="s">
        <v>21</v>
      </c>
      <c r="I24" s="882" cm="1">
        <f t="array" ref="I24">INDEX(Premises!$10:$10,1,(ROW()-9)*2)</f>
        <v>0</v>
      </c>
    </row>
    <row r="25" spans="4:9">
      <c r="D25" s="146"/>
      <c r="E25" s="699" cm="1">
        <f t="array" ref="E25">IF(E$18=0,0,IFERROR(ExchangeRate*INDEX(LOC[Erdgas],E$18),0))</f>
        <v>0</v>
      </c>
      <c r="G25" s="372" t="s">
        <v>587</v>
      </c>
      <c r="I25" s="882" cm="1">
        <f t="array" ref="I25">INDEX(Premises!$10:$10,1,(ROW()-9)*2)</f>
        <v>0</v>
      </c>
    </row>
    <row r="26" spans="4:9">
      <c r="D26" s="163"/>
      <c r="E26" s="699" cm="1">
        <f t="array" ref="E26">IF(E$18=0,0,IFERROR(INDEX(LOC[Kalk. Zins],E$18),0))</f>
        <v>0</v>
      </c>
      <c r="G26" s="372" t="s">
        <v>45</v>
      </c>
      <c r="I26" s="882" cm="1">
        <f t="array" ref="I26">INDEX(Premises!$10:$10,1,(ROW()-9)*2)</f>
        <v>0</v>
      </c>
    </row>
    <row r="27" spans="4:9">
      <c r="D27" s="373"/>
      <c r="E27" s="374"/>
      <c r="G27" s="376"/>
      <c r="I27" s="882" cm="1">
        <f t="array" ref="I27">INDEX(Premises!$10:$10,1,(ROW()-9)*2)</f>
        <v>0</v>
      </c>
    </row>
    <row r="28" spans="4:9">
      <c r="D28" s="163"/>
      <c r="E28" s="877">
        <f>IF(INDEX(Settings[],MATCH(3003,Settings[ID],0),2)="B",D$39,0)</f>
        <v>0</v>
      </c>
      <c r="G28" s="377" t="s">
        <v>64</v>
      </c>
      <c r="I28" s="882" cm="1">
        <f t="array" ref="I28">INDEX(Premises!$10:$10,1,(ROW()-9)*2)</f>
        <v>0</v>
      </c>
    </row>
    <row r="29" spans="4:9">
      <c r="D29" s="163"/>
      <c r="E29" s="877">
        <f>IF(INDEX(Settings[],MATCH(3004,Settings[ID],0),2)="B",D$40,0)</f>
        <v>0</v>
      </c>
      <c r="G29" s="377" t="s">
        <v>99</v>
      </c>
      <c r="I29" s="882" cm="1">
        <f t="array" ref="I29">INDEX(Premises!$10:$10,1,(ROW()-9)*2)</f>
        <v>0</v>
      </c>
    </row>
    <row r="30" spans="4:9">
      <c r="D30" s="146"/>
      <c r="E30" s="154"/>
      <c r="G30" s="372" t="s">
        <v>77</v>
      </c>
      <c r="I30" s="883" cm="1">
        <f t="array" ref="I30">INDEX(Premises!$10:$10,1,(ROW()-9)*2)</f>
        <v>0</v>
      </c>
    </row>
    <row r="31" spans="4:9">
      <c r="D31" s="146"/>
      <c r="E31" s="699">
        <f>IFERROR(IndirectCosts!$BE$10+INDEX(IndirectCosts!$BE$13:$BE$16,MATCH(D$13,IndirectCosts!$BD$13:$BD$16,1))+INDEX(IndirectCosts!$BE$19:$BE$21,MATCH(D$12,IndirectCosts!$BD$19:$BD$21,0)),0)</f>
        <v>0</v>
      </c>
      <c r="G31" s="372" t="s">
        <v>13</v>
      </c>
    </row>
    <row r="32" spans="4:9">
      <c r="D32" s="146"/>
      <c r="E32" s="699">
        <f>IFERROR(IndirectCosts!$BF$10+INDEX(IndirectCosts!$BF$13:$BF$16,MATCH(D$13,IndirectCosts!$BD$13:$BD$16,1))+INDEX(IndirectCosts!$BF$19:$BF$21,MATCH(D$12,IndirectCosts!$BD$19:$BD$21,0)),0)</f>
        <v>0</v>
      </c>
      <c r="G32" s="377" t="s">
        <v>41</v>
      </c>
    </row>
    <row r="33" spans="4:7">
      <c r="D33" s="146"/>
      <c r="E33" s="699">
        <f>IFERROR(IndirectCosts!$BG$10+INDEX(IndirectCosts!$BG$13:$BG$16,MATCH(D$13,IndirectCosts!$BD$13:$BD$16,1))+INDEX(IndirectCosts!$BG$19:$BG$21,MATCH(D$12,IndirectCosts!$BD$19:$BD$21,0)),0)</f>
        <v>0</v>
      </c>
      <c r="G33" s="377" t="s">
        <v>42</v>
      </c>
    </row>
    <row r="34" spans="4:7">
      <c r="D34" s="146"/>
      <c r="E34" s="699">
        <f>IFERROR(INDEX(IndirectCosts!$BE$23:$BE$26,MATCH(D$12,IndirectCosts!$BD$23:$BD$26,0)),0)</f>
        <v>0</v>
      </c>
      <c r="G34" s="372" t="s">
        <v>14</v>
      </c>
    </row>
    <row r="35" spans="4:7">
      <c r="D35" s="163"/>
      <c r="E35" s="699">
        <f>IFERROR(INDEX(IndirectCosts!$BF$23:$BF$26,MATCH(D$12,IndirectCosts!$BD$23:$BD$26,0)),0)</f>
        <v>0</v>
      </c>
      <c r="G35" s="377" t="s">
        <v>43</v>
      </c>
    </row>
    <row r="36" spans="4:7">
      <c r="D36" s="163"/>
      <c r="E36" s="699">
        <f>IFERROR(INDEX(IndirectCosts!$BG$23:$BG$26,MATCH(D$12,IndirectCosts!$BD$23:$BD$26,0)),0)</f>
        <v>0</v>
      </c>
      <c r="G36" s="377" t="s">
        <v>44</v>
      </c>
    </row>
    <row r="37" spans="4:7">
      <c r="D37" s="146"/>
      <c r="E37" s="154"/>
      <c r="G37" s="372" t="s">
        <v>665</v>
      </c>
    </row>
    <row r="38" spans="4:7">
      <c r="D38" s="159"/>
      <c r="E38" s="159"/>
      <c r="G38" s="372"/>
    </row>
    <row r="39" spans="4:7">
      <c r="D39" s="726">
        <f>IFERROR(SUMIF(Calculation!$CA$11:$CA$189,D$10,Calculation!$AO$11:$AO$189)
/(SUMIF(Calculation!$CA$11:$CA$189,D$10,Calculation!$J$11:$J$189)
+SUMIF(Calculation!$CA$11:$CA$189,D$10,Calculation!$R$11:$R$189)
+SUMIF(Calculation!$CA$11:$CA$189,D$10,Calculation!$V$11:$V$189)
+SUMIF(Calculation!$CA$11:$CA$189,D$10,Calculation!$AL$11:$AL$189))*100,0)</f>
        <v>0</v>
      </c>
      <c r="E39" s="154"/>
      <c r="G39" s="372" t="s">
        <v>1244</v>
      </c>
    </row>
    <row r="40" spans="4:7">
      <c r="D40" s="726" cm="1">
        <f t="array" ref="D40">IFERROR((SUMPRODUCT((Calculation!$CA$11:$CA$189=D$10)*1,Calculation!$CK$11:$CK$189,Calculation!$AZ$11:$AZ$189)
+IF(D$42=0,SUMPRODUCT((Calculation!$CB$11:$CB$189=D$10)*1,(Calculation!$CD$11:$CD$189&lt;&gt;0)*1,Calculation!$CN$11:$CN$189,Calculation!$BT$11:$BT$189)
+SUMPRODUCT((Calculation!$CC$11:$CC$189=D$10)*1,(Calculation!$CD$11:$CD$189&lt;&gt;0)*1,Calculation!$CP$11:$CP$189,Calculation!$BT$11:$BT$189),0))
/(SUMPRODUCT((Calculation!$CA$11:$CA$189=D$10)*1,Calculation!$CK$11:$CK$189,(Calculation!$AU$11:$AU$189&gt;0)*1,Calculation!$AU$11:$AU$189)
+SUMPRODUCT((Calculation!$CA$11:$CA$189=D$10)*1,Calculation!$CK$11:$CK$189,Calculation!$AX$11:$AX$189)
+IF(D$42=0,SUMPRODUCT((Calculation!$CB$11:$CB$189=D$10)*1,(Calculation!$CN$11:$CN$189&lt;&gt;0)*1,(Calculation!$CD$11:$CD$189&lt;&gt;0)*1,Calculation!$BT$11:$BT$189)
+SUMPRODUCT((Calculation!$CC$11:$CC$189=D$10)*1,(Calculation!$CP$11:$CP$189&lt;&gt;0)*1,(Calculation!$CD$11:$CD$189&lt;&gt;0)*1,Calculation!$BT$11:$BT$189),0))*100,0)</f>
        <v>0</v>
      </c>
      <c r="E40" s="154"/>
      <c r="G40" s="372" t="s">
        <v>1245</v>
      </c>
    </row>
    <row r="41" spans="4:7">
      <c r="D41" s="656">
        <f>IF(INDEX(Settings[],MATCH(3003,Settings[ID],0),2)="A",0,D$28)</f>
        <v>0</v>
      </c>
      <c r="E41" s="154"/>
      <c r="G41" s="378" t="s">
        <v>94</v>
      </c>
    </row>
    <row r="42" spans="4:7">
      <c r="D42" s="657">
        <f>IF(INDEX(Settings[],MATCH(3004,Settings[ID],0),2)="A",0,D$29)</f>
        <v>0</v>
      </c>
      <c r="E42" s="154"/>
      <c r="G42" s="378" t="s">
        <v>1041</v>
      </c>
    </row>
    <row r="43" spans="4:7">
      <c r="D43" s="653">
        <f>IFERROR(IndirectCosts!$T$7*(INDEX(LOC[High-skilled],MATCH(D$18,LOC[Standort],0))*ExchangeRate+(IndirectCosts!$AT$7*ExchangeRate*(1/IndirectCosts!$AU$7+IndirectCosts!$AY$7+IndirectCosts!$AZ$7))/(250*8*0.8)+D$26/100*IndirectCosts!$AT$7*ExchangeRate*0.5/(250*8*0.8)+D$24*IndirectCosts!$AV$7*IndirectCosts!$AW$7+D$23*IndirectCosts!$AX$7*12/(250*8*0.8))+IndirectCosts!$U$7*(INDEX(LOC[High-skilled],MATCH(D$18,LOC[Standort],0))*ExchangeRate+IndirectCosts!$AG$7+D$26/100*IndirectCosts!$AF$7*0.5/(250*8*0.8)+D$24*IndirectCosts!$AH$7+D$23*IndirectCosts!$AI$7*12/(250*8*0.8))+IndirectCosts!$V$7*(INDEX(LOC[High-skilled],MATCH(D$18,LOC[Standort],0))*ExchangeRate/10+INDEX(LOC[M2S],MATCH(D$18,LOC[Standort],0))*ExchangeRate+IndirectCosts!$AO$7+D$26/100*IndirectCosts!$AN$7*0.5/(250*16*0.8)+D$24*IndirectCosts!$AP$7+D$23*IndirectCosts!$AQ$7*12/(250*16*0.8)),0)</f>
        <v>0</v>
      </c>
      <c r="E43" s="154"/>
      <c r="G43" s="378" t="s">
        <v>1340</v>
      </c>
    </row>
    <row r="44" spans="4:7">
      <c r="D44" s="652">
        <f>D$26%*IndirectCosts!$K$7/52+IndirectCosts!$K$7/52*12*0.26/1000</f>
        <v>2.4000000000000001E-4</v>
      </c>
      <c r="E44" s="154"/>
      <c r="G44" s="378" t="s">
        <v>1341</v>
      </c>
    </row>
    <row r="45" spans="4:7">
      <c r="D45" s="654">
        <f>IFERROR((IndirectCosts!$K$7/52*365*24)/IndirectCosts!$L$7*IndirectCosts!$R$7*(IndirectCosts!$AK$7+Premises!B$26%*IndirectCosts!$AJ$7*0.5/(365*24)+Premises!B$24*IndirectCosts!$AL$7+Premises!B$23*IndirectCosts!$AM$7*12/(365*24)),0)</f>
        <v>0</v>
      </c>
      <c r="E45" s="154"/>
      <c r="G45" s="378" t="s">
        <v>1342</v>
      </c>
    </row>
    <row r="46" spans="4:7">
      <c r="D46" s="653">
        <f>IFERROR(IndirectCosts!$T$8*(INDEX(LOC[High-skilled],MATCH(D$18,LOC[Standort],0))*ExchangeRate+(IndirectCosts!$AT$7*ExchangeRate*(1/IndirectCosts!$AU$7+IndirectCosts!$AY$7+IndirectCosts!$AZ$7))/(250*8*0.8)+D$26/100*IndirectCosts!$AT$7*ExchangeRate*0.5/(250*8*0.8)+D$24*IndirectCosts!$AV$7*IndirectCosts!$AW$7+D$23*IndirectCosts!$AX$7*12/(250*8*0.8))+IndirectCosts!$U$8*(INDEX(LOC[High-skilled],MATCH(D$18,LOC[Standort],0))*ExchangeRate+IndirectCosts!$AG$8+D$26/100*IndirectCosts!$AF$8*0.5/(250*8*0.8)+D$24*IndirectCosts!$AH$8+D$23*IndirectCosts!$AI$8*12/(250*8*0.8))+IndirectCosts!$V$8*(INDEX(LOC[High-skilled],MATCH(D$18,LOC[Standort],0))*ExchangeRate/10+INDEX(LOC[M2S],MATCH(D$18,LOC[Standort],0))*ExchangeRate+IndirectCosts!$AO$8+D$26/100*IndirectCosts!$AN$8*0.5/(250*16*0.8)+D$24*IndirectCosts!$AP$8+D$23*IndirectCosts!$AQ$8*12/(250*16*0.8)),0)</f>
        <v>0</v>
      </c>
      <c r="E46" s="154"/>
      <c r="G46" s="378" t="s">
        <v>1343</v>
      </c>
    </row>
    <row r="47" spans="4:7">
      <c r="D47" s="652">
        <f>D$26%*IndirectCosts!$K$8/52+IndirectCosts!$K$8/52*12*0.26/1000</f>
        <v>2.4000000000000001E-4</v>
      </c>
      <c r="E47" s="154"/>
      <c r="G47" s="378" t="s">
        <v>1344</v>
      </c>
    </row>
    <row r="48" spans="4:7">
      <c r="D48" s="654">
        <f>IFERROR((IndirectCosts!$K$8/52*365*24)/IndirectCosts!$L$8*IndirectCosts!$R$8*(IndirectCosts!$AK$8+Premises!B$26%*IndirectCosts!$AJ$8*0.5/(365*24)+Premises!B$24*IndirectCosts!$AL$8+Premises!B$23*IndirectCosts!$AM$8*12/(365*24)),0)</f>
        <v>0</v>
      </c>
      <c r="E48" s="154"/>
      <c r="G48" s="378" t="s">
        <v>1345</v>
      </c>
    </row>
    <row r="49" spans="4:7">
      <c r="D49" s="653">
        <f>IFERROR(IndirectCosts!$T$9*(INDEX(LOC[High-skilled],MATCH(D$18,LOC[Standort],0))*ExchangeRate+(IndirectCosts!$AT$7*ExchangeRate*(1/IndirectCosts!$AU$7+IndirectCosts!$AY$7+IndirectCosts!$AZ$7))/(250*8*0.8)+D$26/100*IndirectCosts!$AT$7*ExchangeRate*0.5/(250*8*0.8)+D$24*IndirectCosts!$AV$7*IndirectCosts!$AW$7+D$23*IndirectCosts!$AX$7*12/(250*8*0.8))+IndirectCosts!$U$9*(INDEX(LOC[High-skilled],MATCH(D$18,LOC[Standort],0))*ExchangeRate+IndirectCosts!$AG$9+D$26/100*IndirectCosts!$AF$9*0.5/(250*8*0.8)+D$24*IndirectCosts!$AH$9+D$23*IndirectCosts!$AI$9*12/(250*8*0.8))+IndirectCosts!$V$9*(INDEX(LOC[High-skilled],MATCH(D$18,LOC[Standort],0))*ExchangeRate/10+INDEX(LOC[M2S],MATCH(D$18,LOC[Standort],0))*ExchangeRate+IndirectCosts!$AO$9+D$26/100*IndirectCosts!$AN$9*0.5/(250*16*0.8)+D$24*IndirectCosts!$AP$9+D$23*IndirectCosts!$AQ$9*12/(250*16*0.8)),0)</f>
        <v>0</v>
      </c>
      <c r="E49" s="154"/>
      <c r="G49" s="378" t="s">
        <v>1346</v>
      </c>
    </row>
    <row r="50" spans="4:7">
      <c r="D50" s="652">
        <f>D$26%*IndirectCosts!$K$9/52+IndirectCosts!$K$9/52*12*0.26/1000</f>
        <v>2.4000000000000001E-4</v>
      </c>
      <c r="E50" s="154"/>
      <c r="G50" s="378" t="s">
        <v>1347</v>
      </c>
    </row>
    <row r="51" spans="4:7">
      <c r="D51" s="654">
        <f>IFERROR((IndirectCosts!$K$9/52*365*24)/IndirectCosts!$L$9*IndirectCosts!$R$9*(IndirectCosts!$AK$9+Premises!B$26%*IndirectCosts!$AJ$9*0.5/(365*24)+Premises!B$24*IndirectCosts!$AL$9+Premises!B$23*IndirectCosts!$AM$9*12/(365*24)),0)</f>
        <v>0</v>
      </c>
      <c r="E51" s="154"/>
      <c r="G51" s="378" t="s">
        <v>1348</v>
      </c>
    </row>
    <row r="52" spans="4:7">
      <c r="D52" s="655">
        <f>((D30%+(1+D30%)*D42%)*(1+IF(INDEX(Settings[],MATCH(3001,Settings[ID],0),2)="B",D33%,D31%))+IF(INDEX(Settings[],MATCH(3001,Settings[ID],0),2)="B",D33%,D31%)+IF(INDEX(Settings[],MATCH(3002,Settings[ID],0),2)="B",D36%,D34%))*(1+D37%)+D37%</f>
        <v>0</v>
      </c>
      <c r="E52" s="165"/>
      <c r="G52" s="378" t="s">
        <v>136</v>
      </c>
    </row>
    <row r="53" spans="4:7">
      <c r="D53" s="159"/>
      <c r="E53" s="159"/>
      <c r="G53" s="378"/>
    </row>
    <row r="54" spans="4:7">
      <c r="D54" s="166"/>
      <c r="E54" s="727">
        <f>IFERROR(MATCH(D$54,#REF!,0),0)</f>
        <v>0</v>
      </c>
      <c r="G54" s="372" t="s">
        <v>1414</v>
      </c>
    </row>
    <row r="55" spans="4:7">
      <c r="D55" s="658"/>
      <c r="E55" s="867" t="e">
        <f>MAX(0,IF(D$54=INDEX(#REF!,1),0,
IF(D$54=INDEX(#REF!,2),1-SUMPRODUCT((LOC[Standort]=D$18)*LOC[[E%]:[I%]]),
SUMPRODUCT((#REF!=D$54)*#REF!)-SUMPRODUCT((LOC[Standort]=D$18)*LOC[[E%]:[I%]]))))</f>
        <v>#REF!</v>
      </c>
      <c r="G55" s="372" t="s">
        <v>1417</v>
      </c>
    </row>
    <row r="56" spans="4:7">
      <c r="D56" s="658"/>
      <c r="E56" s="165"/>
      <c r="G56" s="372" t="s">
        <v>3337</v>
      </c>
    </row>
    <row r="57" spans="4:7">
      <c r="D57" s="658"/>
      <c r="E57" s="165"/>
      <c r="G57" s="372" t="s">
        <v>2075</v>
      </c>
    </row>
    <row r="58" spans="4:7">
      <c r="D58" s="159"/>
      <c r="E58" s="159"/>
      <c r="G58" s="372"/>
    </row>
    <row r="59" spans="4:7">
      <c r="D59" s="659" cm="1">
        <f t="array" ref="D59">IFERROR(SUMPRODUCT((Calculation!$CA$11:$CA$189=D$10)*1,(Calculation!$CE$11:$CE$189&lt;&gt;0)*1,Calculation!$ED$11:$ED$189),0)</f>
        <v>0</v>
      </c>
      <c r="E59" s="165"/>
      <c r="G59" s="372" t="s">
        <v>2072</v>
      </c>
    </row>
    <row r="60" spans="4:7">
      <c r="D60" s="659" cm="1">
        <f t="array" ref="D60">IFERROR(SUMPRODUCT((Calculation!$CA$11:$CA$189=D$10)*1,(Calculation!$CE$11:$CE$189&lt;&gt;0)*1,Calculation!$EQ$11:$EQ$189)*(INDEX(Settings[],MATCH(3010,Settings[ID],0),2)=1),0)</f>
        <v>0</v>
      </c>
      <c r="E60" s="165"/>
      <c r="G60" s="372" t="s">
        <v>2073</v>
      </c>
    </row>
    <row r="61" spans="4:7">
      <c r="D61" s="659" cm="1">
        <f t="array" ref="D61">IFERROR(SUMPRODUCT((Calculation!$CA$11:$CA$189=D$10)*1,Calculation!$EW$11:$EW$189),0)</f>
        <v>0</v>
      </c>
      <c r="E61" s="165"/>
      <c r="G61" s="372" t="s">
        <v>2120</v>
      </c>
    </row>
    <row r="62" spans="4:7">
      <c r="D62" s="660">
        <f>SUM(D$59:D$61)</f>
        <v>0</v>
      </c>
      <c r="E62" s="165"/>
      <c r="G62" s="372" t="s">
        <v>1416</v>
      </c>
    </row>
    <row r="63" spans="4:7">
      <c r="D63" s="159"/>
      <c r="E63" s="159"/>
      <c r="G63" s="372"/>
    </row>
    <row r="64" spans="4:7">
      <c r="D64" s="658">
        <f>IFERROR(D$62/1000/1000*INDEX(LOC[CO2-Steuer],E$18)*ExchangeRate*(INDEX(Settings[],MATCH(3012,Settings[ID],0),2)=1),0)</f>
        <v>0</v>
      </c>
      <c r="E64" s="165"/>
      <c r="G64" s="372" t="s">
        <v>2125</v>
      </c>
    </row>
    <row r="65" spans="4:7">
      <c r="D65" s="159"/>
      <c r="E65" s="159"/>
      <c r="G65" s="372"/>
    </row>
    <row r="66" spans="4:7">
      <c r="D66" s="171">
        <f>E66</f>
        <v>0</v>
      </c>
      <c r="E66" s="699" cm="1">
        <f t="array" ref="E66">IF(E$18=0,0,INDEX(LOC[Lat],E$18))</f>
        <v>0</v>
      </c>
      <c r="G66" s="372" t="s">
        <v>2139</v>
      </c>
    </row>
    <row r="67" spans="4:7">
      <c r="D67" s="171">
        <f>E67</f>
        <v>0</v>
      </c>
      <c r="E67" s="699" cm="1">
        <f t="array" ref="E67">IF(E$18=0,0,INDEX(LOC[Long],E$18))</f>
        <v>0</v>
      </c>
      <c r="G67" s="372" t="s">
        <v>2140</v>
      </c>
    </row>
    <row r="68" spans="4:7">
      <c r="D68" s="172">
        <f>E68</f>
        <v>0</v>
      </c>
      <c r="E68" s="700" cm="1">
        <f t="array" ref="E68">IF(E$18=0,0,INDEX(LOC[Hafen],E$18))</f>
        <v>0</v>
      </c>
      <c r="G68" s="372" t="s">
        <v>2141</v>
      </c>
    </row>
    <row r="69" spans="4:7">
      <c r="D69" s="172"/>
      <c r="E69" s="700">
        <v>100</v>
      </c>
      <c r="G69" s="372" t="s">
        <v>2499</v>
      </c>
    </row>
    <row r="70" spans="4:7">
      <c r="D70" s="172"/>
      <c r="E70" s="700">
        <v>25</v>
      </c>
      <c r="G70" s="372" t="s">
        <v>2500</v>
      </c>
    </row>
    <row r="71" spans="4:7">
      <c r="D71" s="154">
        <f>E71</f>
        <v>0</v>
      </c>
      <c r="E71" s="699" cm="1">
        <f t="array" ref="E71">IF(E$18=0,0,INDEX(LOC[Diesel],E$18))</f>
        <v>0</v>
      </c>
      <c r="G71" s="372" t="s">
        <v>2669</v>
      </c>
    </row>
    <row r="72" spans="4:7">
      <c r="D72" s="159"/>
      <c r="E72" s="159"/>
      <c r="G72" s="378"/>
    </row>
    <row r="73" spans="4:7">
      <c r="D73" s="658"/>
      <c r="E73" s="165"/>
      <c r="G73" s="379" t="s">
        <v>2248</v>
      </c>
    </row>
    <row r="74" spans="4:7">
      <c r="D74" s="658"/>
      <c r="E74" s="165"/>
      <c r="G74" s="379" t="s">
        <v>2249</v>
      </c>
    </row>
    <row r="75" spans="4:7">
      <c r="D75" s="658"/>
      <c r="E75" s="165"/>
      <c r="G75" s="379" t="s">
        <v>2250</v>
      </c>
    </row>
    <row r="76" spans="4:7">
      <c r="D76" s="658"/>
      <c r="E76" s="165"/>
      <c r="G76" s="379" t="s">
        <v>202</v>
      </c>
    </row>
    <row r="77" spans="4:7">
      <c r="D77" s="159"/>
      <c r="E77" s="159"/>
    </row>
    <row r="78" spans="4:7">
      <c r="D78" s="173" t="s">
        <v>49</v>
      </c>
      <c r="E78" s="154"/>
      <c r="G78" s="372" t="s">
        <v>116</v>
      </c>
    </row>
    <row r="79" spans="4:7">
      <c r="D79" s="661">
        <f>IFERROR((D$19*D$20*8*60*60/D$13)*D$15/100,0)</f>
        <v>0</v>
      </c>
      <c r="E79" s="154"/>
      <c r="G79" s="372" t="s">
        <v>97</v>
      </c>
    </row>
  </sheetData>
  <dataValidations count="4">
    <dataValidation type="list" allowBlank="1" showInputMessage="1" showErrorMessage="1" sqref="D12" xr:uid="{8963137E-0D2C-4B04-A3BB-6E424BA094C4}">
      <formula1>"high innovative product, system supplier, build to print"</formula1>
    </dataValidation>
    <dataValidation type="list" allowBlank="1" showInputMessage="1" showErrorMessage="1" sqref="D20" xr:uid="{3633004B-6120-4309-959F-3069B5C8C75A}">
      <formula1>"1,2,3"</formula1>
    </dataValidation>
    <dataValidation type="list" allowBlank="1" showInputMessage="1" sqref="D18" xr:uid="{4BB0A23E-F25A-4C5B-8959-B32393F20F18}">
      <formula1>LOC_Dropdown</formula1>
    </dataValidation>
    <dataValidation type="list" allowBlank="1" showInputMessage="1" showErrorMessage="1" sqref="D54" xr:uid="{583E3145-6002-4171-9F68-77F2BEA59BAF}">
      <formula1>CO2EnergyMix_Dropdown</formula1>
    </dataValidation>
  </dataValidation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5A5F1BFD-7CEF-4868-A804-D2E5AABE7C43}">
          <x14:formula1>
            <xm:f>Translation!$E$3:$E$7</xm:f>
          </x14:formula1>
          <xm:sqref>D78</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TemplateRow">
    <tabColor theme="9"/>
    <outlinePr summaryBelow="0" summaryRight="0"/>
  </sheetPr>
  <dimension ref="A1:FM1010"/>
  <sheetViews>
    <sheetView showGridLines="0" topLeftCell="CW1" zoomScaleNormal="100" workbookViewId="0">
      <selection activeCell="DK1005" sqref="DK1005"/>
    </sheetView>
  </sheetViews>
  <sheetFormatPr baseColWidth="10" defaultColWidth="11.42578125" defaultRowHeight="12.75"/>
  <cols>
    <col min="1" max="74" width="11.42578125" style="5"/>
    <col min="75" max="77" width="11.42578125" style="423"/>
    <col min="78" max="90" width="11.42578125" style="5"/>
    <col min="91" max="91" width="11.42578125" style="5" customWidth="1"/>
    <col min="92" max="95" width="11.42578125" style="5"/>
    <col min="96" max="97" width="11.42578125" style="424"/>
    <col min="98" max="98" width="11.42578125" style="5"/>
    <col min="99" max="99" width="2.7109375" style="5" customWidth="1"/>
    <col min="100" max="132" width="6.7109375" style="5" customWidth="1"/>
    <col min="133" max="133" width="2.7109375" style="5" customWidth="1"/>
    <col min="134" max="136" width="7.28515625" style="178" customWidth="1"/>
    <col min="137" max="141" width="7.28515625" style="5" customWidth="1"/>
    <col min="142" max="142" width="11.5703125" style="5" customWidth="1"/>
    <col min="143" max="146" width="7.28515625" style="5" customWidth="1"/>
    <col min="147" max="147" width="14.5703125" style="5" customWidth="1"/>
    <col min="148" max="154" width="7.28515625" style="5" customWidth="1"/>
    <col min="155" max="164" width="0.140625" style="5" customWidth="1"/>
    <col min="165" max="165" width="2.7109375" style="5" customWidth="1"/>
    <col min="166" max="16384" width="11.42578125" style="5"/>
  </cols>
  <sheetData>
    <row r="1" spans="1:169" s="13" customFormat="1">
      <c r="AP1" s="2" t="s">
        <v>65</v>
      </c>
      <c r="AU1" s="2" t="s">
        <v>26</v>
      </c>
      <c r="AY1" s="1474" t="s">
        <v>1</v>
      </c>
      <c r="AZ1" s="1474"/>
      <c r="BA1" s="2" t="s">
        <v>9</v>
      </c>
      <c r="BB1" s="2" t="s">
        <v>12</v>
      </c>
      <c r="BC1" s="1474" t="s">
        <v>66</v>
      </c>
      <c r="BD1" s="1474"/>
      <c r="BE1" s="1474"/>
      <c r="BF1" s="1474"/>
      <c r="BG1" s="1474"/>
      <c r="BH1" s="1474"/>
      <c r="BI1" s="2" t="s">
        <v>67</v>
      </c>
      <c r="BJ1" s="1474" t="s">
        <v>68</v>
      </c>
      <c r="BK1" s="1474"/>
      <c r="BL1" s="1474"/>
      <c r="BM1" s="1474"/>
      <c r="BN1" s="1474"/>
      <c r="BO1" s="1474"/>
      <c r="BW1" s="380"/>
      <c r="BX1" s="380"/>
      <c r="BY1" s="380"/>
      <c r="CA1" s="381" t="s">
        <v>255</v>
      </c>
      <c r="CB1" s="381" t="s">
        <v>255</v>
      </c>
      <c r="CC1" s="381" t="s">
        <v>255</v>
      </c>
      <c r="CD1" s="382" t="s">
        <v>257</v>
      </c>
      <c r="CE1" s="381" t="s">
        <v>258</v>
      </c>
      <c r="CF1" s="383" t="s">
        <v>84</v>
      </c>
      <c r="CG1" s="382" t="s">
        <v>256</v>
      </c>
      <c r="CH1" s="381" t="s">
        <v>240</v>
      </c>
      <c r="CI1" s="381" t="s">
        <v>281</v>
      </c>
      <c r="CJ1" s="383" t="s">
        <v>280</v>
      </c>
      <c r="CK1" s="381" t="s">
        <v>38</v>
      </c>
      <c r="CL1" s="381" t="s">
        <v>260</v>
      </c>
      <c r="CM1" s="382" t="s">
        <v>130</v>
      </c>
      <c r="CN1" s="384" t="s">
        <v>1092</v>
      </c>
      <c r="CO1" s="382" t="s">
        <v>130</v>
      </c>
      <c r="CP1" s="384" t="s">
        <v>1093</v>
      </c>
      <c r="CQ1" s="385" t="s">
        <v>1238</v>
      </c>
      <c r="CR1" s="386" t="s">
        <v>1092</v>
      </c>
      <c r="CS1" s="386" t="s">
        <v>1093</v>
      </c>
      <c r="CT1" s="385" t="s">
        <v>706</v>
      </c>
      <c r="CV1" s="578" t="s">
        <v>1386</v>
      </c>
      <c r="CW1" s="578" t="s">
        <v>161</v>
      </c>
      <c r="CX1" s="578" t="s">
        <v>335</v>
      </c>
      <c r="CY1" s="578" t="s">
        <v>1362</v>
      </c>
      <c r="CZ1" s="578" t="s">
        <v>1371</v>
      </c>
      <c r="DA1" s="578" t="s">
        <v>697</v>
      </c>
      <c r="DB1" s="578" t="s">
        <v>27</v>
      </c>
      <c r="DC1" s="578" t="s">
        <v>10</v>
      </c>
      <c r="DD1" s="578" t="s">
        <v>282</v>
      </c>
      <c r="DE1" s="578" t="s">
        <v>698</v>
      </c>
      <c r="DF1" s="578" t="s">
        <v>1</v>
      </c>
      <c r="DG1" s="578" t="s">
        <v>9</v>
      </c>
      <c r="DH1" s="578" t="s">
        <v>12</v>
      </c>
      <c r="DI1" s="578" t="s">
        <v>29</v>
      </c>
      <c r="DJ1" s="578" t="s">
        <v>28</v>
      </c>
      <c r="DK1" s="578" t="s">
        <v>13</v>
      </c>
      <c r="DL1" s="578" t="s">
        <v>1372</v>
      </c>
      <c r="DM1" s="578" t="s">
        <v>1373</v>
      </c>
      <c r="DN1" s="578" t="s">
        <v>14</v>
      </c>
      <c r="DO1" s="578" t="s">
        <v>666</v>
      </c>
      <c r="DP1" s="953" t="s">
        <v>11</v>
      </c>
      <c r="DQ1" s="949" t="s">
        <v>2598</v>
      </c>
      <c r="DR1" s="949" t="s">
        <v>1</v>
      </c>
      <c r="DS1" s="949" t="s">
        <v>13</v>
      </c>
      <c r="DT1" s="949" t="s">
        <v>14</v>
      </c>
      <c r="DU1" s="949" t="s">
        <v>666</v>
      </c>
      <c r="DV1" s="952" t="s">
        <v>11</v>
      </c>
      <c r="DW1" s="949" t="s">
        <v>2598</v>
      </c>
      <c r="DX1" s="949" t="s">
        <v>1</v>
      </c>
      <c r="DY1" s="949" t="s">
        <v>13</v>
      </c>
      <c r="DZ1" s="949" t="s">
        <v>14</v>
      </c>
      <c r="EA1" s="949" t="s">
        <v>666</v>
      </c>
      <c r="EB1" s="950" t="s">
        <v>11</v>
      </c>
      <c r="EC1" s="805"/>
      <c r="ED1" s="1126" t="s">
        <v>21</v>
      </c>
      <c r="EE1" s="1126" t="s">
        <v>580</v>
      </c>
      <c r="EF1" s="1126" t="s">
        <v>3756</v>
      </c>
      <c r="EG1" s="1126" t="s">
        <v>3755</v>
      </c>
      <c r="EH1" s="1126" t="s">
        <v>3757</v>
      </c>
      <c r="EI1" s="1126" t="s">
        <v>3758</v>
      </c>
      <c r="EJ1" s="1126" t="s">
        <v>3759</v>
      </c>
      <c r="EK1" s="1126" t="s">
        <v>3760</v>
      </c>
      <c r="EL1" s="1126" t="s">
        <v>3761</v>
      </c>
      <c r="EM1" s="1126" t="s">
        <v>3762</v>
      </c>
      <c r="EN1" s="1126" t="s">
        <v>3763</v>
      </c>
      <c r="EO1" s="1126" t="s">
        <v>3764</v>
      </c>
      <c r="EP1" s="1126" t="s">
        <v>3765</v>
      </c>
      <c r="EQ1" s="1126" t="s">
        <v>3766</v>
      </c>
      <c r="ER1" s="1126" t="s">
        <v>3767</v>
      </c>
      <c r="ES1" s="1126" t="s">
        <v>2515</v>
      </c>
      <c r="ET1" s="1126" t="s">
        <v>3742</v>
      </c>
      <c r="EU1" s="1126" t="s">
        <v>3743</v>
      </c>
      <c r="EV1" s="1126" t="s">
        <v>3744</v>
      </c>
      <c r="EW1" s="1126" t="s">
        <v>70</v>
      </c>
      <c r="EX1" s="1126" t="s">
        <v>70</v>
      </c>
      <c r="FJ1" s="1474" t="s">
        <v>204</v>
      </c>
      <c r="FK1" s="1474"/>
      <c r="FL1" s="1474"/>
      <c r="FM1" s="1156" t="s">
        <v>3890</v>
      </c>
    </row>
    <row r="2" spans="1:169" s="13" customFormat="1" ht="12.75" customHeight="1">
      <c r="A2" s="221"/>
      <c r="B2" s="387"/>
      <c r="C2" s="388"/>
      <c r="D2" s="389"/>
      <c r="E2" s="644"/>
      <c r="F2" s="644"/>
      <c r="G2" s="644"/>
      <c r="H2" s="644"/>
      <c r="I2" s="644"/>
      <c r="J2" s="644"/>
      <c r="K2" s="644"/>
      <c r="L2" s="644"/>
      <c r="M2" s="644"/>
      <c r="N2" s="644"/>
      <c r="O2" s="644"/>
      <c r="P2" s="644"/>
      <c r="Q2" s="644"/>
      <c r="R2" s="644"/>
      <c r="S2" s="644"/>
      <c r="T2" s="644"/>
      <c r="U2" s="644"/>
      <c r="V2" s="644"/>
      <c r="W2" s="644"/>
      <c r="X2" s="644"/>
      <c r="Y2" s="644"/>
      <c r="Z2" s="644"/>
      <c r="AA2" s="644"/>
      <c r="AB2" s="644"/>
      <c r="AC2" s="644"/>
      <c r="AD2" s="644"/>
      <c r="AE2" s="644"/>
      <c r="AF2" s="644"/>
      <c r="AG2" s="644"/>
      <c r="AH2" s="644"/>
      <c r="AI2" s="644"/>
      <c r="AJ2" s="644"/>
      <c r="AK2" s="644"/>
      <c r="AL2" s="644"/>
      <c r="AM2" s="644"/>
      <c r="AN2" s="644"/>
      <c r="AO2" s="644"/>
      <c r="AP2" s="644"/>
      <c r="AQ2" s="644"/>
      <c r="AR2" s="644"/>
      <c r="AS2" s="644"/>
      <c r="AT2" s="644"/>
      <c r="AU2" s="644"/>
      <c r="AV2" s="644"/>
      <c r="AW2" s="644"/>
      <c r="AX2" s="644"/>
      <c r="AY2" s="644"/>
      <c r="AZ2" s="644"/>
      <c r="BA2" s="644"/>
      <c r="BB2" s="644"/>
      <c r="BC2" s="644"/>
      <c r="BD2" s="644"/>
      <c r="BE2" s="644"/>
      <c r="BF2" s="644"/>
      <c r="BG2" s="644"/>
      <c r="BH2" s="644"/>
      <c r="BI2" s="644"/>
      <c r="BJ2" s="644"/>
      <c r="BK2" s="644"/>
      <c r="BL2" s="644"/>
      <c r="BM2" s="644"/>
      <c r="BN2" s="644"/>
      <c r="BO2" s="644"/>
      <c r="BP2" s="644"/>
      <c r="BQ2" s="644"/>
      <c r="BR2" s="644"/>
      <c r="BS2" s="920"/>
      <c r="BT2" s="920"/>
      <c r="BU2" s="644"/>
      <c r="BV2" s="643"/>
      <c r="BW2" s="390"/>
      <c r="BX2" s="816"/>
      <c r="BY2" s="391"/>
      <c r="BZ2" s="392"/>
      <c r="CA2" s="280"/>
      <c r="CB2" s="280"/>
      <c r="CC2" s="280"/>
      <c r="CD2" s="393"/>
      <c r="CE2" s="280"/>
      <c r="CF2" s="394"/>
      <c r="CG2" s="393"/>
      <c r="CH2" s="280"/>
      <c r="CI2" s="280"/>
      <c r="CJ2" s="394"/>
      <c r="CK2" s="280"/>
      <c r="CL2" s="280"/>
      <c r="CM2" s="395"/>
      <c r="CN2" s="396"/>
      <c r="CO2" s="395"/>
      <c r="CP2" s="396"/>
      <c r="CQ2" s="397"/>
      <c r="CR2" s="398"/>
      <c r="CS2" s="398"/>
      <c r="CT2" s="969"/>
      <c r="CU2" s="2"/>
      <c r="CV2" s="399"/>
      <c r="CW2" s="400"/>
      <c r="CX2" s="400"/>
      <c r="CY2" s="400"/>
      <c r="CZ2" s="400"/>
      <c r="DA2" s="400"/>
      <c r="DB2" s="400"/>
      <c r="DC2" s="400"/>
      <c r="DD2" s="400"/>
      <c r="DE2" s="400"/>
      <c r="DF2" s="400"/>
      <c r="DG2" s="400"/>
      <c r="DH2" s="400"/>
      <c r="DI2" s="400"/>
      <c r="DJ2" s="400"/>
      <c r="DK2" s="400"/>
      <c r="DL2" s="400"/>
      <c r="DM2" s="400"/>
      <c r="DN2" s="400"/>
      <c r="DO2" s="400"/>
      <c r="DP2" s="400"/>
      <c r="DQ2" s="400"/>
      <c r="DR2" s="400"/>
      <c r="DS2" s="400"/>
      <c r="DT2" s="400"/>
      <c r="DU2" s="400"/>
      <c r="DV2" s="400"/>
      <c r="DW2" s="400"/>
      <c r="DX2" s="400"/>
      <c r="DY2" s="400"/>
      <c r="DZ2" s="400"/>
      <c r="EA2" s="400"/>
      <c r="EB2" s="401"/>
      <c r="EC2" s="805"/>
      <c r="ED2" s="399"/>
      <c r="EE2" s="400"/>
      <c r="EF2" s="1112"/>
      <c r="EG2" s="1112"/>
      <c r="EH2" s="1112"/>
      <c r="EI2" s="1112"/>
      <c r="EJ2" s="1112"/>
      <c r="EK2" s="1112"/>
      <c r="EL2" s="1112"/>
      <c r="EM2" s="1112"/>
      <c r="EN2" s="1112"/>
      <c r="EO2" s="1112"/>
      <c r="EP2" s="1112"/>
      <c r="EQ2" s="1112"/>
      <c r="ER2" s="1112"/>
      <c r="ES2" s="1112"/>
      <c r="ET2" s="1112"/>
      <c r="EU2" s="1112"/>
      <c r="EV2" s="1112"/>
      <c r="EW2" s="1112"/>
      <c r="EX2" s="1113"/>
      <c r="EY2" s="2"/>
      <c r="EZ2" s="2"/>
      <c r="FA2" s="2"/>
      <c r="FB2" s="2"/>
      <c r="FC2" s="2"/>
      <c r="FD2" s="2"/>
      <c r="FE2" s="2"/>
      <c r="FF2" s="2"/>
      <c r="FG2" s="2"/>
      <c r="FH2" s="2"/>
      <c r="FI2" s="2"/>
      <c r="FJ2" s="399"/>
      <c r="FK2" s="400"/>
      <c r="FL2" s="401"/>
      <c r="FM2" s="969"/>
    </row>
    <row r="3" spans="1:169" s="13" customFormat="1" ht="12.75" customHeight="1">
      <c r="A3" s="221"/>
      <c r="B3" s="402"/>
      <c r="C3" s="403"/>
      <c r="D3" s="646"/>
      <c r="E3" s="404"/>
      <c r="F3" s="405"/>
      <c r="G3" s="405"/>
      <c r="H3" s="405"/>
      <c r="I3" s="637"/>
      <c r="J3" s="634"/>
      <c r="K3" s="406"/>
      <c r="L3" s="407"/>
      <c r="M3" s="871"/>
      <c r="N3" s="407"/>
      <c r="O3" s="405"/>
      <c r="P3" s="645"/>
      <c r="Q3" s="637"/>
      <c r="R3" s="634"/>
      <c r="S3" s="408"/>
      <c r="T3" s="409"/>
      <c r="U3" s="637"/>
      <c r="V3" s="631"/>
      <c r="W3" s="410"/>
      <c r="X3" s="403"/>
      <c r="Y3" s="411"/>
      <c r="Z3" s="412"/>
      <c r="AA3" s="628"/>
      <c r="AB3" s="410"/>
      <c r="AC3" s="403"/>
      <c r="AD3" s="411"/>
      <c r="AE3" s="413"/>
      <c r="AF3" s="628"/>
      <c r="AG3" s="629"/>
      <c r="AH3" s="414"/>
      <c r="AI3" s="415"/>
      <c r="AJ3" s="416"/>
      <c r="AK3" s="630"/>
      <c r="AL3" s="631"/>
      <c r="AM3" s="632"/>
      <c r="AN3" s="633"/>
      <c r="AO3" s="634"/>
      <c r="AP3" s="635"/>
      <c r="AQ3" s="410"/>
      <c r="AR3" s="409"/>
      <c r="AS3" s="636"/>
      <c r="AT3" s="637"/>
      <c r="AU3" s="638"/>
      <c r="AV3" s="639"/>
      <c r="AW3" s="409"/>
      <c r="AX3" s="631"/>
      <c r="AY3" s="640"/>
      <c r="AZ3" s="631"/>
      <c r="BA3" s="635"/>
      <c r="BB3" s="635"/>
      <c r="BC3" s="639"/>
      <c r="BD3" s="631"/>
      <c r="BE3" s="639"/>
      <c r="BF3" s="631"/>
      <c r="BG3" s="639"/>
      <c r="BH3" s="631"/>
      <c r="BI3" s="635"/>
      <c r="BJ3" s="639"/>
      <c r="BK3" s="631"/>
      <c r="BL3" s="639"/>
      <c r="BM3" s="631"/>
      <c r="BN3" s="639"/>
      <c r="BO3" s="631"/>
      <c r="BP3" s="639"/>
      <c r="BQ3" s="409"/>
      <c r="BR3" s="631"/>
      <c r="BS3" s="641"/>
      <c r="BT3" s="641"/>
      <c r="BU3" s="642"/>
      <c r="BV3" s="417"/>
      <c r="BW3" s="418"/>
      <c r="BX3" s="418"/>
      <c r="BY3" s="419"/>
      <c r="BZ3" s="968"/>
      <c r="CA3" s="280"/>
      <c r="CB3" s="280"/>
      <c r="CC3" s="280"/>
      <c r="CD3" s="393"/>
      <c r="CE3" s="280"/>
      <c r="CF3" s="394"/>
      <c r="CG3" s="393"/>
      <c r="CH3" s="280"/>
      <c r="CI3" s="280"/>
      <c r="CJ3" s="394"/>
      <c r="CK3" s="280"/>
      <c r="CL3" s="280"/>
      <c r="CM3" s="395"/>
      <c r="CN3" s="396"/>
      <c r="CO3" s="395"/>
      <c r="CP3" s="396"/>
      <c r="CQ3" s="397"/>
      <c r="CR3" s="398"/>
      <c r="CS3" s="398"/>
      <c r="CT3" s="970"/>
      <c r="CU3" s="2"/>
      <c r="CV3" s="647"/>
      <c r="CW3" s="648"/>
      <c r="CX3" s="648"/>
      <c r="CY3" s="648"/>
      <c r="CZ3" s="648"/>
      <c r="DA3" s="648"/>
      <c r="DB3" s="648"/>
      <c r="DC3" s="649"/>
      <c r="DD3" s="648"/>
      <c r="DE3" s="648"/>
      <c r="DF3" s="648"/>
      <c r="DG3" s="649"/>
      <c r="DH3" s="649"/>
      <c r="DI3" s="648"/>
      <c r="DJ3" s="648"/>
      <c r="DK3" s="648"/>
      <c r="DL3" s="648"/>
      <c r="DM3" s="648"/>
      <c r="DN3" s="648"/>
      <c r="DO3" s="648"/>
      <c r="DP3" s="651"/>
      <c r="DQ3" s="951"/>
      <c r="DR3" s="650"/>
      <c r="DS3" s="650"/>
      <c r="DT3" s="650"/>
      <c r="DU3" s="650"/>
      <c r="DV3" s="954"/>
      <c r="DW3" s="951"/>
      <c r="DX3" s="650"/>
      <c r="DY3" s="650"/>
      <c r="DZ3" s="650"/>
      <c r="EA3" s="650"/>
      <c r="EB3" s="651"/>
      <c r="EC3" s="805"/>
      <c r="ED3" s="1104"/>
      <c r="EE3" s="650"/>
      <c r="EF3" s="1110"/>
      <c r="EG3" s="1108"/>
      <c r="EH3" s="1108"/>
      <c r="EI3" s="1108"/>
      <c r="EJ3" s="1108"/>
      <c r="EK3" s="1108"/>
      <c r="EL3" s="1108"/>
      <c r="EM3" s="1110"/>
      <c r="EN3" s="1108"/>
      <c r="EO3" s="1108"/>
      <c r="EP3" s="1108"/>
      <c r="EQ3" s="1108"/>
      <c r="ER3" s="1110"/>
      <c r="ES3" s="1108"/>
      <c r="ET3" s="1108"/>
      <c r="EU3" s="1108"/>
      <c r="EV3" s="1108"/>
      <c r="EW3" s="1108"/>
      <c r="EX3" s="1111"/>
      <c r="EY3" s="2"/>
      <c r="EZ3" s="2"/>
      <c r="FA3" s="2"/>
      <c r="FB3" s="2"/>
      <c r="FC3" s="2"/>
      <c r="FD3" s="2"/>
      <c r="FE3" s="2"/>
      <c r="FF3" s="2"/>
      <c r="FG3" s="2"/>
      <c r="FH3" s="2"/>
      <c r="FI3" s="2"/>
      <c r="FJ3" s="420"/>
      <c r="FK3" s="421"/>
      <c r="FL3" s="422"/>
      <c r="FM3" s="970"/>
    </row>
    <row r="4" spans="1:169" s="13" customFormat="1" ht="12.75" customHeight="1">
      <c r="A4" s="221"/>
      <c r="B4" s="402"/>
      <c r="C4" s="403"/>
      <c r="D4" s="646"/>
      <c r="E4" s="404"/>
      <c r="F4" s="405"/>
      <c r="G4" s="405"/>
      <c r="H4" s="405"/>
      <c r="I4" s="637"/>
      <c r="J4" s="634"/>
      <c r="K4" s="406"/>
      <c r="L4" s="407"/>
      <c r="M4" s="871"/>
      <c r="N4" s="407"/>
      <c r="O4" s="405"/>
      <c r="P4" s="645"/>
      <c r="Q4" s="637"/>
      <c r="R4" s="634"/>
      <c r="S4" s="408"/>
      <c r="T4" s="409"/>
      <c r="U4" s="637"/>
      <c r="V4" s="631"/>
      <c r="W4" s="410"/>
      <c r="X4" s="403"/>
      <c r="Y4" s="411"/>
      <c r="Z4" s="412"/>
      <c r="AA4" s="628"/>
      <c r="AB4" s="410"/>
      <c r="AC4" s="403"/>
      <c r="AD4" s="411"/>
      <c r="AE4" s="413"/>
      <c r="AF4" s="628"/>
      <c r="AG4" s="629"/>
      <c r="AH4" s="414"/>
      <c r="AI4" s="415"/>
      <c r="AJ4" s="416"/>
      <c r="AK4" s="630"/>
      <c r="AL4" s="631"/>
      <c r="AM4" s="632"/>
      <c r="AN4" s="633"/>
      <c r="AO4" s="634"/>
      <c r="AP4" s="635"/>
      <c r="AQ4" s="410"/>
      <c r="AR4" s="409"/>
      <c r="AS4" s="636"/>
      <c r="AT4" s="637"/>
      <c r="AU4" s="638"/>
      <c r="AV4" s="639"/>
      <c r="AW4" s="409"/>
      <c r="AX4" s="631"/>
      <c r="AY4" s="640"/>
      <c r="AZ4" s="631"/>
      <c r="BA4" s="635"/>
      <c r="BB4" s="635"/>
      <c r="BC4" s="639"/>
      <c r="BD4" s="631"/>
      <c r="BE4" s="639"/>
      <c r="BF4" s="631"/>
      <c r="BG4" s="639"/>
      <c r="BH4" s="631"/>
      <c r="BI4" s="635"/>
      <c r="BJ4" s="639"/>
      <c r="BK4" s="631"/>
      <c r="BL4" s="639"/>
      <c r="BM4" s="631"/>
      <c r="BN4" s="639"/>
      <c r="BO4" s="631"/>
      <c r="BP4" s="639"/>
      <c r="BQ4" s="409"/>
      <c r="BR4" s="631"/>
      <c r="BS4" s="641"/>
      <c r="BT4" s="641"/>
      <c r="BU4" s="642"/>
      <c r="BV4" s="417"/>
      <c r="BW4" s="418"/>
      <c r="BX4" s="418"/>
      <c r="BY4" s="419"/>
      <c r="BZ4" s="968"/>
      <c r="CA4" s="280"/>
      <c r="CB4" s="280"/>
      <c r="CC4" s="280"/>
      <c r="CD4" s="393"/>
      <c r="CE4" s="280"/>
      <c r="CF4" s="394"/>
      <c r="CG4" s="393"/>
      <c r="CH4" s="280"/>
      <c r="CI4" s="280"/>
      <c r="CJ4" s="394"/>
      <c r="CK4" s="280"/>
      <c r="CL4" s="280"/>
      <c r="CM4" s="395"/>
      <c r="CN4" s="396"/>
      <c r="CO4" s="395"/>
      <c r="CP4" s="396"/>
      <c r="CQ4" s="397"/>
      <c r="CR4" s="398"/>
      <c r="CS4" s="398"/>
      <c r="CT4" s="970"/>
      <c r="CU4" s="2"/>
      <c r="CV4" s="647"/>
      <c r="CW4" s="648"/>
      <c r="CX4" s="648"/>
      <c r="CY4" s="648"/>
      <c r="CZ4" s="648"/>
      <c r="DA4" s="648"/>
      <c r="DB4" s="648"/>
      <c r="DC4" s="649"/>
      <c r="DD4" s="648"/>
      <c r="DE4" s="648"/>
      <c r="DF4" s="648"/>
      <c r="DG4" s="649"/>
      <c r="DH4" s="649"/>
      <c r="DI4" s="648"/>
      <c r="DJ4" s="648"/>
      <c r="DK4" s="648"/>
      <c r="DL4" s="648"/>
      <c r="DM4" s="648"/>
      <c r="DN4" s="648"/>
      <c r="DO4" s="648"/>
      <c r="DP4" s="651"/>
      <c r="DQ4" s="951"/>
      <c r="DR4" s="650"/>
      <c r="DS4" s="650"/>
      <c r="DT4" s="650"/>
      <c r="DU4" s="650"/>
      <c r="DV4" s="954"/>
      <c r="DW4" s="951"/>
      <c r="DX4" s="650"/>
      <c r="DY4" s="650"/>
      <c r="DZ4" s="650"/>
      <c r="EA4" s="650"/>
      <c r="EB4" s="651"/>
      <c r="EC4" s="805"/>
      <c r="ED4" s="1104"/>
      <c r="EE4" s="650"/>
      <c r="EF4" s="1110"/>
      <c r="EG4" s="1108"/>
      <c r="EH4" s="1108"/>
      <c r="EI4" s="1108"/>
      <c r="EJ4" s="1108"/>
      <c r="EK4" s="1108"/>
      <c r="EL4" s="1108"/>
      <c r="EM4" s="1110"/>
      <c r="EN4" s="1108"/>
      <c r="EO4" s="1108"/>
      <c r="EP4" s="1108"/>
      <c r="EQ4" s="1108"/>
      <c r="ER4" s="1110"/>
      <c r="ES4" s="1108"/>
      <c r="ET4" s="1108"/>
      <c r="EU4" s="1108"/>
      <c r="EV4" s="1108"/>
      <c r="EW4" s="1108"/>
      <c r="EX4" s="1111"/>
      <c r="EY4" s="2"/>
      <c r="EZ4" s="2"/>
      <c r="FA4" s="2"/>
      <c r="FB4" s="2"/>
      <c r="FC4" s="2"/>
      <c r="FD4" s="2"/>
      <c r="FE4" s="2"/>
      <c r="FF4" s="2"/>
      <c r="FG4" s="2"/>
      <c r="FH4" s="2"/>
      <c r="FI4" s="2"/>
      <c r="FJ4" s="420"/>
      <c r="FK4" s="421"/>
      <c r="FL4" s="422"/>
      <c r="FM4" s="970"/>
    </row>
    <row r="5" spans="1:169" s="13" customFormat="1" ht="12.75" customHeight="1">
      <c r="A5" s="221"/>
      <c r="B5" s="402"/>
      <c r="C5" s="403"/>
      <c r="D5" s="646"/>
      <c r="E5" s="404"/>
      <c r="F5" s="405"/>
      <c r="G5" s="405"/>
      <c r="H5" s="405"/>
      <c r="I5" s="637"/>
      <c r="J5" s="634"/>
      <c r="K5" s="406"/>
      <c r="L5" s="407"/>
      <c r="M5" s="871"/>
      <c r="N5" s="407"/>
      <c r="O5" s="405"/>
      <c r="P5" s="645"/>
      <c r="Q5" s="637"/>
      <c r="R5" s="634"/>
      <c r="S5" s="408"/>
      <c r="T5" s="409"/>
      <c r="U5" s="637"/>
      <c r="V5" s="631"/>
      <c r="W5" s="410"/>
      <c r="X5" s="403"/>
      <c r="Y5" s="411"/>
      <c r="Z5" s="412"/>
      <c r="AA5" s="628"/>
      <c r="AB5" s="410"/>
      <c r="AC5" s="403"/>
      <c r="AD5" s="411"/>
      <c r="AE5" s="413"/>
      <c r="AF5" s="628"/>
      <c r="AG5" s="629"/>
      <c r="AH5" s="414"/>
      <c r="AI5" s="415"/>
      <c r="AJ5" s="416"/>
      <c r="AK5" s="630"/>
      <c r="AL5" s="631"/>
      <c r="AM5" s="632"/>
      <c r="AN5" s="633"/>
      <c r="AO5" s="634"/>
      <c r="AP5" s="635"/>
      <c r="AQ5" s="410"/>
      <c r="AR5" s="409"/>
      <c r="AS5" s="636"/>
      <c r="AT5" s="637"/>
      <c r="AU5" s="638"/>
      <c r="AV5" s="639"/>
      <c r="AW5" s="409"/>
      <c r="AX5" s="631"/>
      <c r="AY5" s="640"/>
      <c r="AZ5" s="631"/>
      <c r="BA5" s="635"/>
      <c r="BB5" s="635"/>
      <c r="BC5" s="639"/>
      <c r="BD5" s="631"/>
      <c r="BE5" s="639"/>
      <c r="BF5" s="631"/>
      <c r="BG5" s="639"/>
      <c r="BH5" s="631"/>
      <c r="BI5" s="635"/>
      <c r="BJ5" s="639"/>
      <c r="BK5" s="631"/>
      <c r="BL5" s="639"/>
      <c r="BM5" s="631"/>
      <c r="BN5" s="639"/>
      <c r="BO5" s="631"/>
      <c r="BP5" s="639"/>
      <c r="BQ5" s="409"/>
      <c r="BR5" s="631"/>
      <c r="BS5" s="641"/>
      <c r="BT5" s="641"/>
      <c r="BU5" s="642"/>
      <c r="BV5" s="417"/>
      <c r="BW5" s="418"/>
      <c r="BX5" s="418"/>
      <c r="BY5" s="419"/>
      <c r="BZ5" s="968"/>
      <c r="CA5" s="280"/>
      <c r="CB5" s="280"/>
      <c r="CC5" s="280"/>
      <c r="CD5" s="393"/>
      <c r="CE5" s="280"/>
      <c r="CF5" s="394"/>
      <c r="CG5" s="393"/>
      <c r="CH5" s="280"/>
      <c r="CI5" s="280"/>
      <c r="CJ5" s="394"/>
      <c r="CK5" s="280"/>
      <c r="CL5" s="280"/>
      <c r="CM5" s="395"/>
      <c r="CN5" s="396"/>
      <c r="CO5" s="395"/>
      <c r="CP5" s="396"/>
      <c r="CQ5" s="397"/>
      <c r="CR5" s="398"/>
      <c r="CS5" s="398"/>
      <c r="CT5" s="970"/>
      <c r="CU5" s="2"/>
      <c r="CV5" s="647"/>
      <c r="CW5" s="648"/>
      <c r="CX5" s="648"/>
      <c r="CY5" s="648"/>
      <c r="CZ5" s="648"/>
      <c r="DA5" s="648"/>
      <c r="DB5" s="648"/>
      <c r="DC5" s="649"/>
      <c r="DD5" s="648"/>
      <c r="DE5" s="648"/>
      <c r="DF5" s="648"/>
      <c r="DG5" s="649"/>
      <c r="DH5" s="649"/>
      <c r="DI5" s="648"/>
      <c r="DJ5" s="648"/>
      <c r="DK5" s="648"/>
      <c r="DL5" s="648"/>
      <c r="DM5" s="648"/>
      <c r="DN5" s="648"/>
      <c r="DO5" s="648"/>
      <c r="DP5" s="651"/>
      <c r="DQ5" s="951"/>
      <c r="DR5" s="650"/>
      <c r="DS5" s="650"/>
      <c r="DT5" s="650"/>
      <c r="DU5" s="650"/>
      <c r="DV5" s="954"/>
      <c r="DW5" s="951"/>
      <c r="DX5" s="650"/>
      <c r="DY5" s="650"/>
      <c r="DZ5" s="650"/>
      <c r="EA5" s="650"/>
      <c r="EB5" s="651"/>
      <c r="EC5" s="805"/>
      <c r="ED5" s="1104"/>
      <c r="EE5" s="650"/>
      <c r="EF5" s="1110"/>
      <c r="EG5" s="1108"/>
      <c r="EH5" s="1108"/>
      <c r="EI5" s="1108"/>
      <c r="EJ5" s="1108"/>
      <c r="EK5" s="1108"/>
      <c r="EL5" s="1108"/>
      <c r="EM5" s="1110"/>
      <c r="EN5" s="1108"/>
      <c r="EO5" s="1108"/>
      <c r="EP5" s="1108"/>
      <c r="EQ5" s="1108"/>
      <c r="ER5" s="1110"/>
      <c r="ES5" s="1108"/>
      <c r="ET5" s="1108"/>
      <c r="EU5" s="1108"/>
      <c r="EV5" s="1108"/>
      <c r="EW5" s="1108"/>
      <c r="EX5" s="1111"/>
      <c r="EY5" s="2"/>
      <c r="EZ5" s="2"/>
      <c r="FA5" s="2"/>
      <c r="FB5" s="2"/>
      <c r="FC5" s="2"/>
      <c r="FD5" s="2"/>
      <c r="FE5" s="2"/>
      <c r="FF5" s="2"/>
      <c r="FG5" s="2"/>
      <c r="FH5" s="2"/>
      <c r="FI5" s="2"/>
      <c r="FJ5" s="420"/>
      <c r="FK5" s="421"/>
      <c r="FL5" s="422"/>
      <c r="FM5" s="970"/>
    </row>
    <row r="6" spans="1:169" s="13" customFormat="1" ht="12.75" customHeight="1">
      <c r="A6" s="221"/>
      <c r="B6" s="402"/>
      <c r="C6" s="403"/>
      <c r="D6" s="646"/>
      <c r="E6" s="404"/>
      <c r="F6" s="405"/>
      <c r="G6" s="405"/>
      <c r="H6" s="405"/>
      <c r="I6" s="637"/>
      <c r="J6" s="634"/>
      <c r="K6" s="406"/>
      <c r="L6" s="407"/>
      <c r="M6" s="871"/>
      <c r="N6" s="407"/>
      <c r="O6" s="405"/>
      <c r="P6" s="645"/>
      <c r="Q6" s="637"/>
      <c r="R6" s="634"/>
      <c r="S6" s="408"/>
      <c r="T6" s="409"/>
      <c r="U6" s="637"/>
      <c r="V6" s="631"/>
      <c r="W6" s="410"/>
      <c r="X6" s="403"/>
      <c r="Y6" s="411"/>
      <c r="Z6" s="412"/>
      <c r="AA6" s="628"/>
      <c r="AB6" s="410"/>
      <c r="AC6" s="403"/>
      <c r="AD6" s="411"/>
      <c r="AE6" s="413"/>
      <c r="AF6" s="628"/>
      <c r="AG6" s="629"/>
      <c r="AH6" s="414"/>
      <c r="AI6" s="415"/>
      <c r="AJ6" s="416"/>
      <c r="AK6" s="630"/>
      <c r="AL6" s="631"/>
      <c r="AM6" s="632"/>
      <c r="AN6" s="633"/>
      <c r="AO6" s="634"/>
      <c r="AP6" s="635"/>
      <c r="AQ6" s="410"/>
      <c r="AR6" s="409"/>
      <c r="AS6" s="636"/>
      <c r="AT6" s="637"/>
      <c r="AU6" s="638"/>
      <c r="AV6" s="639"/>
      <c r="AW6" s="409"/>
      <c r="AX6" s="631"/>
      <c r="AY6" s="640"/>
      <c r="AZ6" s="631"/>
      <c r="BA6" s="635"/>
      <c r="BB6" s="635"/>
      <c r="BC6" s="639"/>
      <c r="BD6" s="631"/>
      <c r="BE6" s="639"/>
      <c r="BF6" s="631"/>
      <c r="BG6" s="639"/>
      <c r="BH6" s="631"/>
      <c r="BI6" s="635"/>
      <c r="BJ6" s="639"/>
      <c r="BK6" s="631"/>
      <c r="BL6" s="639"/>
      <c r="BM6" s="631"/>
      <c r="BN6" s="639"/>
      <c r="BO6" s="631"/>
      <c r="BP6" s="639"/>
      <c r="BQ6" s="409"/>
      <c r="BR6" s="631"/>
      <c r="BS6" s="641"/>
      <c r="BT6" s="641"/>
      <c r="BU6" s="642"/>
      <c r="BV6" s="417"/>
      <c r="BW6" s="418"/>
      <c r="BX6" s="418"/>
      <c r="BY6" s="419"/>
      <c r="BZ6" s="968"/>
      <c r="CA6" s="280"/>
      <c r="CB6" s="280"/>
      <c r="CC6" s="280"/>
      <c r="CD6" s="393"/>
      <c r="CE6" s="280"/>
      <c r="CF6" s="394"/>
      <c r="CG6" s="393"/>
      <c r="CH6" s="280"/>
      <c r="CI6" s="280"/>
      <c r="CJ6" s="394"/>
      <c r="CK6" s="280"/>
      <c r="CL6" s="280"/>
      <c r="CM6" s="395"/>
      <c r="CN6" s="396"/>
      <c r="CO6" s="395"/>
      <c r="CP6" s="396"/>
      <c r="CQ6" s="397"/>
      <c r="CR6" s="398"/>
      <c r="CS6" s="398"/>
      <c r="CT6" s="970"/>
      <c r="CU6" s="2"/>
      <c r="CV6" s="647"/>
      <c r="CW6" s="648"/>
      <c r="CX6" s="648"/>
      <c r="CY6" s="648"/>
      <c r="CZ6" s="648"/>
      <c r="DA6" s="648"/>
      <c r="DB6" s="648"/>
      <c r="DC6" s="649"/>
      <c r="DD6" s="648"/>
      <c r="DE6" s="648"/>
      <c r="DF6" s="648"/>
      <c r="DG6" s="649"/>
      <c r="DH6" s="649"/>
      <c r="DI6" s="648"/>
      <c r="DJ6" s="648"/>
      <c r="DK6" s="648"/>
      <c r="DL6" s="648"/>
      <c r="DM6" s="648"/>
      <c r="DN6" s="648"/>
      <c r="DO6" s="648"/>
      <c r="DP6" s="651"/>
      <c r="DQ6" s="951"/>
      <c r="DR6" s="650"/>
      <c r="DS6" s="650"/>
      <c r="DT6" s="650"/>
      <c r="DU6" s="650"/>
      <c r="DV6" s="954"/>
      <c r="DW6" s="951"/>
      <c r="DX6" s="650"/>
      <c r="DY6" s="650"/>
      <c r="DZ6" s="650"/>
      <c r="EA6" s="650"/>
      <c r="EB6" s="651"/>
      <c r="EC6" s="805"/>
      <c r="ED6" s="1104"/>
      <c r="EE6" s="650"/>
      <c r="EF6" s="1110"/>
      <c r="EG6" s="1108"/>
      <c r="EH6" s="1108"/>
      <c r="EI6" s="1108"/>
      <c r="EJ6" s="1108"/>
      <c r="EK6" s="1108"/>
      <c r="EL6" s="1108"/>
      <c r="EM6" s="1110"/>
      <c r="EN6" s="1108"/>
      <c r="EO6" s="1108"/>
      <c r="EP6" s="1108"/>
      <c r="EQ6" s="1108"/>
      <c r="ER6" s="1110"/>
      <c r="ES6" s="1108"/>
      <c r="ET6" s="1108"/>
      <c r="EU6" s="1108"/>
      <c r="EV6" s="1108"/>
      <c r="EW6" s="1108"/>
      <c r="EX6" s="1111"/>
      <c r="EY6" s="2"/>
      <c r="EZ6" s="2"/>
      <c r="FA6" s="2"/>
      <c r="FB6" s="2"/>
      <c r="FC6" s="2"/>
      <c r="FD6" s="2"/>
      <c r="FE6" s="2"/>
      <c r="FF6" s="2"/>
      <c r="FG6" s="2"/>
      <c r="FH6" s="2"/>
      <c r="FI6" s="2"/>
      <c r="FJ6" s="420"/>
      <c r="FK6" s="421"/>
      <c r="FL6" s="422"/>
      <c r="FM6" s="970"/>
    </row>
    <row r="7" spans="1:169" s="13" customFormat="1" ht="12.75" customHeight="1">
      <c r="A7" s="221"/>
      <c r="B7" s="402"/>
      <c r="C7" s="403"/>
      <c r="D7" s="646"/>
      <c r="E7" s="404"/>
      <c r="F7" s="405"/>
      <c r="G7" s="405"/>
      <c r="H7" s="405"/>
      <c r="I7" s="637"/>
      <c r="J7" s="634"/>
      <c r="K7" s="406"/>
      <c r="L7" s="407"/>
      <c r="M7" s="871"/>
      <c r="N7" s="407"/>
      <c r="O7" s="405"/>
      <c r="P7" s="645"/>
      <c r="Q7" s="637"/>
      <c r="R7" s="634"/>
      <c r="S7" s="408"/>
      <c r="T7" s="409"/>
      <c r="U7" s="637"/>
      <c r="V7" s="631"/>
      <c r="W7" s="410"/>
      <c r="X7" s="403"/>
      <c r="Y7" s="411"/>
      <c r="Z7" s="412"/>
      <c r="AA7" s="628"/>
      <c r="AB7" s="410"/>
      <c r="AC7" s="403"/>
      <c r="AD7" s="411"/>
      <c r="AE7" s="413"/>
      <c r="AF7" s="628"/>
      <c r="AG7" s="629"/>
      <c r="AH7" s="414"/>
      <c r="AI7" s="415"/>
      <c r="AJ7" s="416"/>
      <c r="AK7" s="630"/>
      <c r="AL7" s="631"/>
      <c r="AM7" s="632"/>
      <c r="AN7" s="633"/>
      <c r="AO7" s="634"/>
      <c r="AP7" s="635"/>
      <c r="AQ7" s="410"/>
      <c r="AR7" s="409"/>
      <c r="AS7" s="636"/>
      <c r="AT7" s="637"/>
      <c r="AU7" s="638"/>
      <c r="AV7" s="639"/>
      <c r="AW7" s="409"/>
      <c r="AX7" s="631"/>
      <c r="AY7" s="640"/>
      <c r="AZ7" s="631"/>
      <c r="BA7" s="635"/>
      <c r="BB7" s="635"/>
      <c r="BC7" s="639"/>
      <c r="BD7" s="631"/>
      <c r="BE7" s="639"/>
      <c r="BF7" s="631"/>
      <c r="BG7" s="639"/>
      <c r="BH7" s="631"/>
      <c r="BI7" s="635"/>
      <c r="BJ7" s="639"/>
      <c r="BK7" s="631"/>
      <c r="BL7" s="639"/>
      <c r="BM7" s="631"/>
      <c r="BN7" s="639"/>
      <c r="BO7" s="631"/>
      <c r="BP7" s="639"/>
      <c r="BQ7" s="409"/>
      <c r="BR7" s="631"/>
      <c r="BS7" s="641"/>
      <c r="BT7" s="641"/>
      <c r="BU7" s="642"/>
      <c r="BV7" s="417"/>
      <c r="BW7" s="418"/>
      <c r="BX7" s="418"/>
      <c r="BY7" s="419"/>
      <c r="BZ7" s="968"/>
      <c r="CA7" s="280"/>
      <c r="CB7" s="280"/>
      <c r="CC7" s="280"/>
      <c r="CD7" s="393"/>
      <c r="CE7" s="280"/>
      <c r="CF7" s="394"/>
      <c r="CG7" s="393"/>
      <c r="CH7" s="280"/>
      <c r="CI7" s="280"/>
      <c r="CJ7" s="394"/>
      <c r="CK7" s="280"/>
      <c r="CL7" s="280"/>
      <c r="CM7" s="395"/>
      <c r="CN7" s="396"/>
      <c r="CO7" s="395"/>
      <c r="CP7" s="396"/>
      <c r="CQ7" s="397"/>
      <c r="CR7" s="398"/>
      <c r="CS7" s="398"/>
      <c r="CT7" s="970"/>
      <c r="CU7" s="2"/>
      <c r="CV7" s="647"/>
      <c r="CW7" s="648"/>
      <c r="CX7" s="648"/>
      <c r="CY7" s="648"/>
      <c r="CZ7" s="648"/>
      <c r="DA7" s="648"/>
      <c r="DB7" s="648"/>
      <c r="DC7" s="649"/>
      <c r="DD7" s="648"/>
      <c r="DE7" s="648"/>
      <c r="DF7" s="648"/>
      <c r="DG7" s="649"/>
      <c r="DH7" s="649"/>
      <c r="DI7" s="648"/>
      <c r="DJ7" s="648"/>
      <c r="DK7" s="648"/>
      <c r="DL7" s="648"/>
      <c r="DM7" s="648"/>
      <c r="DN7" s="648"/>
      <c r="DO7" s="648"/>
      <c r="DP7" s="651"/>
      <c r="DQ7" s="951"/>
      <c r="DR7" s="650"/>
      <c r="DS7" s="650"/>
      <c r="DT7" s="650"/>
      <c r="DU7" s="650"/>
      <c r="DV7" s="954"/>
      <c r="DW7" s="951"/>
      <c r="DX7" s="650"/>
      <c r="DY7" s="650"/>
      <c r="DZ7" s="650"/>
      <c r="EA7" s="650"/>
      <c r="EB7" s="651"/>
      <c r="EC7" s="805"/>
      <c r="ED7" s="1104"/>
      <c r="EE7" s="650"/>
      <c r="EF7" s="1110"/>
      <c r="EG7" s="1108"/>
      <c r="EH7" s="1108"/>
      <c r="EI7" s="1108"/>
      <c r="EJ7" s="1108"/>
      <c r="EK7" s="1108"/>
      <c r="EL7" s="1108"/>
      <c r="EM7" s="1110"/>
      <c r="EN7" s="1108"/>
      <c r="EO7" s="1108"/>
      <c r="EP7" s="1108"/>
      <c r="EQ7" s="1108"/>
      <c r="ER7" s="1110"/>
      <c r="ES7" s="1108"/>
      <c r="ET7" s="1108"/>
      <c r="EU7" s="1108"/>
      <c r="EV7" s="1108"/>
      <c r="EW7" s="1108"/>
      <c r="EX7" s="1111"/>
      <c r="EY7" s="2"/>
      <c r="EZ7" s="2"/>
      <c r="FA7" s="2"/>
      <c r="FB7" s="2"/>
      <c r="FC7" s="2"/>
      <c r="FD7" s="2"/>
      <c r="FE7" s="2"/>
      <c r="FF7" s="2"/>
      <c r="FG7" s="2"/>
      <c r="FH7" s="2"/>
      <c r="FI7" s="2"/>
      <c r="FJ7" s="420"/>
      <c r="FK7" s="421"/>
      <c r="FL7" s="422"/>
      <c r="FM7" s="970"/>
    </row>
    <row r="8" spans="1:169">
      <c r="EC8" s="805"/>
    </row>
    <row r="9" spans="1:169" ht="12.75" customHeight="1">
      <c r="A9" s="425"/>
      <c r="B9" s="1470" t="s">
        <v>76</v>
      </c>
      <c r="C9" s="1472" t="s">
        <v>131</v>
      </c>
      <c r="D9" s="1470" t="s">
        <v>69</v>
      </c>
      <c r="E9" s="1470" t="s">
        <v>34</v>
      </c>
      <c r="F9" s="1470" t="s">
        <v>78</v>
      </c>
      <c r="G9" s="1470" t="s">
        <v>132</v>
      </c>
      <c r="H9" s="1470" t="s">
        <v>134</v>
      </c>
      <c r="I9" s="1470"/>
      <c r="J9" s="1470"/>
      <c r="K9" s="1470"/>
      <c r="L9" s="1472" t="s">
        <v>141</v>
      </c>
      <c r="M9" s="1475" t="s">
        <v>138</v>
      </c>
      <c r="N9" s="1470" t="s">
        <v>70</v>
      </c>
      <c r="O9" s="1470"/>
      <c r="P9" s="1470"/>
      <c r="Q9" s="1470" t="s">
        <v>171</v>
      </c>
      <c r="R9" s="1470" t="s">
        <v>259</v>
      </c>
      <c r="EC9" s="805"/>
    </row>
    <row r="10" spans="1:169" ht="12.75" customHeight="1">
      <c r="A10" s="426"/>
      <c r="B10" s="1471"/>
      <c r="C10" s="1473"/>
      <c r="D10" s="1471"/>
      <c r="E10" s="1471"/>
      <c r="F10" s="1471"/>
      <c r="G10" s="1471"/>
      <c r="H10" s="427" t="s">
        <v>38</v>
      </c>
      <c r="I10" s="427" t="s">
        <v>121</v>
      </c>
      <c r="J10" s="427" t="s">
        <v>122</v>
      </c>
      <c r="K10" s="427" t="s">
        <v>183</v>
      </c>
      <c r="L10" s="1473"/>
      <c r="M10" s="1476"/>
      <c r="N10" s="427" t="s">
        <v>78</v>
      </c>
      <c r="O10" s="427" t="s">
        <v>132</v>
      </c>
      <c r="P10" s="428" t="s">
        <v>133</v>
      </c>
      <c r="Q10" s="1471"/>
      <c r="R10" s="1471"/>
      <c r="EC10" s="805"/>
    </row>
    <row r="11" spans="1:169" s="31" customFormat="1" ht="13.5">
      <c r="A11" s="20" t="str">
        <f>CONCATENATE(B11&amp;" "&amp;D11)</f>
        <v xml:space="preserve"> </v>
      </c>
      <c r="B11" s="429"/>
      <c r="C11" s="21">
        <v>1</v>
      </c>
      <c r="D11" s="22"/>
      <c r="E11" s="23"/>
      <c r="F11" s="24">
        <v>1</v>
      </c>
      <c r="G11" s="25"/>
      <c r="H11" s="24"/>
      <c r="I11" s="24"/>
      <c r="J11" s="24"/>
      <c r="K11" s="24"/>
      <c r="L11" s="24"/>
      <c r="M11" s="430">
        <v>1</v>
      </c>
      <c r="N11" s="26">
        <f>F11</f>
        <v>1</v>
      </c>
      <c r="O11" s="431">
        <f>SUMIF($C:$C,2,$O:$O)</f>
        <v>0</v>
      </c>
      <c r="P11" s="27">
        <f>SUMIF($C:$C,2,$F:$F)</f>
        <v>0</v>
      </c>
      <c r="Q11" s="28"/>
      <c r="R11" s="29"/>
      <c r="S11" s="30"/>
      <c r="BW11" s="32"/>
      <c r="BX11" s="32"/>
      <c r="BY11" s="32"/>
      <c r="CR11" s="432"/>
      <c r="CS11" s="432"/>
      <c r="EC11" s="805"/>
      <c r="ED11" s="433"/>
      <c r="EE11" s="433"/>
      <c r="EF11" s="433"/>
    </row>
    <row r="12" spans="1:169" s="34" customFormat="1">
      <c r="A12" s="886" t="str">
        <f t="shared" ref="A12:A18" si="0">CONCATENATE(B12&amp;" "&amp;D12)</f>
        <v xml:space="preserve"> </v>
      </c>
      <c r="B12" s="887"/>
      <c r="C12" s="888">
        <v>2</v>
      </c>
      <c r="D12" s="889"/>
      <c r="E12" s="888"/>
      <c r="F12" s="890"/>
      <c r="G12" s="891"/>
      <c r="H12" s="890"/>
      <c r="I12" s="890"/>
      <c r="J12" s="890"/>
      <c r="K12" s="892"/>
      <c r="L12" s="893"/>
      <c r="M12" s="897">
        <v>1</v>
      </c>
      <c r="N12" s="894" cm="1">
        <f t="array" ref="N12">F12*LOOKUP(100,1/($C$1:INDEX($C:$C,ROW()-1)=$C12-1),$N$1:INDEX($N:$N,ROW()-1))</f>
        <v>0</v>
      </c>
      <c r="O12" s="895" cm="1">
        <f t="array" ref="O12">IFERROR(IF(INDEX($C:$C,ROW()+1)=$C12+1,SUMIF(INDEX($C:$C,ROW()+1):INDEX($C:$C,IFERROR(ROW()+MATCH($C12,INDEX($C:$C,ROW()+1):INDEX($C:$C,MAX(ROW(BOM))),0)-1,MAX(ROW(BOM)))),$C12+1,INDEX($O:$O,ROW()+1):INDEX($O:$O,IFERROR(ROW()+MATCH($C12,INDEX($C:$C,ROW()+1):INDEX($C:$C,MAX(ROW(BOM))),0)-1,MAX(ROW(BOM))))),$N12*$G12),0)</f>
        <v>0</v>
      </c>
      <c r="P12" s="896" cm="1">
        <f t="array" ref="P12">IFERROR(SUMIF(INDEX($C:$C,ROW()+1):INDEX($C:$C,IFERROR(ROW()+MATCH($C12,INDEX($C:$C,ROW()+1):INDEX($C:$C,MAX(ROW(BOM))),0)-1,MAX(ROW(BOM)))),$C12+1,INDEX($F:$F,ROW()+1):INDEX($F:$F,IFERROR(ROW()+MATCH($C12,INDEX($C:$C,ROW()+1):INDEX($C:$C,MAX(ROW(BOM))),0)-1,MAX(ROW(BOM))))),0)</f>
        <v>0</v>
      </c>
      <c r="Q12" s="889"/>
      <c r="R12" s="815"/>
      <c r="S12" s="33"/>
      <c r="CR12" s="35"/>
      <c r="CS12" s="35"/>
      <c r="EC12" s="805"/>
      <c r="ED12" s="36"/>
      <c r="EE12" s="36"/>
      <c r="EF12" s="36"/>
    </row>
    <row r="13" spans="1:169" s="38" customFormat="1" ht="13.5">
      <c r="A13" s="832" t="str">
        <f t="shared" si="0"/>
        <v xml:space="preserve"> </v>
      </c>
      <c r="B13" s="845"/>
      <c r="C13" s="834">
        <v>3</v>
      </c>
      <c r="D13" s="835"/>
      <c r="E13" s="834"/>
      <c r="F13" s="836"/>
      <c r="G13" s="837"/>
      <c r="H13" s="836"/>
      <c r="I13" s="836"/>
      <c r="J13" s="836"/>
      <c r="K13" s="838"/>
      <c r="L13" s="839"/>
      <c r="M13" s="840">
        <v>1</v>
      </c>
      <c r="N13" s="841" cm="1">
        <f t="array" ref="N13">F13*LOOKUP(100,1/($C$1:INDEX($C:$C,ROW()-1)=$C13-1),$N$1:INDEX($N:$N,ROW()-1))</f>
        <v>0</v>
      </c>
      <c r="O13" s="842" cm="1">
        <f t="array" ref="O13">IFERROR(IF(INDEX($C:$C,ROW()+1)=$C13+1,SUMIF(INDEX($C:$C,ROW()+1):INDEX($C:$C,IFERROR(ROW()+MATCH($C13,INDEX($C:$C,ROW()+1):INDEX($C:$C,MAX(ROW(BOM))),0)-1,MAX(ROW(BOM)))),$C13+1,INDEX($O:$O,ROW()+1):INDEX($O:$O,IFERROR(ROW()+MATCH($C13,INDEX($C:$C,ROW()+1):INDEX($C:$C,MAX(ROW(BOM))),0)-1,MAX(ROW(BOM))))),$N13*$G13),0)</f>
        <v>0</v>
      </c>
      <c r="P13" s="843" cm="1">
        <f t="array" ref="P13">IFERROR(SUMIF(INDEX($C:$C,ROW()+1):INDEX($C:$C,IFERROR(ROW()+MATCH($C13,INDEX($C:$C,ROW()+1):INDEX($C:$C,MAX(ROW(BOM))),0)-1,MAX(ROW(BOM)))),$C13+1,INDEX($F:$F,ROW()+1):INDEX($F:$F,IFERROR(ROW()+MATCH($C13,INDEX($C:$C,ROW()+1):INDEX($C:$C,MAX(ROW(BOM))),0)-1,MAX(ROW(BOM))))),0)</f>
        <v>0</v>
      </c>
      <c r="Q13" s="833"/>
      <c r="R13" s="846"/>
      <c r="S13" s="37"/>
      <c r="CR13" s="39"/>
      <c r="CS13" s="39"/>
      <c r="EC13" s="805"/>
      <c r="ED13" s="40"/>
      <c r="EE13" s="40"/>
      <c r="EF13" s="40"/>
    </row>
    <row r="14" spans="1:169" s="34" customFormat="1">
      <c r="A14" s="820" t="str">
        <f t="shared" si="0"/>
        <v xml:space="preserve"> </v>
      </c>
      <c r="B14" s="821"/>
      <c r="C14" s="822">
        <v>4</v>
      </c>
      <c r="D14" s="823"/>
      <c r="E14" s="822"/>
      <c r="F14" s="824"/>
      <c r="G14" s="825"/>
      <c r="H14" s="824"/>
      <c r="I14" s="824"/>
      <c r="J14" s="824"/>
      <c r="K14" s="826"/>
      <c r="L14" s="827"/>
      <c r="M14" s="828">
        <v>1</v>
      </c>
      <c r="N14" s="829" cm="1">
        <f t="array" ref="N14">F14*LOOKUP(100,1/($C$1:INDEX($C:$C,ROW()-1)=$C14-1),$N$1:INDEX($N:$N,ROW()-1))</f>
        <v>0</v>
      </c>
      <c r="O14" s="830" cm="1">
        <f t="array" ref="O14">IFERROR(IF(INDEX($C:$C,ROW()+1)=$C14+1,SUMIF(INDEX($C:$C,ROW()+1):INDEX($C:$C,IFERROR(ROW()+MATCH($C14,INDEX($C:$C,ROW()+1):INDEX($C:$C,MAX(ROW(BOM))),0)-1,MAX(ROW(BOM)))),$C14+1,INDEX($O:$O,ROW()+1):INDEX($O:$O,IFERROR(ROW()+MATCH($C14,INDEX($C:$C,ROW()+1):INDEX($C:$C,MAX(ROW(BOM))),0)-1,MAX(ROW(BOM))))),$N14*$G14),0)</f>
        <v>0</v>
      </c>
      <c r="P14" s="831" cm="1">
        <f t="array" ref="P14">IFERROR(SUMIF(INDEX($C:$C,ROW()+1):INDEX($C:$C,IFERROR(ROW()+MATCH($C14,INDEX($C:$C,ROW()+1):INDEX($C:$C,MAX(ROW(BOM))),0)-1,MAX(ROW(BOM)))),$C14+1,INDEX($F:$F,ROW()+1):INDEX($F:$F,IFERROR(ROW()+MATCH($C14,INDEX($C:$C,ROW()+1):INDEX($C:$C,MAX(ROW(BOM))),0)-1,MAX(ROW(BOM))))),0)</f>
        <v>0</v>
      </c>
      <c r="Q14" s="821"/>
      <c r="R14" s="847"/>
      <c r="S14" s="33"/>
      <c r="CR14" s="35"/>
      <c r="CS14" s="35"/>
      <c r="EC14" s="805"/>
      <c r="ED14" s="36"/>
      <c r="EE14" s="36"/>
      <c r="EF14" s="36"/>
    </row>
    <row r="15" spans="1:169" s="34" customFormat="1">
      <c r="A15" s="848" t="str">
        <f t="shared" si="0"/>
        <v xml:space="preserve"> </v>
      </c>
      <c r="B15" s="849"/>
      <c r="C15" s="850">
        <v>5</v>
      </c>
      <c r="D15" s="851"/>
      <c r="E15" s="850"/>
      <c r="F15" s="852"/>
      <c r="G15" s="853"/>
      <c r="H15" s="852"/>
      <c r="I15" s="852"/>
      <c r="J15" s="852"/>
      <c r="K15" s="854"/>
      <c r="L15" s="855"/>
      <c r="M15" s="856">
        <v>1</v>
      </c>
      <c r="N15" s="857" cm="1">
        <f t="array" ref="N15">F15*LOOKUP(100,1/($C$1:INDEX($C:$C,ROW()-1)=$C15-1),$N$1:INDEX($N:$N,ROW()-1))</f>
        <v>0</v>
      </c>
      <c r="O15" s="858" cm="1">
        <f t="array" ref="O15">IFERROR(IF(INDEX($C:$C,ROW()+1)=$C15+1,SUMIF(INDEX($C:$C,ROW()+1):INDEX($C:$C,IFERROR(ROW()+MATCH($C15,INDEX($C:$C,ROW()+1):INDEX($C:$C,MAX(ROW(BOM))),0)-1,MAX(ROW(BOM)))),$C15+1,INDEX($O:$O,ROW()+1):INDEX($O:$O,IFERROR(ROW()+MATCH($C15,INDEX($C:$C,ROW()+1):INDEX($C:$C,MAX(ROW(BOM))),0)-1,MAX(ROW(BOM))))),$N15*$G15),0)</f>
        <v>0</v>
      </c>
      <c r="P15" s="859" cm="1">
        <f t="array" ref="P15">IFERROR(SUMIF(INDEX($C:$C,ROW()+1):INDEX($C:$C,IFERROR(ROW()+MATCH($C15,INDEX($C:$C,ROW()+1):INDEX($C:$C,MAX(ROW(BOM))),0)-1,MAX(ROW(BOM)))),$C15+1,INDEX($F:$F,ROW()+1):INDEX($F:$F,IFERROR(ROW()+MATCH($C15,INDEX($C:$C,ROW()+1):INDEX($C:$C,MAX(ROW(BOM))),0)-1,MAX(ROW(BOM))))),0)</f>
        <v>0</v>
      </c>
      <c r="Q15" s="849"/>
      <c r="R15" s="860"/>
      <c r="S15" s="33"/>
      <c r="BW15" s="434"/>
      <c r="BX15" s="434"/>
      <c r="BY15" s="434"/>
      <c r="CR15" s="35"/>
      <c r="CS15" s="35"/>
      <c r="EC15" s="805"/>
      <c r="ED15" s="36"/>
      <c r="EE15" s="36"/>
      <c r="EF15" s="36"/>
    </row>
    <row r="16" spans="1:169">
      <c r="A16" s="861" t="str">
        <f t="shared" si="0"/>
        <v xml:space="preserve"> </v>
      </c>
      <c r="B16" s="625"/>
      <c r="C16" s="615">
        <v>6</v>
      </c>
      <c r="D16" s="616"/>
      <c r="E16" s="615"/>
      <c r="F16" s="617"/>
      <c r="G16" s="618"/>
      <c r="H16" s="617"/>
      <c r="I16" s="617"/>
      <c r="J16" s="617"/>
      <c r="K16" s="619"/>
      <c r="L16" s="620"/>
      <c r="M16" s="621">
        <v>1</v>
      </c>
      <c r="N16" s="622" cm="1">
        <f t="array" ref="N16">F16*LOOKUP(100,1/($C$1:INDEX($C:$C,ROW()-1)=$C16-1),$N$1:INDEX($N:$N,ROW()-1))</f>
        <v>0</v>
      </c>
      <c r="O16" s="623" cm="1">
        <f t="array" ref="O16">IFERROR(IF(INDEX($C:$C,ROW()+1)=$C16+1,SUMIF(INDEX($C:$C,ROW()+1):INDEX($C:$C,IFERROR(ROW()+MATCH($C16,INDEX($C:$C,ROW()+1):INDEX($C:$C,MAX(ROW(BOM))),0)-1,MAX(ROW(BOM)))),$C16+1,INDEX($O:$O,ROW()+1):INDEX($O:$O,IFERROR(ROW()+MATCH($C16,INDEX($C:$C,ROW()+1):INDEX($C:$C,MAX(ROW(BOM))),0)-1,MAX(ROW(BOM))))),$N16*$G16),0)</f>
        <v>0</v>
      </c>
      <c r="P16" s="624" cm="1">
        <f t="array" ref="P16">IFERROR(SUMIF(INDEX($C:$C,ROW()+1):INDEX($C:$C,IFERROR(ROW()+MATCH($C16,INDEX($C:$C,ROW()+1):INDEX($C:$C,MAX(ROW(BOM))),0)-1,MAX(ROW(BOM)))),$C16+1,INDEX($F:$F,ROW()+1):INDEX($F:$F,IFERROR(ROW()+MATCH($C16,INDEX($C:$C,ROW()+1):INDEX($C:$C,MAX(ROW(BOM))),0)-1,MAX(ROW(BOM))))),0)</f>
        <v>0</v>
      </c>
      <c r="Q16" s="625"/>
      <c r="R16" s="626"/>
      <c r="S16" s="447"/>
      <c r="BW16" s="5"/>
      <c r="BX16" s="5"/>
      <c r="BY16" s="5"/>
      <c r="EC16" s="805"/>
    </row>
    <row r="17" spans="1:133">
      <c r="A17" s="627" t="str">
        <f t="shared" si="0"/>
        <v xml:space="preserve"> </v>
      </c>
      <c r="B17" s="612"/>
      <c r="C17" s="602">
        <v>7</v>
      </c>
      <c r="D17" s="603"/>
      <c r="E17" s="602"/>
      <c r="F17" s="604"/>
      <c r="G17" s="605"/>
      <c r="H17" s="604"/>
      <c r="I17" s="604"/>
      <c r="J17" s="604"/>
      <c r="K17" s="606"/>
      <c r="L17" s="607"/>
      <c r="M17" s="608">
        <v>1</v>
      </c>
      <c r="N17" s="609" cm="1">
        <f t="array" ref="N17">F17*LOOKUP(100,1/($C$1:INDEX($C:$C,ROW()-1)=$C17-1),$N$1:INDEX($N:$N,ROW()-1))</f>
        <v>0</v>
      </c>
      <c r="O17" s="610" cm="1">
        <f t="array" ref="O17">IFERROR(IF(INDEX($C:$C,ROW()+1)=$C17+1,SUMIF(INDEX($C:$C,ROW()+1):INDEX($C:$C,IFERROR(ROW()+MATCH($C17,INDEX($C:$C,ROW()+1):INDEX($C:$C,MAX(ROW(BOM))),0)-1,MAX(ROW(BOM)))),$C17+1,INDEX($O:$O,ROW()+1):INDEX($O:$O,IFERROR(ROW()+MATCH($C17,INDEX($C:$C,ROW()+1):INDEX($C:$C,MAX(ROW(BOM))),0)-1,MAX(ROW(BOM))))),$N17*$G17),0)</f>
        <v>0</v>
      </c>
      <c r="P17" s="611" cm="1">
        <f t="array" ref="P17">IFERROR(SUMIF(INDEX($C:$C,ROW()+1):INDEX($C:$C,IFERROR(ROW()+MATCH($C17,INDEX($C:$C,ROW()+1):INDEX($C:$C,MAX(ROW(BOM))),0)-1,MAX(ROW(BOM)))),$C17+1,INDEX($F:$F,ROW()+1):INDEX($F:$F,IFERROR(ROW()+MATCH($C17,INDEX($C:$C,ROW()+1):INDEX($C:$C,MAX(ROW(BOM))),0)-1,MAX(ROW(BOM))))),0)</f>
        <v>0</v>
      </c>
      <c r="Q17" s="612"/>
      <c r="R17" s="613"/>
      <c r="S17" s="447"/>
      <c r="BW17" s="5"/>
      <c r="BX17" s="5"/>
      <c r="BY17" s="5"/>
      <c r="EC17" s="805"/>
    </row>
    <row r="18" spans="1:133">
      <c r="A18" s="435" t="str">
        <f t="shared" si="0"/>
        <v xml:space="preserve"> </v>
      </c>
      <c r="B18" s="436"/>
      <c r="C18" s="437">
        <v>8</v>
      </c>
      <c r="D18" s="614"/>
      <c r="E18" s="437"/>
      <c r="F18" s="438"/>
      <c r="G18" s="439"/>
      <c r="H18" s="438"/>
      <c r="I18" s="438"/>
      <c r="J18" s="438"/>
      <c r="K18" s="440"/>
      <c r="L18" s="441"/>
      <c r="M18" s="442">
        <v>1</v>
      </c>
      <c r="N18" s="443" cm="1">
        <f t="array" ref="N18">F18*LOOKUP(100,1/($C$1:INDEX($C:$C,ROW()-1)=$C18-1),$N$1:INDEX($N:$N,ROW()-1))</f>
        <v>0</v>
      </c>
      <c r="O18" s="444" cm="1">
        <f t="array" ref="O18">IFERROR(IF(INDEX($C:$C,ROW()+1)=$C18+1,SUMIF(INDEX($C:$C,ROW()+1):INDEX($C:$C,IFERROR(ROW()+MATCH($C18,INDEX($C:$C,ROW()+1):INDEX($C:$C,MAX(ROW(BOM))),0)-1,MAX(ROW(BOM)))),$C18+1,INDEX($O:$O,ROW()+1):INDEX($O:$O,IFERROR(ROW()+MATCH($C18,INDEX($C:$C,ROW()+1):INDEX($C:$C,MAX(ROW(BOM))),0)-1,MAX(ROW(BOM))))),$N18*$G18),0)</f>
        <v>0</v>
      </c>
      <c r="P18" s="445" cm="1">
        <f t="array" ref="P18">IFERROR(SUMIF(INDEX($C:$C,ROW()+1):INDEX($C:$C,IFERROR(ROW()+MATCH($C18,INDEX($C:$C,ROW()+1):INDEX($C:$C,MAX(ROW(BOM))),0)-1,MAX(ROW(BOM)))),$C18+1,INDEX($F:$F,ROW()+1):INDEX($F:$F,IFERROR(ROW()+MATCH($C18,INDEX($C:$C,ROW()+1):INDEX($C:$C,MAX(ROW(BOM))),0)-1,MAX(ROW(BOM))))),0)</f>
        <v>0</v>
      </c>
      <c r="Q18" s="436"/>
      <c r="R18" s="446"/>
      <c r="S18" s="447"/>
      <c r="BW18" s="5"/>
      <c r="BX18" s="5"/>
      <c r="BY18" s="5"/>
      <c r="EC18" s="805"/>
    </row>
    <row r="19" spans="1:133">
      <c r="A19" s="448" t="str">
        <f>CONCATENATE(B19&amp;" "&amp;D19)</f>
        <v xml:space="preserve"> </v>
      </c>
      <c r="B19" s="449"/>
      <c r="C19" s="450">
        <v>9</v>
      </c>
      <c r="D19" s="451"/>
      <c r="E19" s="349"/>
      <c r="F19" s="452"/>
      <c r="G19" s="453"/>
      <c r="H19" s="452"/>
      <c r="I19" s="452"/>
      <c r="J19" s="452"/>
      <c r="K19" s="454"/>
      <c r="L19" s="455"/>
      <c r="M19" s="456">
        <v>1</v>
      </c>
      <c r="N19" s="457" cm="1">
        <f t="array" ref="N19">F19*LOOKUP(100,1/($C$1:INDEX($C:$C,ROW()-1)=$C19-1),$N$1:INDEX($N:$N,ROW()-1))</f>
        <v>0</v>
      </c>
      <c r="O19" s="458" cm="1">
        <f t="array" ref="O19">IFERROR(IF(INDEX($C:$C,ROW()+1)=$C19+1,SUMIF(INDEX($C:$C,ROW()+1):INDEX($C:$C,IFERROR(ROW()+MATCH($C19,INDEX($C:$C,ROW()+1):INDEX($C:$C,MAX(ROW(BOM))),0)-1,MAX(ROW(BOM)))),$C19+1,INDEX($O:$O,ROW()+1):INDEX($O:$O,IFERROR(ROW()+MATCH($C19,INDEX($C:$C,ROW()+1):INDEX($C:$C,MAX(ROW(BOM))),0)-1,MAX(ROW(BOM))))),$N19*$G19),0)</f>
        <v>0</v>
      </c>
      <c r="P19" s="459" cm="1">
        <f t="array" ref="P19">IFERROR(SUMIF(INDEX($C:$C,ROW()+1):INDEX($C:$C,IFERROR(ROW()+MATCH($C19,INDEX($C:$C,ROW()+1):INDEX($C:$C,MAX(ROW(BOM))),0)-1,MAX(ROW(BOM)))),$C19+1,INDEX($F:$F,ROW()+1):INDEX($F:$F,IFERROR(ROW()+MATCH($C19,INDEX($C:$C,ROW()+1):INDEX($C:$C,MAX(ROW(BOM))),0)-1,MAX(ROW(BOM))))),0)</f>
        <v>0</v>
      </c>
      <c r="Q19" s="449"/>
      <c r="R19" s="460"/>
      <c r="S19" s="447"/>
      <c r="BW19" s="5"/>
      <c r="BX19" s="5"/>
      <c r="BY19" s="5"/>
      <c r="EC19" s="805"/>
    </row>
    <row r="20" spans="1:133">
      <c r="EC20" s="805"/>
    </row>
    <row r="21" spans="1:133" hidden="1">
      <c r="EC21" s="805"/>
    </row>
    <row r="22" spans="1:133" hidden="1">
      <c r="EC22" s="805"/>
    </row>
    <row r="23" spans="1:133" hidden="1">
      <c r="EC23" s="805"/>
    </row>
    <row r="24" spans="1:133" hidden="1">
      <c r="EC24" s="805"/>
    </row>
    <row r="25" spans="1:133" hidden="1">
      <c r="EC25" s="805"/>
    </row>
    <row r="26" spans="1:133" hidden="1">
      <c r="EC26" s="805"/>
    </row>
    <row r="27" spans="1:133" hidden="1">
      <c r="EC27" s="805"/>
    </row>
    <row r="28" spans="1:133" hidden="1">
      <c r="EC28" s="805"/>
    </row>
    <row r="29" spans="1:133" hidden="1">
      <c r="EC29" s="805"/>
    </row>
    <row r="30" spans="1:133" hidden="1">
      <c r="EC30" s="805"/>
    </row>
    <row r="31" spans="1:133" hidden="1">
      <c r="EC31" s="805"/>
    </row>
    <row r="32" spans="1:133" hidden="1">
      <c r="EC32" s="805"/>
    </row>
    <row r="33" spans="133:133" hidden="1">
      <c r="EC33" s="805"/>
    </row>
    <row r="34" spans="133:133" hidden="1">
      <c r="EC34" s="805"/>
    </row>
    <row r="35" spans="133:133" hidden="1">
      <c r="EC35" s="805"/>
    </row>
    <row r="36" spans="133:133" hidden="1">
      <c r="EC36" s="805"/>
    </row>
    <row r="37" spans="133:133" hidden="1">
      <c r="EC37" s="805"/>
    </row>
    <row r="38" spans="133:133" hidden="1">
      <c r="EC38" s="805"/>
    </row>
    <row r="39" spans="133:133" hidden="1">
      <c r="EC39" s="805"/>
    </row>
    <row r="40" spans="133:133" hidden="1">
      <c r="EC40" s="805"/>
    </row>
    <row r="41" spans="133:133" hidden="1">
      <c r="EC41" s="805"/>
    </row>
    <row r="42" spans="133:133" hidden="1">
      <c r="EC42" s="805"/>
    </row>
    <row r="43" spans="133:133" hidden="1">
      <c r="EC43" s="805"/>
    </row>
    <row r="44" spans="133:133" hidden="1">
      <c r="EC44" s="805"/>
    </row>
    <row r="45" spans="133:133" hidden="1">
      <c r="EC45" s="805"/>
    </row>
    <row r="46" spans="133:133" hidden="1">
      <c r="EC46" s="805"/>
    </row>
    <row r="47" spans="133:133" hidden="1">
      <c r="EC47" s="805"/>
    </row>
    <row r="48" spans="133:133" hidden="1">
      <c r="EC48" s="805"/>
    </row>
    <row r="49" spans="133:133" hidden="1">
      <c r="EC49" s="805"/>
    </row>
    <row r="50" spans="133:133" hidden="1">
      <c r="EC50" s="805"/>
    </row>
    <row r="51" spans="133:133" hidden="1">
      <c r="EC51" s="805"/>
    </row>
    <row r="52" spans="133:133" hidden="1">
      <c r="EC52" s="805"/>
    </row>
    <row r="53" spans="133:133" hidden="1">
      <c r="EC53" s="805"/>
    </row>
    <row r="54" spans="133:133" hidden="1">
      <c r="EC54" s="805"/>
    </row>
    <row r="55" spans="133:133" hidden="1">
      <c r="EC55" s="805"/>
    </row>
    <row r="56" spans="133:133" hidden="1">
      <c r="EC56" s="805"/>
    </row>
    <row r="57" spans="133:133" hidden="1">
      <c r="EC57" s="805"/>
    </row>
    <row r="58" spans="133:133" hidden="1">
      <c r="EC58" s="805"/>
    </row>
    <row r="59" spans="133:133" hidden="1">
      <c r="EC59" s="805"/>
    </row>
    <row r="60" spans="133:133" hidden="1">
      <c r="EC60" s="805"/>
    </row>
    <row r="61" spans="133:133" hidden="1">
      <c r="EC61" s="805"/>
    </row>
    <row r="62" spans="133:133" hidden="1">
      <c r="EC62" s="805"/>
    </row>
    <row r="63" spans="133:133" hidden="1">
      <c r="EC63" s="805"/>
    </row>
    <row r="64" spans="133:133" hidden="1">
      <c r="EC64" s="805"/>
    </row>
    <row r="65" spans="133:133" hidden="1">
      <c r="EC65" s="805"/>
    </row>
    <row r="66" spans="133:133" hidden="1">
      <c r="EC66" s="805"/>
    </row>
    <row r="67" spans="133:133" hidden="1">
      <c r="EC67" s="805"/>
    </row>
    <row r="68" spans="133:133" hidden="1">
      <c r="EC68" s="805"/>
    </row>
    <row r="69" spans="133:133" hidden="1">
      <c r="EC69" s="805"/>
    </row>
    <row r="70" spans="133:133" hidden="1">
      <c r="EC70" s="805"/>
    </row>
    <row r="71" spans="133:133" hidden="1">
      <c r="EC71" s="805"/>
    </row>
    <row r="72" spans="133:133" hidden="1">
      <c r="EC72" s="805"/>
    </row>
    <row r="73" spans="133:133" hidden="1">
      <c r="EC73" s="805"/>
    </row>
    <row r="74" spans="133:133" hidden="1">
      <c r="EC74" s="805"/>
    </row>
    <row r="75" spans="133:133" hidden="1">
      <c r="EC75" s="805"/>
    </row>
    <row r="76" spans="133:133" hidden="1">
      <c r="EC76" s="805"/>
    </row>
    <row r="77" spans="133:133" hidden="1">
      <c r="EC77" s="805"/>
    </row>
    <row r="78" spans="133:133" hidden="1">
      <c r="EC78" s="805"/>
    </row>
    <row r="79" spans="133:133" hidden="1">
      <c r="EC79" s="805"/>
    </row>
    <row r="80" spans="133:133" hidden="1">
      <c r="EC80" s="805"/>
    </row>
    <row r="81" spans="133:133" hidden="1">
      <c r="EC81" s="805"/>
    </row>
    <row r="82" spans="133:133" hidden="1">
      <c r="EC82" s="805"/>
    </row>
    <row r="83" spans="133:133" hidden="1">
      <c r="EC83" s="805"/>
    </row>
    <row r="84" spans="133:133" hidden="1">
      <c r="EC84" s="805"/>
    </row>
    <row r="85" spans="133:133" hidden="1">
      <c r="EC85" s="805"/>
    </row>
    <row r="86" spans="133:133" hidden="1">
      <c r="EC86" s="805"/>
    </row>
    <row r="87" spans="133:133" hidden="1">
      <c r="EC87" s="805"/>
    </row>
    <row r="88" spans="133:133" hidden="1">
      <c r="EC88" s="805"/>
    </row>
    <row r="89" spans="133:133" hidden="1">
      <c r="EC89" s="805"/>
    </row>
    <row r="90" spans="133:133" hidden="1">
      <c r="EC90" s="805"/>
    </row>
    <row r="91" spans="133:133" hidden="1">
      <c r="EC91" s="805"/>
    </row>
    <row r="92" spans="133:133" hidden="1">
      <c r="EC92" s="805"/>
    </row>
    <row r="93" spans="133:133" hidden="1">
      <c r="EC93" s="805"/>
    </row>
    <row r="94" spans="133:133" hidden="1">
      <c r="EC94" s="805"/>
    </row>
    <row r="95" spans="133:133" hidden="1">
      <c r="EC95" s="805"/>
    </row>
    <row r="96" spans="133:133" hidden="1">
      <c r="EC96" s="805"/>
    </row>
    <row r="97" spans="133:133" hidden="1">
      <c r="EC97" s="805"/>
    </row>
    <row r="98" spans="133:133" hidden="1">
      <c r="EC98" s="805"/>
    </row>
    <row r="99" spans="133:133" hidden="1">
      <c r="EC99" s="805"/>
    </row>
    <row r="100" spans="133:133" hidden="1">
      <c r="EC100" s="805"/>
    </row>
    <row r="101" spans="133:133" hidden="1">
      <c r="EC101" s="805"/>
    </row>
    <row r="102" spans="133:133" hidden="1">
      <c r="EC102" s="805"/>
    </row>
    <row r="103" spans="133:133" hidden="1">
      <c r="EC103" s="805"/>
    </row>
    <row r="104" spans="133:133" hidden="1">
      <c r="EC104" s="805"/>
    </row>
    <row r="105" spans="133:133" hidden="1">
      <c r="EC105" s="805"/>
    </row>
    <row r="106" spans="133:133" hidden="1">
      <c r="EC106" s="805"/>
    </row>
    <row r="107" spans="133:133" hidden="1">
      <c r="EC107" s="805"/>
    </row>
    <row r="108" spans="133:133" hidden="1">
      <c r="EC108" s="805"/>
    </row>
    <row r="109" spans="133:133" hidden="1">
      <c r="EC109" s="805"/>
    </row>
    <row r="110" spans="133:133" hidden="1">
      <c r="EC110" s="805"/>
    </row>
    <row r="111" spans="133:133" hidden="1">
      <c r="EC111" s="805"/>
    </row>
    <row r="112" spans="133:133" hidden="1">
      <c r="EC112" s="805"/>
    </row>
    <row r="113" spans="133:133" hidden="1">
      <c r="EC113" s="805"/>
    </row>
    <row r="114" spans="133:133" hidden="1">
      <c r="EC114" s="805"/>
    </row>
    <row r="115" spans="133:133" hidden="1">
      <c r="EC115" s="805"/>
    </row>
    <row r="116" spans="133:133" hidden="1">
      <c r="EC116" s="805"/>
    </row>
    <row r="117" spans="133:133" hidden="1">
      <c r="EC117" s="805"/>
    </row>
    <row r="118" spans="133:133" hidden="1">
      <c r="EC118" s="805"/>
    </row>
    <row r="119" spans="133:133" hidden="1">
      <c r="EC119" s="805"/>
    </row>
    <row r="120" spans="133:133" hidden="1">
      <c r="EC120" s="805"/>
    </row>
    <row r="121" spans="133:133" hidden="1">
      <c r="EC121" s="805"/>
    </row>
    <row r="122" spans="133:133" hidden="1">
      <c r="EC122" s="805"/>
    </row>
    <row r="123" spans="133:133" hidden="1">
      <c r="EC123" s="805"/>
    </row>
    <row r="124" spans="133:133" hidden="1">
      <c r="EC124" s="805"/>
    </row>
    <row r="125" spans="133:133" hidden="1">
      <c r="EC125" s="805"/>
    </row>
    <row r="126" spans="133:133" hidden="1">
      <c r="EC126" s="805"/>
    </row>
    <row r="127" spans="133:133" hidden="1">
      <c r="EC127" s="805"/>
    </row>
    <row r="128" spans="133:133" hidden="1">
      <c r="EC128" s="805"/>
    </row>
    <row r="129" spans="133:133" hidden="1">
      <c r="EC129" s="805"/>
    </row>
    <row r="130" spans="133:133" hidden="1">
      <c r="EC130" s="805"/>
    </row>
    <row r="131" spans="133:133" hidden="1">
      <c r="EC131" s="805"/>
    </row>
    <row r="132" spans="133:133" hidden="1">
      <c r="EC132" s="805"/>
    </row>
    <row r="133" spans="133:133" hidden="1">
      <c r="EC133" s="805"/>
    </row>
    <row r="134" spans="133:133" hidden="1">
      <c r="EC134" s="805"/>
    </row>
    <row r="135" spans="133:133" hidden="1">
      <c r="EC135" s="805"/>
    </row>
    <row r="136" spans="133:133" hidden="1">
      <c r="EC136" s="805"/>
    </row>
    <row r="137" spans="133:133" hidden="1">
      <c r="EC137" s="805"/>
    </row>
    <row r="138" spans="133:133" hidden="1">
      <c r="EC138" s="805"/>
    </row>
    <row r="139" spans="133:133" hidden="1">
      <c r="EC139" s="805"/>
    </row>
    <row r="140" spans="133:133" hidden="1">
      <c r="EC140" s="805"/>
    </row>
    <row r="141" spans="133:133" hidden="1">
      <c r="EC141" s="805"/>
    </row>
    <row r="142" spans="133:133" hidden="1">
      <c r="EC142" s="805"/>
    </row>
    <row r="143" spans="133:133" hidden="1">
      <c r="EC143" s="805"/>
    </row>
    <row r="144" spans="133:133" hidden="1">
      <c r="EC144" s="805"/>
    </row>
    <row r="145" spans="133:133" hidden="1">
      <c r="EC145" s="805"/>
    </row>
    <row r="146" spans="133:133" hidden="1">
      <c r="EC146" s="805"/>
    </row>
    <row r="147" spans="133:133" hidden="1">
      <c r="EC147" s="805"/>
    </row>
    <row r="148" spans="133:133" hidden="1">
      <c r="EC148" s="805"/>
    </row>
    <row r="149" spans="133:133" hidden="1">
      <c r="EC149" s="805"/>
    </row>
    <row r="150" spans="133:133" hidden="1">
      <c r="EC150" s="805"/>
    </row>
    <row r="151" spans="133:133" hidden="1">
      <c r="EC151" s="805"/>
    </row>
    <row r="152" spans="133:133" hidden="1">
      <c r="EC152" s="805"/>
    </row>
    <row r="153" spans="133:133" hidden="1">
      <c r="EC153" s="805"/>
    </row>
    <row r="154" spans="133:133" hidden="1">
      <c r="EC154" s="805"/>
    </row>
    <row r="155" spans="133:133" hidden="1">
      <c r="EC155" s="805"/>
    </row>
    <row r="156" spans="133:133" hidden="1">
      <c r="EC156" s="805"/>
    </row>
    <row r="157" spans="133:133" hidden="1">
      <c r="EC157" s="805"/>
    </row>
    <row r="158" spans="133:133" hidden="1">
      <c r="EC158" s="805"/>
    </row>
    <row r="159" spans="133:133" hidden="1">
      <c r="EC159" s="805"/>
    </row>
    <row r="160" spans="133:133" hidden="1">
      <c r="EC160" s="805"/>
    </row>
    <row r="161" spans="133:133" hidden="1">
      <c r="EC161" s="805"/>
    </row>
    <row r="162" spans="133:133" hidden="1">
      <c r="EC162" s="805"/>
    </row>
    <row r="163" spans="133:133" hidden="1">
      <c r="EC163" s="805"/>
    </row>
    <row r="164" spans="133:133" hidden="1">
      <c r="EC164" s="805"/>
    </row>
    <row r="165" spans="133:133" hidden="1">
      <c r="EC165" s="805"/>
    </row>
    <row r="166" spans="133:133" hidden="1">
      <c r="EC166" s="805"/>
    </row>
    <row r="167" spans="133:133" hidden="1">
      <c r="EC167" s="805"/>
    </row>
    <row r="168" spans="133:133" hidden="1">
      <c r="EC168" s="805"/>
    </row>
    <row r="169" spans="133:133" hidden="1">
      <c r="EC169" s="805"/>
    </row>
    <row r="170" spans="133:133" hidden="1">
      <c r="EC170" s="805"/>
    </row>
    <row r="171" spans="133:133" hidden="1">
      <c r="EC171" s="805"/>
    </row>
    <row r="172" spans="133:133" hidden="1">
      <c r="EC172" s="805"/>
    </row>
    <row r="173" spans="133:133" hidden="1">
      <c r="EC173" s="805"/>
    </row>
    <row r="174" spans="133:133" hidden="1">
      <c r="EC174" s="805"/>
    </row>
    <row r="175" spans="133:133" hidden="1">
      <c r="EC175" s="805"/>
    </row>
    <row r="176" spans="133:133" hidden="1">
      <c r="EC176" s="805"/>
    </row>
    <row r="177" spans="133:133" hidden="1">
      <c r="EC177" s="805"/>
    </row>
    <row r="178" spans="133:133" hidden="1">
      <c r="EC178" s="805"/>
    </row>
    <row r="179" spans="133:133" hidden="1">
      <c r="EC179" s="805"/>
    </row>
    <row r="180" spans="133:133" hidden="1">
      <c r="EC180" s="805"/>
    </row>
    <row r="181" spans="133:133" hidden="1">
      <c r="EC181" s="805"/>
    </row>
    <row r="182" spans="133:133" hidden="1">
      <c r="EC182" s="805"/>
    </row>
    <row r="183" spans="133:133" hidden="1">
      <c r="EC183" s="805"/>
    </row>
    <row r="184" spans="133:133" hidden="1">
      <c r="EC184" s="805"/>
    </row>
    <row r="185" spans="133:133" hidden="1">
      <c r="EC185" s="805"/>
    </row>
    <row r="186" spans="133:133" hidden="1">
      <c r="EC186" s="805"/>
    </row>
    <row r="187" spans="133:133" hidden="1">
      <c r="EC187" s="805"/>
    </row>
    <row r="188" spans="133:133" hidden="1">
      <c r="EC188" s="805"/>
    </row>
    <row r="189" spans="133:133" hidden="1">
      <c r="EC189" s="805"/>
    </row>
    <row r="190" spans="133:133" hidden="1">
      <c r="EC190" s="805"/>
    </row>
    <row r="191" spans="133:133" hidden="1">
      <c r="EC191" s="805"/>
    </row>
    <row r="192" spans="133:133" hidden="1">
      <c r="EC192" s="805"/>
    </row>
    <row r="193" spans="133:133" hidden="1">
      <c r="EC193" s="805"/>
    </row>
    <row r="194" spans="133:133" hidden="1">
      <c r="EC194" s="805"/>
    </row>
    <row r="195" spans="133:133" hidden="1">
      <c r="EC195" s="805"/>
    </row>
    <row r="196" spans="133:133" hidden="1">
      <c r="EC196" s="805"/>
    </row>
    <row r="197" spans="133:133" hidden="1">
      <c r="EC197" s="805"/>
    </row>
    <row r="198" spans="133:133" hidden="1">
      <c r="EC198" s="805"/>
    </row>
    <row r="199" spans="133:133" hidden="1">
      <c r="EC199" s="805"/>
    </row>
    <row r="200" spans="133:133" hidden="1">
      <c r="EC200" s="805"/>
    </row>
    <row r="201" spans="133:133" hidden="1">
      <c r="EC201" s="805"/>
    </row>
    <row r="202" spans="133:133" hidden="1">
      <c r="EC202" s="805"/>
    </row>
    <row r="203" spans="133:133" hidden="1">
      <c r="EC203" s="805"/>
    </row>
    <row r="204" spans="133:133" hidden="1">
      <c r="EC204" s="805"/>
    </row>
    <row r="205" spans="133:133" hidden="1">
      <c r="EC205" s="805"/>
    </row>
    <row r="206" spans="133:133" hidden="1">
      <c r="EC206" s="805"/>
    </row>
    <row r="207" spans="133:133" hidden="1">
      <c r="EC207" s="805"/>
    </row>
    <row r="208" spans="133:133" hidden="1">
      <c r="EC208" s="805"/>
    </row>
    <row r="209" spans="133:133" hidden="1">
      <c r="EC209" s="805"/>
    </row>
    <row r="210" spans="133:133" hidden="1">
      <c r="EC210" s="805"/>
    </row>
    <row r="211" spans="133:133" hidden="1">
      <c r="EC211" s="805"/>
    </row>
    <row r="212" spans="133:133" hidden="1">
      <c r="EC212" s="805"/>
    </row>
    <row r="213" spans="133:133" hidden="1">
      <c r="EC213" s="805"/>
    </row>
    <row r="214" spans="133:133" hidden="1">
      <c r="EC214" s="805"/>
    </row>
    <row r="215" spans="133:133" hidden="1">
      <c r="EC215" s="805"/>
    </row>
    <row r="216" spans="133:133" hidden="1">
      <c r="EC216" s="805"/>
    </row>
    <row r="217" spans="133:133" hidden="1">
      <c r="EC217" s="805"/>
    </row>
    <row r="218" spans="133:133" hidden="1">
      <c r="EC218" s="805"/>
    </row>
    <row r="219" spans="133:133" hidden="1">
      <c r="EC219" s="805"/>
    </row>
    <row r="220" spans="133:133" hidden="1">
      <c r="EC220" s="805"/>
    </row>
    <row r="221" spans="133:133" hidden="1">
      <c r="EC221" s="805"/>
    </row>
    <row r="222" spans="133:133" hidden="1">
      <c r="EC222" s="805"/>
    </row>
    <row r="223" spans="133:133" hidden="1">
      <c r="EC223" s="805"/>
    </row>
    <row r="224" spans="133:133" hidden="1">
      <c r="EC224" s="805"/>
    </row>
    <row r="225" spans="133:133" hidden="1">
      <c r="EC225" s="805"/>
    </row>
    <row r="226" spans="133:133" hidden="1">
      <c r="EC226" s="805"/>
    </row>
    <row r="227" spans="133:133" hidden="1">
      <c r="EC227" s="805"/>
    </row>
    <row r="228" spans="133:133" hidden="1">
      <c r="EC228" s="805"/>
    </row>
    <row r="229" spans="133:133" hidden="1">
      <c r="EC229" s="805"/>
    </row>
    <row r="230" spans="133:133" hidden="1">
      <c r="EC230" s="805"/>
    </row>
    <row r="231" spans="133:133" hidden="1">
      <c r="EC231" s="805"/>
    </row>
    <row r="232" spans="133:133" hidden="1">
      <c r="EC232" s="805"/>
    </row>
    <row r="233" spans="133:133" hidden="1">
      <c r="EC233" s="805"/>
    </row>
    <row r="234" spans="133:133" hidden="1">
      <c r="EC234" s="805"/>
    </row>
    <row r="235" spans="133:133" hidden="1">
      <c r="EC235" s="805"/>
    </row>
    <row r="236" spans="133:133" hidden="1">
      <c r="EC236" s="805"/>
    </row>
    <row r="237" spans="133:133" hidden="1">
      <c r="EC237" s="805"/>
    </row>
    <row r="238" spans="133:133" hidden="1">
      <c r="EC238" s="805"/>
    </row>
    <row r="239" spans="133:133" hidden="1">
      <c r="EC239" s="805"/>
    </row>
    <row r="240" spans="133:133" hidden="1">
      <c r="EC240" s="805"/>
    </row>
    <row r="241" spans="133:133" hidden="1">
      <c r="EC241" s="805"/>
    </row>
    <row r="242" spans="133:133" hidden="1">
      <c r="EC242" s="805"/>
    </row>
    <row r="243" spans="133:133" hidden="1">
      <c r="EC243" s="805"/>
    </row>
    <row r="244" spans="133:133" hidden="1">
      <c r="EC244" s="805"/>
    </row>
    <row r="245" spans="133:133" hidden="1">
      <c r="EC245" s="805"/>
    </row>
    <row r="246" spans="133:133" hidden="1">
      <c r="EC246" s="805"/>
    </row>
    <row r="247" spans="133:133" hidden="1">
      <c r="EC247" s="805"/>
    </row>
    <row r="248" spans="133:133" hidden="1">
      <c r="EC248" s="805"/>
    </row>
    <row r="249" spans="133:133" hidden="1">
      <c r="EC249" s="805"/>
    </row>
    <row r="250" spans="133:133" hidden="1">
      <c r="EC250" s="805"/>
    </row>
    <row r="251" spans="133:133" hidden="1">
      <c r="EC251" s="805"/>
    </row>
    <row r="252" spans="133:133" hidden="1">
      <c r="EC252" s="805"/>
    </row>
    <row r="253" spans="133:133" hidden="1">
      <c r="EC253" s="805"/>
    </row>
    <row r="254" spans="133:133" hidden="1">
      <c r="EC254" s="805"/>
    </row>
    <row r="255" spans="133:133" hidden="1">
      <c r="EC255" s="805"/>
    </row>
    <row r="256" spans="133:133" hidden="1">
      <c r="EC256" s="805"/>
    </row>
    <row r="257" spans="133:133" hidden="1">
      <c r="EC257" s="805"/>
    </row>
    <row r="258" spans="133:133" hidden="1">
      <c r="EC258" s="805"/>
    </row>
    <row r="259" spans="133:133" hidden="1">
      <c r="EC259" s="805"/>
    </row>
    <row r="260" spans="133:133" hidden="1">
      <c r="EC260" s="805"/>
    </row>
    <row r="261" spans="133:133" hidden="1">
      <c r="EC261" s="805"/>
    </row>
    <row r="262" spans="133:133" hidden="1">
      <c r="EC262" s="805"/>
    </row>
    <row r="263" spans="133:133" hidden="1">
      <c r="EC263" s="805"/>
    </row>
    <row r="264" spans="133:133" hidden="1">
      <c r="EC264" s="805"/>
    </row>
    <row r="265" spans="133:133" hidden="1">
      <c r="EC265" s="805"/>
    </row>
    <row r="266" spans="133:133" hidden="1">
      <c r="EC266" s="805"/>
    </row>
    <row r="267" spans="133:133" hidden="1">
      <c r="EC267" s="805"/>
    </row>
    <row r="268" spans="133:133" hidden="1">
      <c r="EC268" s="805"/>
    </row>
    <row r="269" spans="133:133" hidden="1">
      <c r="EC269" s="805"/>
    </row>
    <row r="270" spans="133:133" hidden="1">
      <c r="EC270" s="805"/>
    </row>
    <row r="271" spans="133:133" hidden="1">
      <c r="EC271" s="805"/>
    </row>
    <row r="272" spans="133:133" hidden="1">
      <c r="EC272" s="805"/>
    </row>
    <row r="273" spans="133:133" hidden="1">
      <c r="EC273" s="805"/>
    </row>
    <row r="274" spans="133:133" hidden="1">
      <c r="EC274" s="805"/>
    </row>
    <row r="275" spans="133:133" hidden="1">
      <c r="EC275" s="805"/>
    </row>
    <row r="276" spans="133:133" hidden="1">
      <c r="EC276" s="805"/>
    </row>
    <row r="277" spans="133:133" hidden="1">
      <c r="EC277" s="805"/>
    </row>
    <row r="278" spans="133:133" hidden="1">
      <c r="EC278" s="805"/>
    </row>
    <row r="279" spans="133:133" hidden="1">
      <c r="EC279" s="805"/>
    </row>
    <row r="280" spans="133:133" hidden="1">
      <c r="EC280" s="805"/>
    </row>
    <row r="281" spans="133:133" hidden="1">
      <c r="EC281" s="805"/>
    </row>
    <row r="282" spans="133:133" hidden="1">
      <c r="EC282" s="805"/>
    </row>
    <row r="283" spans="133:133" hidden="1">
      <c r="EC283" s="805"/>
    </row>
    <row r="284" spans="133:133" hidden="1">
      <c r="EC284" s="805"/>
    </row>
    <row r="285" spans="133:133" hidden="1">
      <c r="EC285" s="805"/>
    </row>
    <row r="286" spans="133:133" hidden="1">
      <c r="EC286" s="805"/>
    </row>
    <row r="287" spans="133:133" hidden="1">
      <c r="EC287" s="805"/>
    </row>
    <row r="288" spans="133:133" hidden="1">
      <c r="EC288" s="805"/>
    </row>
    <row r="289" spans="133:133" hidden="1">
      <c r="EC289" s="805"/>
    </row>
    <row r="290" spans="133:133" hidden="1">
      <c r="EC290" s="805"/>
    </row>
    <row r="291" spans="133:133" hidden="1">
      <c r="EC291" s="805"/>
    </row>
    <row r="292" spans="133:133" hidden="1">
      <c r="EC292" s="805"/>
    </row>
    <row r="293" spans="133:133" hidden="1">
      <c r="EC293" s="805"/>
    </row>
    <row r="294" spans="133:133" hidden="1">
      <c r="EC294" s="805"/>
    </row>
    <row r="295" spans="133:133" hidden="1">
      <c r="EC295" s="805"/>
    </row>
    <row r="296" spans="133:133" hidden="1">
      <c r="EC296" s="805"/>
    </row>
    <row r="297" spans="133:133" hidden="1">
      <c r="EC297" s="805"/>
    </row>
    <row r="298" spans="133:133" hidden="1">
      <c r="EC298" s="805"/>
    </row>
    <row r="299" spans="133:133" hidden="1">
      <c r="EC299" s="805"/>
    </row>
    <row r="300" spans="133:133" hidden="1">
      <c r="EC300" s="805"/>
    </row>
    <row r="301" spans="133:133" hidden="1">
      <c r="EC301" s="805"/>
    </row>
    <row r="302" spans="133:133" hidden="1">
      <c r="EC302" s="805"/>
    </row>
    <row r="303" spans="133:133" hidden="1">
      <c r="EC303" s="805"/>
    </row>
    <row r="304" spans="133:133" hidden="1">
      <c r="EC304" s="805"/>
    </row>
    <row r="305" spans="133:133" hidden="1">
      <c r="EC305" s="805"/>
    </row>
    <row r="306" spans="133:133" hidden="1">
      <c r="EC306" s="805"/>
    </row>
    <row r="307" spans="133:133" hidden="1">
      <c r="EC307" s="805"/>
    </row>
    <row r="308" spans="133:133" hidden="1">
      <c r="EC308" s="805"/>
    </row>
    <row r="309" spans="133:133" hidden="1">
      <c r="EC309" s="805"/>
    </row>
    <row r="310" spans="133:133" hidden="1">
      <c r="EC310" s="805"/>
    </row>
    <row r="311" spans="133:133" hidden="1">
      <c r="EC311" s="805"/>
    </row>
    <row r="312" spans="133:133" hidden="1">
      <c r="EC312" s="805"/>
    </row>
    <row r="313" spans="133:133" hidden="1">
      <c r="EC313" s="805"/>
    </row>
    <row r="314" spans="133:133" hidden="1">
      <c r="EC314" s="805"/>
    </row>
    <row r="315" spans="133:133" hidden="1">
      <c r="EC315" s="805"/>
    </row>
    <row r="316" spans="133:133" hidden="1">
      <c r="EC316" s="805"/>
    </row>
    <row r="317" spans="133:133" hidden="1">
      <c r="EC317" s="805"/>
    </row>
    <row r="318" spans="133:133" hidden="1">
      <c r="EC318" s="805"/>
    </row>
    <row r="319" spans="133:133" hidden="1">
      <c r="EC319" s="805"/>
    </row>
    <row r="320" spans="133:133" hidden="1">
      <c r="EC320" s="805"/>
    </row>
    <row r="321" spans="133:133" hidden="1">
      <c r="EC321" s="805"/>
    </row>
    <row r="322" spans="133:133" hidden="1">
      <c r="EC322" s="805"/>
    </row>
    <row r="323" spans="133:133" hidden="1">
      <c r="EC323" s="805"/>
    </row>
    <row r="324" spans="133:133" hidden="1">
      <c r="EC324" s="805"/>
    </row>
    <row r="325" spans="133:133" hidden="1">
      <c r="EC325" s="805"/>
    </row>
    <row r="326" spans="133:133" hidden="1">
      <c r="EC326" s="805"/>
    </row>
    <row r="327" spans="133:133" hidden="1">
      <c r="EC327" s="805"/>
    </row>
    <row r="328" spans="133:133" hidden="1">
      <c r="EC328" s="805"/>
    </row>
    <row r="329" spans="133:133" hidden="1">
      <c r="EC329" s="805"/>
    </row>
    <row r="330" spans="133:133" hidden="1">
      <c r="EC330" s="805"/>
    </row>
    <row r="331" spans="133:133" hidden="1">
      <c r="EC331" s="805"/>
    </row>
    <row r="332" spans="133:133" hidden="1">
      <c r="EC332" s="805"/>
    </row>
    <row r="333" spans="133:133" hidden="1">
      <c r="EC333" s="805"/>
    </row>
    <row r="334" spans="133:133" hidden="1">
      <c r="EC334" s="805"/>
    </row>
    <row r="335" spans="133:133" hidden="1">
      <c r="EC335" s="805"/>
    </row>
    <row r="336" spans="133:133" hidden="1">
      <c r="EC336" s="805"/>
    </row>
    <row r="337" spans="133:133" hidden="1">
      <c r="EC337" s="805"/>
    </row>
    <row r="338" spans="133:133" hidden="1">
      <c r="EC338" s="805"/>
    </row>
    <row r="339" spans="133:133" hidden="1">
      <c r="EC339" s="805"/>
    </row>
    <row r="340" spans="133:133" hidden="1">
      <c r="EC340" s="805"/>
    </row>
    <row r="341" spans="133:133" hidden="1">
      <c r="EC341" s="805"/>
    </row>
    <row r="342" spans="133:133" hidden="1">
      <c r="EC342" s="805"/>
    </row>
    <row r="343" spans="133:133" hidden="1">
      <c r="EC343" s="805"/>
    </row>
    <row r="344" spans="133:133" hidden="1">
      <c r="EC344" s="805"/>
    </row>
    <row r="345" spans="133:133" hidden="1">
      <c r="EC345" s="805"/>
    </row>
    <row r="346" spans="133:133" hidden="1">
      <c r="EC346" s="805"/>
    </row>
    <row r="347" spans="133:133" hidden="1">
      <c r="EC347" s="805"/>
    </row>
    <row r="348" spans="133:133" hidden="1">
      <c r="EC348" s="805"/>
    </row>
    <row r="349" spans="133:133" hidden="1">
      <c r="EC349" s="805"/>
    </row>
    <row r="350" spans="133:133" hidden="1">
      <c r="EC350" s="805"/>
    </row>
    <row r="351" spans="133:133" hidden="1">
      <c r="EC351" s="805"/>
    </row>
    <row r="352" spans="133:133" hidden="1">
      <c r="EC352" s="805"/>
    </row>
    <row r="353" spans="133:133" hidden="1">
      <c r="EC353" s="805"/>
    </row>
    <row r="354" spans="133:133" hidden="1">
      <c r="EC354" s="805"/>
    </row>
    <row r="355" spans="133:133" hidden="1">
      <c r="EC355" s="805"/>
    </row>
    <row r="356" spans="133:133" hidden="1">
      <c r="EC356" s="805"/>
    </row>
    <row r="357" spans="133:133" hidden="1">
      <c r="EC357" s="805"/>
    </row>
    <row r="358" spans="133:133" hidden="1">
      <c r="EC358" s="805"/>
    </row>
    <row r="359" spans="133:133" hidden="1">
      <c r="EC359" s="805"/>
    </row>
    <row r="360" spans="133:133" hidden="1">
      <c r="EC360" s="805"/>
    </row>
    <row r="361" spans="133:133" hidden="1">
      <c r="EC361" s="805"/>
    </row>
    <row r="362" spans="133:133" hidden="1">
      <c r="EC362" s="805"/>
    </row>
    <row r="363" spans="133:133" hidden="1">
      <c r="EC363" s="805"/>
    </row>
    <row r="364" spans="133:133" hidden="1">
      <c r="EC364" s="805"/>
    </row>
    <row r="365" spans="133:133" hidden="1">
      <c r="EC365" s="805"/>
    </row>
    <row r="366" spans="133:133" hidden="1">
      <c r="EC366" s="805"/>
    </row>
    <row r="367" spans="133:133" hidden="1">
      <c r="EC367" s="805"/>
    </row>
    <row r="368" spans="133:133" hidden="1">
      <c r="EC368" s="805"/>
    </row>
    <row r="369" spans="133:133" hidden="1">
      <c r="EC369" s="805"/>
    </row>
    <row r="370" spans="133:133" hidden="1">
      <c r="EC370" s="805"/>
    </row>
    <row r="371" spans="133:133" hidden="1">
      <c r="EC371" s="805"/>
    </row>
    <row r="372" spans="133:133" hidden="1">
      <c r="EC372" s="805"/>
    </row>
    <row r="373" spans="133:133" hidden="1">
      <c r="EC373" s="805"/>
    </row>
    <row r="374" spans="133:133" hidden="1">
      <c r="EC374" s="805"/>
    </row>
    <row r="375" spans="133:133" hidden="1">
      <c r="EC375" s="805"/>
    </row>
    <row r="376" spans="133:133" hidden="1">
      <c r="EC376" s="805"/>
    </row>
    <row r="377" spans="133:133" hidden="1">
      <c r="EC377" s="805"/>
    </row>
    <row r="378" spans="133:133" hidden="1">
      <c r="EC378" s="805"/>
    </row>
    <row r="379" spans="133:133" hidden="1">
      <c r="EC379" s="805"/>
    </row>
    <row r="380" spans="133:133" hidden="1">
      <c r="EC380" s="805"/>
    </row>
    <row r="381" spans="133:133" hidden="1">
      <c r="EC381" s="805"/>
    </row>
    <row r="382" spans="133:133" hidden="1">
      <c r="EC382" s="805"/>
    </row>
    <row r="383" spans="133:133" hidden="1">
      <c r="EC383" s="805"/>
    </row>
    <row r="384" spans="133:133" hidden="1">
      <c r="EC384" s="805"/>
    </row>
    <row r="385" spans="133:133" hidden="1">
      <c r="EC385" s="805"/>
    </row>
    <row r="386" spans="133:133" hidden="1">
      <c r="EC386" s="805"/>
    </row>
    <row r="387" spans="133:133" hidden="1">
      <c r="EC387" s="805"/>
    </row>
    <row r="388" spans="133:133" hidden="1">
      <c r="EC388" s="805"/>
    </row>
    <row r="389" spans="133:133" hidden="1">
      <c r="EC389" s="805"/>
    </row>
    <row r="390" spans="133:133" hidden="1">
      <c r="EC390" s="805"/>
    </row>
    <row r="391" spans="133:133" hidden="1">
      <c r="EC391" s="805"/>
    </row>
    <row r="392" spans="133:133" hidden="1">
      <c r="EC392" s="805"/>
    </row>
    <row r="393" spans="133:133" hidden="1">
      <c r="EC393" s="805"/>
    </row>
    <row r="394" spans="133:133" hidden="1">
      <c r="EC394" s="805"/>
    </row>
    <row r="395" spans="133:133" hidden="1">
      <c r="EC395" s="805"/>
    </row>
    <row r="396" spans="133:133" hidden="1">
      <c r="EC396" s="805"/>
    </row>
    <row r="397" spans="133:133" hidden="1">
      <c r="EC397" s="805"/>
    </row>
    <row r="398" spans="133:133" hidden="1">
      <c r="EC398" s="805"/>
    </row>
    <row r="399" spans="133:133" hidden="1">
      <c r="EC399" s="805"/>
    </row>
    <row r="400" spans="133:133" hidden="1">
      <c r="EC400" s="805"/>
    </row>
    <row r="401" spans="133:133" hidden="1">
      <c r="EC401" s="805"/>
    </row>
    <row r="402" spans="133:133" hidden="1">
      <c r="EC402" s="805"/>
    </row>
    <row r="403" spans="133:133" hidden="1">
      <c r="EC403" s="805"/>
    </row>
    <row r="404" spans="133:133" hidden="1">
      <c r="EC404" s="805"/>
    </row>
    <row r="405" spans="133:133" hidden="1">
      <c r="EC405" s="805"/>
    </row>
    <row r="406" spans="133:133" hidden="1">
      <c r="EC406" s="805"/>
    </row>
    <row r="407" spans="133:133" hidden="1">
      <c r="EC407" s="805"/>
    </row>
    <row r="408" spans="133:133" hidden="1">
      <c r="EC408" s="805"/>
    </row>
    <row r="409" spans="133:133" hidden="1">
      <c r="EC409" s="805"/>
    </row>
    <row r="410" spans="133:133" hidden="1">
      <c r="EC410" s="805"/>
    </row>
    <row r="411" spans="133:133" hidden="1">
      <c r="EC411" s="805"/>
    </row>
    <row r="412" spans="133:133" hidden="1">
      <c r="EC412" s="805"/>
    </row>
    <row r="413" spans="133:133" hidden="1">
      <c r="EC413" s="805"/>
    </row>
    <row r="414" spans="133:133" hidden="1">
      <c r="EC414" s="805"/>
    </row>
    <row r="415" spans="133:133" hidden="1">
      <c r="EC415" s="805"/>
    </row>
    <row r="416" spans="133:133" hidden="1">
      <c r="EC416" s="805"/>
    </row>
    <row r="417" spans="133:133" hidden="1">
      <c r="EC417" s="805"/>
    </row>
    <row r="418" spans="133:133" hidden="1">
      <c r="EC418" s="805"/>
    </row>
    <row r="419" spans="133:133" hidden="1">
      <c r="EC419" s="805"/>
    </row>
    <row r="420" spans="133:133" hidden="1">
      <c r="EC420" s="805"/>
    </row>
    <row r="421" spans="133:133" hidden="1">
      <c r="EC421" s="805"/>
    </row>
    <row r="422" spans="133:133" hidden="1">
      <c r="EC422" s="805"/>
    </row>
    <row r="423" spans="133:133" hidden="1">
      <c r="EC423" s="805"/>
    </row>
    <row r="424" spans="133:133" hidden="1">
      <c r="EC424" s="805"/>
    </row>
    <row r="425" spans="133:133" hidden="1">
      <c r="EC425" s="805"/>
    </row>
    <row r="426" spans="133:133" hidden="1">
      <c r="EC426" s="805"/>
    </row>
    <row r="427" spans="133:133" hidden="1">
      <c r="EC427" s="805"/>
    </row>
    <row r="428" spans="133:133" hidden="1">
      <c r="EC428" s="805"/>
    </row>
    <row r="429" spans="133:133" hidden="1">
      <c r="EC429" s="805"/>
    </row>
    <row r="430" spans="133:133" hidden="1">
      <c r="EC430" s="805"/>
    </row>
    <row r="431" spans="133:133" hidden="1">
      <c r="EC431" s="805"/>
    </row>
    <row r="432" spans="133:133" hidden="1">
      <c r="EC432" s="805"/>
    </row>
    <row r="433" spans="133:133" hidden="1">
      <c r="EC433" s="805"/>
    </row>
    <row r="434" spans="133:133" hidden="1">
      <c r="EC434" s="805"/>
    </row>
    <row r="435" spans="133:133" hidden="1">
      <c r="EC435" s="805"/>
    </row>
    <row r="436" spans="133:133" hidden="1">
      <c r="EC436" s="805"/>
    </row>
    <row r="437" spans="133:133" hidden="1">
      <c r="EC437" s="805"/>
    </row>
    <row r="438" spans="133:133" hidden="1">
      <c r="EC438" s="805"/>
    </row>
    <row r="439" spans="133:133" hidden="1">
      <c r="EC439" s="805"/>
    </row>
    <row r="440" spans="133:133" hidden="1">
      <c r="EC440" s="805"/>
    </row>
    <row r="441" spans="133:133" hidden="1">
      <c r="EC441" s="805"/>
    </row>
    <row r="442" spans="133:133" hidden="1">
      <c r="EC442" s="805"/>
    </row>
    <row r="443" spans="133:133" hidden="1">
      <c r="EC443" s="805"/>
    </row>
    <row r="444" spans="133:133" hidden="1">
      <c r="EC444" s="805"/>
    </row>
    <row r="445" spans="133:133" hidden="1">
      <c r="EC445" s="805"/>
    </row>
    <row r="446" spans="133:133" hidden="1">
      <c r="EC446" s="805"/>
    </row>
    <row r="447" spans="133:133" hidden="1">
      <c r="EC447" s="805"/>
    </row>
    <row r="448" spans="133:133" hidden="1">
      <c r="EC448" s="805"/>
    </row>
    <row r="449" spans="133:133" hidden="1">
      <c r="EC449" s="805"/>
    </row>
    <row r="450" spans="133:133" hidden="1">
      <c r="EC450" s="805"/>
    </row>
    <row r="451" spans="133:133" hidden="1">
      <c r="EC451" s="805"/>
    </row>
    <row r="452" spans="133:133" hidden="1">
      <c r="EC452" s="805"/>
    </row>
    <row r="453" spans="133:133" hidden="1">
      <c r="EC453" s="805"/>
    </row>
    <row r="454" spans="133:133" hidden="1">
      <c r="EC454" s="805"/>
    </row>
    <row r="455" spans="133:133" hidden="1">
      <c r="EC455" s="805"/>
    </row>
    <row r="456" spans="133:133" hidden="1">
      <c r="EC456" s="805"/>
    </row>
    <row r="457" spans="133:133" hidden="1">
      <c r="EC457" s="805"/>
    </row>
    <row r="458" spans="133:133" hidden="1">
      <c r="EC458" s="805"/>
    </row>
    <row r="459" spans="133:133" hidden="1">
      <c r="EC459" s="805"/>
    </row>
    <row r="460" spans="133:133" hidden="1">
      <c r="EC460" s="805"/>
    </row>
    <row r="461" spans="133:133" hidden="1">
      <c r="EC461" s="805"/>
    </row>
    <row r="462" spans="133:133" hidden="1">
      <c r="EC462" s="805"/>
    </row>
    <row r="463" spans="133:133" hidden="1">
      <c r="EC463" s="805"/>
    </row>
    <row r="464" spans="133:133" hidden="1">
      <c r="EC464" s="805"/>
    </row>
    <row r="465" spans="133:133" hidden="1">
      <c r="EC465" s="805"/>
    </row>
    <row r="466" spans="133:133" hidden="1">
      <c r="EC466" s="805"/>
    </row>
    <row r="467" spans="133:133" hidden="1">
      <c r="EC467" s="805"/>
    </row>
    <row r="468" spans="133:133" hidden="1">
      <c r="EC468" s="805"/>
    </row>
    <row r="469" spans="133:133" hidden="1">
      <c r="EC469" s="805"/>
    </row>
    <row r="470" spans="133:133" hidden="1">
      <c r="EC470" s="805"/>
    </row>
    <row r="471" spans="133:133" hidden="1">
      <c r="EC471" s="805"/>
    </row>
    <row r="472" spans="133:133" hidden="1">
      <c r="EC472" s="805"/>
    </row>
    <row r="473" spans="133:133" hidden="1">
      <c r="EC473" s="805"/>
    </row>
    <row r="474" spans="133:133" hidden="1">
      <c r="EC474" s="805"/>
    </row>
    <row r="475" spans="133:133" hidden="1">
      <c r="EC475" s="805"/>
    </row>
    <row r="476" spans="133:133" hidden="1">
      <c r="EC476" s="805"/>
    </row>
    <row r="477" spans="133:133" hidden="1">
      <c r="EC477" s="805"/>
    </row>
    <row r="478" spans="133:133" hidden="1">
      <c r="EC478" s="805"/>
    </row>
    <row r="479" spans="133:133" hidden="1">
      <c r="EC479" s="805"/>
    </row>
    <row r="480" spans="133:133" hidden="1">
      <c r="EC480" s="805"/>
    </row>
    <row r="481" spans="133:133" hidden="1">
      <c r="EC481" s="805"/>
    </row>
    <row r="482" spans="133:133" hidden="1">
      <c r="EC482" s="805"/>
    </row>
    <row r="483" spans="133:133" hidden="1">
      <c r="EC483" s="805"/>
    </row>
    <row r="484" spans="133:133" hidden="1">
      <c r="EC484" s="805"/>
    </row>
    <row r="485" spans="133:133" hidden="1">
      <c r="EC485" s="805"/>
    </row>
    <row r="486" spans="133:133" hidden="1">
      <c r="EC486" s="805"/>
    </row>
    <row r="487" spans="133:133" hidden="1">
      <c r="EC487" s="805"/>
    </row>
    <row r="488" spans="133:133" hidden="1">
      <c r="EC488" s="805"/>
    </row>
    <row r="489" spans="133:133" hidden="1">
      <c r="EC489" s="805"/>
    </row>
    <row r="490" spans="133:133" hidden="1">
      <c r="EC490" s="805"/>
    </row>
    <row r="491" spans="133:133" hidden="1">
      <c r="EC491" s="805"/>
    </row>
    <row r="492" spans="133:133" hidden="1">
      <c r="EC492" s="805"/>
    </row>
    <row r="493" spans="133:133" hidden="1">
      <c r="EC493" s="805"/>
    </row>
    <row r="494" spans="133:133" hidden="1">
      <c r="EC494" s="805"/>
    </row>
    <row r="495" spans="133:133" hidden="1">
      <c r="EC495" s="805"/>
    </row>
    <row r="496" spans="133:133" hidden="1">
      <c r="EC496" s="805"/>
    </row>
    <row r="497" spans="133:133" hidden="1">
      <c r="EC497" s="805"/>
    </row>
    <row r="498" spans="133:133" hidden="1">
      <c r="EC498" s="805"/>
    </row>
    <row r="499" spans="133:133" hidden="1">
      <c r="EC499" s="805"/>
    </row>
    <row r="500" spans="133:133" hidden="1">
      <c r="EC500" s="805"/>
    </row>
    <row r="501" spans="133:133" hidden="1">
      <c r="EC501" s="805"/>
    </row>
    <row r="502" spans="133:133" hidden="1">
      <c r="EC502" s="805"/>
    </row>
    <row r="503" spans="133:133" hidden="1">
      <c r="EC503" s="805"/>
    </row>
    <row r="504" spans="133:133" hidden="1">
      <c r="EC504" s="805"/>
    </row>
    <row r="505" spans="133:133" hidden="1">
      <c r="EC505" s="805"/>
    </row>
    <row r="506" spans="133:133" hidden="1">
      <c r="EC506" s="805"/>
    </row>
    <row r="507" spans="133:133" hidden="1">
      <c r="EC507" s="805"/>
    </row>
    <row r="508" spans="133:133" hidden="1">
      <c r="EC508" s="805"/>
    </row>
    <row r="509" spans="133:133" hidden="1">
      <c r="EC509" s="805"/>
    </row>
    <row r="510" spans="133:133" hidden="1">
      <c r="EC510" s="805"/>
    </row>
    <row r="511" spans="133:133" hidden="1">
      <c r="EC511" s="805"/>
    </row>
    <row r="512" spans="133:133" hidden="1">
      <c r="EC512" s="805"/>
    </row>
    <row r="513" spans="133:133" hidden="1">
      <c r="EC513" s="805"/>
    </row>
    <row r="514" spans="133:133" hidden="1">
      <c r="EC514" s="805"/>
    </row>
    <row r="515" spans="133:133" hidden="1">
      <c r="EC515" s="805"/>
    </row>
    <row r="516" spans="133:133" hidden="1">
      <c r="EC516" s="805"/>
    </row>
    <row r="517" spans="133:133" hidden="1">
      <c r="EC517" s="805"/>
    </row>
    <row r="518" spans="133:133" hidden="1">
      <c r="EC518" s="805"/>
    </row>
    <row r="519" spans="133:133" hidden="1">
      <c r="EC519" s="805"/>
    </row>
    <row r="520" spans="133:133" hidden="1">
      <c r="EC520" s="805"/>
    </row>
    <row r="521" spans="133:133" hidden="1">
      <c r="EC521" s="805"/>
    </row>
    <row r="522" spans="133:133" hidden="1">
      <c r="EC522" s="805"/>
    </row>
    <row r="523" spans="133:133" hidden="1">
      <c r="EC523" s="805"/>
    </row>
    <row r="524" spans="133:133" hidden="1">
      <c r="EC524" s="805"/>
    </row>
    <row r="525" spans="133:133" hidden="1">
      <c r="EC525" s="805"/>
    </row>
    <row r="526" spans="133:133" hidden="1">
      <c r="EC526" s="805"/>
    </row>
    <row r="527" spans="133:133" hidden="1">
      <c r="EC527" s="805"/>
    </row>
    <row r="528" spans="133:133" hidden="1">
      <c r="EC528" s="805"/>
    </row>
    <row r="529" spans="133:133" hidden="1">
      <c r="EC529" s="805"/>
    </row>
    <row r="530" spans="133:133" hidden="1">
      <c r="EC530" s="805"/>
    </row>
    <row r="531" spans="133:133" hidden="1">
      <c r="EC531" s="805"/>
    </row>
    <row r="532" spans="133:133" hidden="1">
      <c r="EC532" s="805"/>
    </row>
    <row r="533" spans="133:133" hidden="1">
      <c r="EC533" s="805"/>
    </row>
    <row r="534" spans="133:133" hidden="1">
      <c r="EC534" s="805"/>
    </row>
    <row r="535" spans="133:133" hidden="1">
      <c r="EC535" s="805"/>
    </row>
    <row r="536" spans="133:133" hidden="1">
      <c r="EC536" s="805"/>
    </row>
    <row r="537" spans="133:133" hidden="1">
      <c r="EC537" s="805"/>
    </row>
    <row r="538" spans="133:133" hidden="1">
      <c r="EC538" s="805"/>
    </row>
    <row r="539" spans="133:133" hidden="1">
      <c r="EC539" s="805"/>
    </row>
    <row r="540" spans="133:133" hidden="1">
      <c r="EC540" s="805"/>
    </row>
    <row r="541" spans="133:133" hidden="1">
      <c r="EC541" s="805"/>
    </row>
    <row r="542" spans="133:133" hidden="1">
      <c r="EC542" s="805"/>
    </row>
    <row r="543" spans="133:133" hidden="1">
      <c r="EC543" s="805"/>
    </row>
    <row r="544" spans="133:133" hidden="1">
      <c r="EC544" s="805"/>
    </row>
    <row r="545" spans="133:133" hidden="1">
      <c r="EC545" s="805"/>
    </row>
    <row r="546" spans="133:133" hidden="1">
      <c r="EC546" s="805"/>
    </row>
    <row r="547" spans="133:133" hidden="1">
      <c r="EC547" s="805"/>
    </row>
    <row r="548" spans="133:133" hidden="1">
      <c r="EC548" s="805"/>
    </row>
    <row r="549" spans="133:133" hidden="1">
      <c r="EC549" s="805"/>
    </row>
    <row r="550" spans="133:133" hidden="1">
      <c r="EC550" s="805"/>
    </row>
    <row r="551" spans="133:133" hidden="1">
      <c r="EC551" s="805"/>
    </row>
    <row r="552" spans="133:133" hidden="1">
      <c r="EC552" s="805"/>
    </row>
    <row r="553" spans="133:133" hidden="1">
      <c r="EC553" s="805"/>
    </row>
    <row r="554" spans="133:133" hidden="1">
      <c r="EC554" s="805"/>
    </row>
    <row r="555" spans="133:133" hidden="1">
      <c r="EC555" s="805"/>
    </row>
    <row r="556" spans="133:133" hidden="1">
      <c r="EC556" s="805"/>
    </row>
    <row r="557" spans="133:133" hidden="1">
      <c r="EC557" s="805"/>
    </row>
    <row r="558" spans="133:133" hidden="1">
      <c r="EC558" s="805"/>
    </row>
    <row r="559" spans="133:133" hidden="1">
      <c r="EC559" s="805"/>
    </row>
    <row r="560" spans="133:133" hidden="1">
      <c r="EC560" s="805"/>
    </row>
    <row r="561" spans="133:133" hidden="1">
      <c r="EC561" s="805"/>
    </row>
    <row r="562" spans="133:133" hidden="1">
      <c r="EC562" s="805"/>
    </row>
    <row r="563" spans="133:133" hidden="1">
      <c r="EC563" s="805"/>
    </row>
    <row r="564" spans="133:133" hidden="1">
      <c r="EC564" s="805"/>
    </row>
    <row r="565" spans="133:133" hidden="1">
      <c r="EC565" s="805"/>
    </row>
    <row r="566" spans="133:133" hidden="1">
      <c r="EC566" s="805"/>
    </row>
    <row r="567" spans="133:133" hidden="1">
      <c r="EC567" s="805"/>
    </row>
    <row r="568" spans="133:133" hidden="1">
      <c r="EC568" s="805"/>
    </row>
    <row r="569" spans="133:133" hidden="1">
      <c r="EC569" s="805"/>
    </row>
    <row r="570" spans="133:133" hidden="1">
      <c r="EC570" s="805"/>
    </row>
    <row r="571" spans="133:133" hidden="1">
      <c r="EC571" s="805"/>
    </row>
    <row r="572" spans="133:133" hidden="1">
      <c r="EC572" s="805"/>
    </row>
    <row r="573" spans="133:133" hidden="1">
      <c r="EC573" s="805"/>
    </row>
    <row r="574" spans="133:133" hidden="1">
      <c r="EC574" s="805"/>
    </row>
    <row r="575" spans="133:133" hidden="1">
      <c r="EC575" s="805"/>
    </row>
    <row r="576" spans="133:133" hidden="1">
      <c r="EC576" s="805"/>
    </row>
    <row r="577" spans="133:133" hidden="1">
      <c r="EC577" s="805"/>
    </row>
    <row r="578" spans="133:133" hidden="1">
      <c r="EC578" s="805"/>
    </row>
    <row r="579" spans="133:133" hidden="1">
      <c r="EC579" s="805"/>
    </row>
    <row r="580" spans="133:133" hidden="1">
      <c r="EC580" s="805"/>
    </row>
    <row r="581" spans="133:133" hidden="1">
      <c r="EC581" s="805"/>
    </row>
    <row r="582" spans="133:133" hidden="1">
      <c r="EC582" s="805"/>
    </row>
    <row r="583" spans="133:133" hidden="1">
      <c r="EC583" s="805"/>
    </row>
    <row r="584" spans="133:133" hidden="1">
      <c r="EC584" s="805"/>
    </row>
    <row r="585" spans="133:133" hidden="1">
      <c r="EC585" s="805"/>
    </row>
    <row r="586" spans="133:133" hidden="1">
      <c r="EC586" s="805"/>
    </row>
    <row r="587" spans="133:133" hidden="1">
      <c r="EC587" s="805"/>
    </row>
    <row r="588" spans="133:133" hidden="1">
      <c r="EC588" s="805"/>
    </row>
    <row r="589" spans="133:133" hidden="1">
      <c r="EC589" s="805"/>
    </row>
    <row r="590" spans="133:133" hidden="1">
      <c r="EC590" s="805"/>
    </row>
    <row r="591" spans="133:133" hidden="1">
      <c r="EC591" s="805"/>
    </row>
    <row r="592" spans="133:133" hidden="1">
      <c r="EC592" s="805"/>
    </row>
    <row r="593" spans="133:133" hidden="1">
      <c r="EC593" s="805"/>
    </row>
    <row r="594" spans="133:133" hidden="1">
      <c r="EC594" s="805"/>
    </row>
    <row r="595" spans="133:133" hidden="1">
      <c r="EC595" s="805"/>
    </row>
    <row r="596" spans="133:133" hidden="1">
      <c r="EC596" s="805"/>
    </row>
    <row r="597" spans="133:133" hidden="1">
      <c r="EC597" s="805"/>
    </row>
    <row r="598" spans="133:133" hidden="1">
      <c r="EC598" s="805"/>
    </row>
    <row r="599" spans="133:133" hidden="1">
      <c r="EC599" s="805"/>
    </row>
    <row r="600" spans="133:133" hidden="1">
      <c r="EC600" s="805"/>
    </row>
    <row r="601" spans="133:133" hidden="1">
      <c r="EC601" s="805"/>
    </row>
    <row r="602" spans="133:133" hidden="1">
      <c r="EC602" s="805"/>
    </row>
    <row r="603" spans="133:133" hidden="1">
      <c r="EC603" s="805"/>
    </row>
    <row r="604" spans="133:133" hidden="1">
      <c r="EC604" s="805"/>
    </row>
    <row r="605" spans="133:133" hidden="1">
      <c r="EC605" s="805"/>
    </row>
    <row r="606" spans="133:133" hidden="1">
      <c r="EC606" s="805"/>
    </row>
    <row r="607" spans="133:133" hidden="1">
      <c r="EC607" s="805"/>
    </row>
    <row r="608" spans="133:133" hidden="1">
      <c r="EC608" s="805"/>
    </row>
    <row r="609" spans="133:133" hidden="1">
      <c r="EC609" s="805"/>
    </row>
    <row r="610" spans="133:133" hidden="1">
      <c r="EC610" s="805"/>
    </row>
    <row r="611" spans="133:133" hidden="1">
      <c r="EC611" s="805"/>
    </row>
    <row r="612" spans="133:133" hidden="1">
      <c r="EC612" s="805"/>
    </row>
    <row r="613" spans="133:133" hidden="1">
      <c r="EC613" s="805"/>
    </row>
    <row r="614" spans="133:133" hidden="1">
      <c r="EC614" s="805"/>
    </row>
    <row r="615" spans="133:133" hidden="1">
      <c r="EC615" s="805"/>
    </row>
    <row r="616" spans="133:133" hidden="1">
      <c r="EC616" s="805"/>
    </row>
    <row r="617" spans="133:133" hidden="1">
      <c r="EC617" s="805"/>
    </row>
    <row r="618" spans="133:133" hidden="1">
      <c r="EC618" s="805"/>
    </row>
    <row r="619" spans="133:133" hidden="1">
      <c r="EC619" s="805"/>
    </row>
    <row r="620" spans="133:133" hidden="1">
      <c r="EC620" s="805"/>
    </row>
    <row r="621" spans="133:133" hidden="1">
      <c r="EC621" s="805"/>
    </row>
    <row r="622" spans="133:133" hidden="1">
      <c r="EC622" s="805"/>
    </row>
    <row r="623" spans="133:133" hidden="1">
      <c r="EC623" s="805"/>
    </row>
    <row r="624" spans="133:133" hidden="1">
      <c r="EC624" s="805"/>
    </row>
    <row r="625" spans="133:133" hidden="1">
      <c r="EC625" s="805"/>
    </row>
    <row r="626" spans="133:133" hidden="1">
      <c r="EC626" s="805"/>
    </row>
    <row r="627" spans="133:133" hidden="1">
      <c r="EC627" s="805"/>
    </row>
    <row r="628" spans="133:133" hidden="1">
      <c r="EC628" s="805"/>
    </row>
    <row r="629" spans="133:133" hidden="1">
      <c r="EC629" s="805"/>
    </row>
    <row r="630" spans="133:133" hidden="1">
      <c r="EC630" s="805"/>
    </row>
    <row r="631" spans="133:133" hidden="1">
      <c r="EC631" s="805"/>
    </row>
    <row r="632" spans="133:133" hidden="1">
      <c r="EC632" s="805"/>
    </row>
    <row r="633" spans="133:133" hidden="1">
      <c r="EC633" s="805"/>
    </row>
    <row r="634" spans="133:133" hidden="1">
      <c r="EC634" s="805"/>
    </row>
    <row r="635" spans="133:133" hidden="1">
      <c r="EC635" s="805"/>
    </row>
    <row r="636" spans="133:133" hidden="1">
      <c r="EC636" s="805"/>
    </row>
    <row r="637" spans="133:133" hidden="1">
      <c r="EC637" s="805"/>
    </row>
    <row r="638" spans="133:133" hidden="1">
      <c r="EC638" s="805"/>
    </row>
    <row r="639" spans="133:133" hidden="1">
      <c r="EC639" s="805"/>
    </row>
    <row r="640" spans="133:133" hidden="1">
      <c r="EC640" s="805"/>
    </row>
    <row r="641" spans="133:133" hidden="1">
      <c r="EC641" s="805"/>
    </row>
    <row r="642" spans="133:133" hidden="1">
      <c r="EC642" s="805"/>
    </row>
    <row r="643" spans="133:133" hidden="1">
      <c r="EC643" s="805"/>
    </row>
    <row r="644" spans="133:133" hidden="1">
      <c r="EC644" s="805"/>
    </row>
    <row r="645" spans="133:133" hidden="1">
      <c r="EC645" s="805"/>
    </row>
    <row r="646" spans="133:133" hidden="1">
      <c r="EC646" s="805"/>
    </row>
    <row r="647" spans="133:133" hidden="1">
      <c r="EC647" s="805"/>
    </row>
    <row r="648" spans="133:133" hidden="1">
      <c r="EC648" s="805"/>
    </row>
    <row r="649" spans="133:133" hidden="1">
      <c r="EC649" s="805"/>
    </row>
    <row r="650" spans="133:133" hidden="1">
      <c r="EC650" s="805"/>
    </row>
    <row r="651" spans="133:133" hidden="1">
      <c r="EC651" s="805"/>
    </row>
    <row r="652" spans="133:133" hidden="1">
      <c r="EC652" s="805"/>
    </row>
    <row r="653" spans="133:133" hidden="1">
      <c r="EC653" s="805"/>
    </row>
    <row r="654" spans="133:133" hidden="1">
      <c r="EC654" s="805"/>
    </row>
    <row r="655" spans="133:133" hidden="1">
      <c r="EC655" s="805"/>
    </row>
    <row r="656" spans="133:133" hidden="1">
      <c r="EC656" s="805"/>
    </row>
    <row r="657" spans="133:133" hidden="1">
      <c r="EC657" s="805"/>
    </row>
    <row r="658" spans="133:133" hidden="1">
      <c r="EC658" s="805"/>
    </row>
    <row r="659" spans="133:133" hidden="1">
      <c r="EC659" s="805"/>
    </row>
    <row r="660" spans="133:133" hidden="1">
      <c r="EC660" s="805"/>
    </row>
    <row r="661" spans="133:133" hidden="1">
      <c r="EC661" s="805"/>
    </row>
    <row r="662" spans="133:133" hidden="1">
      <c r="EC662" s="805"/>
    </row>
    <row r="663" spans="133:133" hidden="1">
      <c r="EC663" s="805"/>
    </row>
    <row r="664" spans="133:133" hidden="1">
      <c r="EC664" s="805"/>
    </row>
    <row r="665" spans="133:133" hidden="1">
      <c r="EC665" s="805"/>
    </row>
    <row r="666" spans="133:133" hidden="1">
      <c r="EC666" s="805"/>
    </row>
    <row r="667" spans="133:133" hidden="1">
      <c r="EC667" s="805"/>
    </row>
    <row r="668" spans="133:133" hidden="1">
      <c r="EC668" s="805"/>
    </row>
    <row r="669" spans="133:133" hidden="1">
      <c r="EC669" s="805"/>
    </row>
    <row r="670" spans="133:133" hidden="1">
      <c r="EC670" s="805"/>
    </row>
    <row r="671" spans="133:133" hidden="1">
      <c r="EC671" s="805"/>
    </row>
    <row r="672" spans="133:133" hidden="1">
      <c r="EC672" s="805"/>
    </row>
    <row r="673" spans="133:133" hidden="1">
      <c r="EC673" s="805"/>
    </row>
    <row r="674" spans="133:133" hidden="1">
      <c r="EC674" s="805"/>
    </row>
    <row r="675" spans="133:133" hidden="1">
      <c r="EC675" s="805"/>
    </row>
    <row r="676" spans="133:133" hidden="1">
      <c r="EC676" s="805"/>
    </row>
    <row r="677" spans="133:133" hidden="1">
      <c r="EC677" s="805"/>
    </row>
    <row r="678" spans="133:133" hidden="1">
      <c r="EC678" s="805"/>
    </row>
    <row r="679" spans="133:133" hidden="1">
      <c r="EC679" s="805"/>
    </row>
    <row r="680" spans="133:133" hidden="1">
      <c r="EC680" s="805"/>
    </row>
    <row r="681" spans="133:133" hidden="1">
      <c r="EC681" s="805"/>
    </row>
    <row r="682" spans="133:133" hidden="1">
      <c r="EC682" s="805"/>
    </row>
    <row r="683" spans="133:133" hidden="1">
      <c r="EC683" s="805"/>
    </row>
    <row r="684" spans="133:133" hidden="1">
      <c r="EC684" s="805"/>
    </row>
    <row r="685" spans="133:133" hidden="1">
      <c r="EC685" s="805"/>
    </row>
    <row r="686" spans="133:133" hidden="1">
      <c r="EC686" s="805"/>
    </row>
    <row r="687" spans="133:133" hidden="1">
      <c r="EC687" s="805"/>
    </row>
    <row r="688" spans="133:133" hidden="1">
      <c r="EC688" s="805"/>
    </row>
    <row r="689" spans="133:133" hidden="1">
      <c r="EC689" s="805"/>
    </row>
    <row r="690" spans="133:133" hidden="1">
      <c r="EC690" s="805"/>
    </row>
    <row r="691" spans="133:133" hidden="1">
      <c r="EC691" s="805"/>
    </row>
    <row r="692" spans="133:133" hidden="1">
      <c r="EC692" s="805"/>
    </row>
    <row r="693" spans="133:133" hidden="1">
      <c r="EC693" s="805"/>
    </row>
    <row r="694" spans="133:133" hidden="1">
      <c r="EC694" s="805"/>
    </row>
    <row r="695" spans="133:133" hidden="1">
      <c r="EC695" s="805"/>
    </row>
    <row r="696" spans="133:133" hidden="1">
      <c r="EC696" s="805"/>
    </row>
    <row r="697" spans="133:133" hidden="1">
      <c r="EC697" s="805"/>
    </row>
    <row r="698" spans="133:133" hidden="1">
      <c r="EC698" s="805"/>
    </row>
    <row r="699" spans="133:133" hidden="1">
      <c r="EC699" s="805"/>
    </row>
    <row r="700" spans="133:133" hidden="1">
      <c r="EC700" s="805"/>
    </row>
    <row r="701" spans="133:133" hidden="1">
      <c r="EC701" s="805"/>
    </row>
    <row r="702" spans="133:133" hidden="1">
      <c r="EC702" s="805"/>
    </row>
    <row r="703" spans="133:133" hidden="1">
      <c r="EC703" s="805"/>
    </row>
    <row r="704" spans="133:133" hidden="1">
      <c r="EC704" s="805"/>
    </row>
    <row r="705" spans="133:133" hidden="1">
      <c r="EC705" s="805"/>
    </row>
    <row r="706" spans="133:133" hidden="1">
      <c r="EC706" s="805"/>
    </row>
    <row r="707" spans="133:133" hidden="1">
      <c r="EC707" s="805"/>
    </row>
    <row r="708" spans="133:133" hidden="1">
      <c r="EC708" s="805"/>
    </row>
    <row r="709" spans="133:133" hidden="1">
      <c r="EC709" s="805"/>
    </row>
    <row r="710" spans="133:133" hidden="1">
      <c r="EC710" s="805"/>
    </row>
    <row r="711" spans="133:133" hidden="1">
      <c r="EC711" s="805"/>
    </row>
    <row r="712" spans="133:133" hidden="1">
      <c r="EC712" s="805"/>
    </row>
    <row r="713" spans="133:133" hidden="1">
      <c r="EC713" s="805"/>
    </row>
    <row r="714" spans="133:133" hidden="1">
      <c r="EC714" s="805"/>
    </row>
    <row r="715" spans="133:133" hidden="1">
      <c r="EC715" s="805"/>
    </row>
    <row r="716" spans="133:133" hidden="1">
      <c r="EC716" s="805"/>
    </row>
    <row r="717" spans="133:133" hidden="1">
      <c r="EC717" s="805"/>
    </row>
    <row r="718" spans="133:133" hidden="1">
      <c r="EC718" s="805"/>
    </row>
    <row r="719" spans="133:133" hidden="1">
      <c r="EC719" s="805"/>
    </row>
    <row r="720" spans="133:133" hidden="1">
      <c r="EC720" s="805"/>
    </row>
    <row r="721" spans="133:133" hidden="1">
      <c r="EC721" s="805"/>
    </row>
    <row r="722" spans="133:133" hidden="1">
      <c r="EC722" s="805"/>
    </row>
    <row r="723" spans="133:133" hidden="1">
      <c r="EC723" s="805"/>
    </row>
    <row r="724" spans="133:133" hidden="1">
      <c r="EC724" s="805"/>
    </row>
    <row r="725" spans="133:133" hidden="1">
      <c r="EC725" s="805"/>
    </row>
    <row r="726" spans="133:133" hidden="1">
      <c r="EC726" s="805"/>
    </row>
    <row r="727" spans="133:133" hidden="1">
      <c r="EC727" s="805"/>
    </row>
    <row r="728" spans="133:133" hidden="1">
      <c r="EC728" s="805"/>
    </row>
    <row r="729" spans="133:133" hidden="1">
      <c r="EC729" s="805"/>
    </row>
    <row r="730" spans="133:133" hidden="1">
      <c r="EC730" s="805"/>
    </row>
    <row r="731" spans="133:133" hidden="1">
      <c r="EC731" s="805"/>
    </row>
    <row r="732" spans="133:133" hidden="1">
      <c r="EC732" s="805"/>
    </row>
    <row r="733" spans="133:133" hidden="1">
      <c r="EC733" s="805"/>
    </row>
    <row r="734" spans="133:133" hidden="1">
      <c r="EC734" s="805"/>
    </row>
    <row r="735" spans="133:133" hidden="1">
      <c r="EC735" s="805"/>
    </row>
    <row r="736" spans="133:133" hidden="1">
      <c r="EC736" s="805"/>
    </row>
    <row r="737" spans="133:133" hidden="1">
      <c r="EC737" s="805"/>
    </row>
    <row r="738" spans="133:133" hidden="1">
      <c r="EC738" s="805"/>
    </row>
    <row r="739" spans="133:133" hidden="1">
      <c r="EC739" s="805"/>
    </row>
    <row r="740" spans="133:133" hidden="1">
      <c r="EC740" s="805"/>
    </row>
    <row r="741" spans="133:133" hidden="1">
      <c r="EC741" s="805"/>
    </row>
    <row r="742" spans="133:133" hidden="1">
      <c r="EC742" s="805"/>
    </row>
    <row r="743" spans="133:133" hidden="1">
      <c r="EC743" s="805"/>
    </row>
    <row r="744" spans="133:133" hidden="1">
      <c r="EC744" s="805"/>
    </row>
    <row r="745" spans="133:133" hidden="1">
      <c r="EC745" s="805"/>
    </row>
    <row r="746" spans="133:133" hidden="1">
      <c r="EC746" s="805"/>
    </row>
    <row r="747" spans="133:133" hidden="1">
      <c r="EC747" s="805"/>
    </row>
    <row r="748" spans="133:133" hidden="1">
      <c r="EC748" s="805"/>
    </row>
    <row r="749" spans="133:133" hidden="1">
      <c r="EC749" s="805"/>
    </row>
    <row r="750" spans="133:133" hidden="1">
      <c r="EC750" s="805"/>
    </row>
    <row r="751" spans="133:133" hidden="1">
      <c r="EC751" s="805"/>
    </row>
    <row r="752" spans="133:133" hidden="1">
      <c r="EC752" s="805"/>
    </row>
    <row r="753" spans="133:133" hidden="1">
      <c r="EC753" s="805"/>
    </row>
    <row r="754" spans="133:133" hidden="1">
      <c r="EC754" s="805"/>
    </row>
    <row r="755" spans="133:133" hidden="1">
      <c r="EC755" s="805"/>
    </row>
    <row r="756" spans="133:133" hidden="1">
      <c r="EC756" s="805"/>
    </row>
    <row r="757" spans="133:133" hidden="1">
      <c r="EC757" s="805"/>
    </row>
    <row r="758" spans="133:133" hidden="1">
      <c r="EC758" s="805"/>
    </row>
    <row r="759" spans="133:133" hidden="1">
      <c r="EC759" s="805"/>
    </row>
    <row r="760" spans="133:133" hidden="1">
      <c r="EC760" s="805"/>
    </row>
    <row r="761" spans="133:133" hidden="1">
      <c r="EC761" s="805"/>
    </row>
    <row r="762" spans="133:133" hidden="1">
      <c r="EC762" s="805"/>
    </row>
    <row r="763" spans="133:133" hidden="1">
      <c r="EC763" s="805"/>
    </row>
    <row r="764" spans="133:133" hidden="1">
      <c r="EC764" s="805"/>
    </row>
    <row r="765" spans="133:133" hidden="1">
      <c r="EC765" s="805"/>
    </row>
    <row r="766" spans="133:133" hidden="1">
      <c r="EC766" s="805"/>
    </row>
    <row r="767" spans="133:133" hidden="1">
      <c r="EC767" s="805"/>
    </row>
    <row r="768" spans="133:133" hidden="1">
      <c r="EC768" s="805"/>
    </row>
    <row r="769" spans="133:133" hidden="1">
      <c r="EC769" s="805"/>
    </row>
    <row r="770" spans="133:133" hidden="1">
      <c r="EC770" s="805"/>
    </row>
    <row r="771" spans="133:133" hidden="1">
      <c r="EC771" s="805"/>
    </row>
    <row r="772" spans="133:133" hidden="1">
      <c r="EC772" s="805"/>
    </row>
    <row r="773" spans="133:133" hidden="1">
      <c r="EC773" s="805"/>
    </row>
    <row r="774" spans="133:133" hidden="1">
      <c r="EC774" s="805"/>
    </row>
    <row r="775" spans="133:133" hidden="1">
      <c r="EC775" s="805"/>
    </row>
    <row r="776" spans="133:133" hidden="1">
      <c r="EC776" s="805"/>
    </row>
    <row r="777" spans="133:133" hidden="1">
      <c r="EC777" s="805"/>
    </row>
    <row r="778" spans="133:133" hidden="1">
      <c r="EC778" s="805"/>
    </row>
    <row r="779" spans="133:133" hidden="1">
      <c r="EC779" s="805"/>
    </row>
    <row r="780" spans="133:133" hidden="1">
      <c r="EC780" s="805"/>
    </row>
    <row r="781" spans="133:133" hidden="1">
      <c r="EC781" s="805"/>
    </row>
    <row r="782" spans="133:133" hidden="1">
      <c r="EC782" s="805"/>
    </row>
    <row r="783" spans="133:133" hidden="1">
      <c r="EC783" s="805"/>
    </row>
    <row r="784" spans="133:133" hidden="1">
      <c r="EC784" s="805"/>
    </row>
    <row r="785" spans="133:133" hidden="1">
      <c r="EC785" s="805"/>
    </row>
    <row r="786" spans="133:133" hidden="1">
      <c r="EC786" s="805"/>
    </row>
    <row r="787" spans="133:133" hidden="1">
      <c r="EC787" s="805"/>
    </row>
    <row r="788" spans="133:133" hidden="1">
      <c r="EC788" s="805"/>
    </row>
    <row r="789" spans="133:133" hidden="1">
      <c r="EC789" s="805"/>
    </row>
    <row r="790" spans="133:133" hidden="1">
      <c r="EC790" s="805"/>
    </row>
    <row r="791" spans="133:133" hidden="1">
      <c r="EC791" s="805"/>
    </row>
    <row r="792" spans="133:133" hidden="1">
      <c r="EC792" s="805"/>
    </row>
    <row r="793" spans="133:133" hidden="1">
      <c r="EC793" s="805"/>
    </row>
    <row r="794" spans="133:133" hidden="1">
      <c r="EC794" s="805"/>
    </row>
    <row r="795" spans="133:133" hidden="1">
      <c r="EC795" s="805"/>
    </row>
    <row r="796" spans="133:133" hidden="1">
      <c r="EC796" s="805"/>
    </row>
    <row r="797" spans="133:133" hidden="1">
      <c r="EC797" s="805"/>
    </row>
    <row r="798" spans="133:133" hidden="1">
      <c r="EC798" s="805"/>
    </row>
    <row r="799" spans="133:133" hidden="1">
      <c r="EC799" s="805"/>
    </row>
    <row r="800" spans="133:133" hidden="1">
      <c r="EC800" s="805"/>
    </row>
    <row r="801" spans="133:133" hidden="1">
      <c r="EC801" s="805"/>
    </row>
    <row r="802" spans="133:133" hidden="1">
      <c r="EC802" s="805"/>
    </row>
    <row r="803" spans="133:133" hidden="1">
      <c r="EC803" s="805"/>
    </row>
    <row r="804" spans="133:133" hidden="1">
      <c r="EC804" s="805"/>
    </row>
    <row r="805" spans="133:133" hidden="1">
      <c r="EC805" s="805"/>
    </row>
    <row r="806" spans="133:133" hidden="1">
      <c r="EC806" s="805"/>
    </row>
    <row r="807" spans="133:133" hidden="1">
      <c r="EC807" s="805"/>
    </row>
    <row r="808" spans="133:133" hidden="1">
      <c r="EC808" s="805"/>
    </row>
    <row r="809" spans="133:133" hidden="1">
      <c r="EC809" s="805"/>
    </row>
    <row r="810" spans="133:133" hidden="1">
      <c r="EC810" s="805"/>
    </row>
    <row r="811" spans="133:133" hidden="1">
      <c r="EC811" s="805"/>
    </row>
    <row r="812" spans="133:133" hidden="1">
      <c r="EC812" s="805"/>
    </row>
    <row r="813" spans="133:133" hidden="1">
      <c r="EC813" s="805"/>
    </row>
    <row r="814" spans="133:133" hidden="1">
      <c r="EC814" s="805"/>
    </row>
    <row r="815" spans="133:133" hidden="1">
      <c r="EC815" s="805"/>
    </row>
    <row r="816" spans="133:133" hidden="1">
      <c r="EC816" s="805"/>
    </row>
    <row r="817" spans="133:133" hidden="1">
      <c r="EC817" s="805"/>
    </row>
    <row r="818" spans="133:133" hidden="1">
      <c r="EC818" s="805"/>
    </row>
    <row r="819" spans="133:133" hidden="1">
      <c r="EC819" s="805"/>
    </row>
    <row r="820" spans="133:133" hidden="1">
      <c r="EC820" s="805"/>
    </row>
    <row r="821" spans="133:133" hidden="1">
      <c r="EC821" s="805"/>
    </row>
    <row r="822" spans="133:133" hidden="1">
      <c r="EC822" s="805"/>
    </row>
    <row r="823" spans="133:133" hidden="1">
      <c r="EC823" s="805"/>
    </row>
    <row r="824" spans="133:133" hidden="1">
      <c r="EC824" s="805"/>
    </row>
    <row r="825" spans="133:133" hidden="1">
      <c r="EC825" s="805"/>
    </row>
    <row r="826" spans="133:133" hidden="1">
      <c r="EC826" s="805"/>
    </row>
    <row r="827" spans="133:133" hidden="1">
      <c r="EC827" s="805"/>
    </row>
    <row r="828" spans="133:133" hidden="1">
      <c r="EC828" s="805"/>
    </row>
    <row r="829" spans="133:133" hidden="1">
      <c r="EC829" s="805"/>
    </row>
    <row r="830" spans="133:133" hidden="1">
      <c r="EC830" s="805"/>
    </row>
    <row r="831" spans="133:133" hidden="1">
      <c r="EC831" s="805"/>
    </row>
    <row r="832" spans="133:133" hidden="1">
      <c r="EC832" s="805"/>
    </row>
    <row r="833" spans="133:133" hidden="1">
      <c r="EC833" s="805"/>
    </row>
    <row r="834" spans="133:133" hidden="1">
      <c r="EC834" s="805"/>
    </row>
    <row r="835" spans="133:133" hidden="1">
      <c r="EC835" s="805"/>
    </row>
    <row r="836" spans="133:133" hidden="1">
      <c r="EC836" s="805"/>
    </row>
    <row r="837" spans="133:133" hidden="1">
      <c r="EC837" s="805"/>
    </row>
    <row r="838" spans="133:133" hidden="1">
      <c r="EC838" s="805"/>
    </row>
    <row r="839" spans="133:133" hidden="1">
      <c r="EC839" s="805"/>
    </row>
    <row r="840" spans="133:133" hidden="1">
      <c r="EC840" s="805"/>
    </row>
    <row r="841" spans="133:133" hidden="1">
      <c r="EC841" s="805"/>
    </row>
    <row r="842" spans="133:133" hidden="1">
      <c r="EC842" s="805"/>
    </row>
    <row r="843" spans="133:133" hidden="1">
      <c r="EC843" s="805"/>
    </row>
    <row r="844" spans="133:133" hidden="1">
      <c r="EC844" s="805"/>
    </row>
    <row r="845" spans="133:133" hidden="1">
      <c r="EC845" s="805"/>
    </row>
    <row r="846" spans="133:133" hidden="1">
      <c r="EC846" s="805"/>
    </row>
    <row r="847" spans="133:133" hidden="1">
      <c r="EC847" s="805"/>
    </row>
    <row r="848" spans="133:133" hidden="1">
      <c r="EC848" s="805"/>
    </row>
    <row r="849" spans="133:133" hidden="1">
      <c r="EC849" s="805"/>
    </row>
    <row r="850" spans="133:133" hidden="1">
      <c r="EC850" s="805"/>
    </row>
    <row r="851" spans="133:133" hidden="1">
      <c r="EC851" s="805"/>
    </row>
    <row r="852" spans="133:133" hidden="1">
      <c r="EC852" s="805"/>
    </row>
    <row r="853" spans="133:133" hidden="1">
      <c r="EC853" s="805"/>
    </row>
    <row r="854" spans="133:133" hidden="1">
      <c r="EC854" s="805"/>
    </row>
    <row r="855" spans="133:133" hidden="1">
      <c r="EC855" s="805"/>
    </row>
    <row r="856" spans="133:133" hidden="1">
      <c r="EC856" s="805"/>
    </row>
    <row r="857" spans="133:133" hidden="1">
      <c r="EC857" s="805"/>
    </row>
    <row r="858" spans="133:133" hidden="1">
      <c r="EC858" s="805"/>
    </row>
    <row r="859" spans="133:133" hidden="1">
      <c r="EC859" s="805"/>
    </row>
    <row r="860" spans="133:133" hidden="1">
      <c r="EC860" s="805"/>
    </row>
    <row r="861" spans="133:133" hidden="1">
      <c r="EC861" s="805"/>
    </row>
    <row r="862" spans="133:133" hidden="1">
      <c r="EC862" s="805"/>
    </row>
    <row r="863" spans="133:133" hidden="1">
      <c r="EC863" s="805"/>
    </row>
    <row r="864" spans="133:133" hidden="1">
      <c r="EC864" s="805"/>
    </row>
    <row r="865" spans="133:133" hidden="1">
      <c r="EC865" s="805"/>
    </row>
    <row r="866" spans="133:133" hidden="1">
      <c r="EC866" s="805"/>
    </row>
    <row r="867" spans="133:133" hidden="1">
      <c r="EC867" s="805"/>
    </row>
    <row r="868" spans="133:133" hidden="1">
      <c r="EC868" s="805"/>
    </row>
    <row r="869" spans="133:133" hidden="1">
      <c r="EC869" s="805"/>
    </row>
    <row r="870" spans="133:133" hidden="1">
      <c r="EC870" s="805"/>
    </row>
    <row r="871" spans="133:133" hidden="1">
      <c r="EC871" s="805"/>
    </row>
    <row r="872" spans="133:133" hidden="1">
      <c r="EC872" s="805"/>
    </row>
    <row r="873" spans="133:133" hidden="1">
      <c r="EC873" s="805"/>
    </row>
    <row r="874" spans="133:133" hidden="1">
      <c r="EC874" s="805"/>
    </row>
    <row r="875" spans="133:133" hidden="1">
      <c r="EC875" s="805"/>
    </row>
    <row r="876" spans="133:133" hidden="1">
      <c r="EC876" s="805"/>
    </row>
    <row r="877" spans="133:133" hidden="1">
      <c r="EC877" s="805"/>
    </row>
    <row r="878" spans="133:133" hidden="1">
      <c r="EC878" s="805"/>
    </row>
    <row r="879" spans="133:133" hidden="1">
      <c r="EC879" s="805"/>
    </row>
    <row r="880" spans="133:133" hidden="1">
      <c r="EC880" s="805"/>
    </row>
    <row r="881" spans="133:133" hidden="1">
      <c r="EC881" s="805"/>
    </row>
    <row r="882" spans="133:133" hidden="1">
      <c r="EC882" s="805"/>
    </row>
    <row r="883" spans="133:133" hidden="1">
      <c r="EC883" s="805"/>
    </row>
    <row r="884" spans="133:133" hidden="1">
      <c r="EC884" s="805"/>
    </row>
    <row r="885" spans="133:133" hidden="1">
      <c r="EC885" s="805"/>
    </row>
    <row r="886" spans="133:133" hidden="1">
      <c r="EC886" s="805"/>
    </row>
    <row r="887" spans="133:133" hidden="1">
      <c r="EC887" s="805"/>
    </row>
    <row r="888" spans="133:133" hidden="1">
      <c r="EC888" s="805"/>
    </row>
    <row r="889" spans="133:133" hidden="1">
      <c r="EC889" s="805"/>
    </row>
    <row r="890" spans="133:133" hidden="1">
      <c r="EC890" s="805"/>
    </row>
    <row r="891" spans="133:133" hidden="1">
      <c r="EC891" s="805"/>
    </row>
    <row r="892" spans="133:133" hidden="1">
      <c r="EC892" s="805"/>
    </row>
    <row r="893" spans="133:133" hidden="1">
      <c r="EC893" s="805"/>
    </row>
    <row r="894" spans="133:133" hidden="1">
      <c r="EC894" s="805"/>
    </row>
    <row r="895" spans="133:133" hidden="1">
      <c r="EC895" s="805"/>
    </row>
    <row r="896" spans="133:133" hidden="1">
      <c r="EC896" s="805"/>
    </row>
    <row r="897" spans="133:133" hidden="1">
      <c r="EC897" s="805"/>
    </row>
    <row r="898" spans="133:133" hidden="1">
      <c r="EC898" s="805"/>
    </row>
    <row r="899" spans="133:133" hidden="1">
      <c r="EC899" s="805"/>
    </row>
    <row r="900" spans="133:133" hidden="1">
      <c r="EC900" s="805"/>
    </row>
    <row r="901" spans="133:133" hidden="1">
      <c r="EC901" s="805"/>
    </row>
    <row r="902" spans="133:133" hidden="1">
      <c r="EC902" s="805"/>
    </row>
    <row r="903" spans="133:133" hidden="1">
      <c r="EC903" s="805"/>
    </row>
    <row r="904" spans="133:133" hidden="1">
      <c r="EC904" s="805"/>
    </row>
    <row r="905" spans="133:133" hidden="1">
      <c r="EC905" s="805"/>
    </row>
    <row r="906" spans="133:133" hidden="1">
      <c r="EC906" s="805"/>
    </row>
    <row r="907" spans="133:133" hidden="1">
      <c r="EC907" s="805"/>
    </row>
    <row r="908" spans="133:133" hidden="1">
      <c r="EC908" s="805"/>
    </row>
    <row r="909" spans="133:133" hidden="1">
      <c r="EC909" s="805"/>
    </row>
    <row r="910" spans="133:133" hidden="1">
      <c r="EC910" s="805"/>
    </row>
    <row r="911" spans="133:133" hidden="1">
      <c r="EC911" s="805"/>
    </row>
    <row r="912" spans="133:133" hidden="1">
      <c r="EC912" s="805"/>
    </row>
    <row r="913" spans="133:133" hidden="1">
      <c r="EC913" s="805"/>
    </row>
    <row r="914" spans="133:133" hidden="1">
      <c r="EC914" s="805"/>
    </row>
    <row r="915" spans="133:133" hidden="1">
      <c r="EC915" s="805"/>
    </row>
    <row r="916" spans="133:133" hidden="1">
      <c r="EC916" s="805"/>
    </row>
    <row r="917" spans="133:133" hidden="1">
      <c r="EC917" s="805"/>
    </row>
    <row r="918" spans="133:133" hidden="1">
      <c r="EC918" s="805"/>
    </row>
    <row r="919" spans="133:133" hidden="1">
      <c r="EC919" s="805"/>
    </row>
    <row r="920" spans="133:133" hidden="1">
      <c r="EC920" s="805"/>
    </row>
    <row r="921" spans="133:133" hidden="1">
      <c r="EC921" s="805"/>
    </row>
    <row r="922" spans="133:133" hidden="1">
      <c r="EC922" s="805"/>
    </row>
    <row r="923" spans="133:133" hidden="1">
      <c r="EC923" s="805"/>
    </row>
    <row r="924" spans="133:133" hidden="1">
      <c r="EC924" s="805"/>
    </row>
    <row r="925" spans="133:133" hidden="1">
      <c r="EC925" s="805"/>
    </row>
    <row r="926" spans="133:133" hidden="1">
      <c r="EC926" s="805"/>
    </row>
    <row r="927" spans="133:133" hidden="1">
      <c r="EC927" s="805"/>
    </row>
    <row r="928" spans="133:133" hidden="1">
      <c r="EC928" s="805"/>
    </row>
    <row r="929" spans="133:133" hidden="1">
      <c r="EC929" s="805"/>
    </row>
    <row r="930" spans="133:133" hidden="1">
      <c r="EC930" s="805"/>
    </row>
    <row r="931" spans="133:133" hidden="1">
      <c r="EC931" s="805"/>
    </row>
    <row r="932" spans="133:133" hidden="1">
      <c r="EC932" s="805"/>
    </row>
    <row r="933" spans="133:133" hidden="1">
      <c r="EC933" s="805"/>
    </row>
    <row r="934" spans="133:133" hidden="1">
      <c r="EC934" s="805"/>
    </row>
    <row r="935" spans="133:133" hidden="1">
      <c r="EC935" s="805"/>
    </row>
    <row r="936" spans="133:133" hidden="1">
      <c r="EC936" s="805"/>
    </row>
    <row r="937" spans="133:133" hidden="1">
      <c r="EC937" s="805"/>
    </row>
    <row r="938" spans="133:133" hidden="1">
      <c r="EC938" s="805"/>
    </row>
    <row r="939" spans="133:133" hidden="1">
      <c r="EC939" s="805"/>
    </row>
    <row r="940" spans="133:133" hidden="1">
      <c r="EC940" s="805"/>
    </row>
    <row r="941" spans="133:133" hidden="1">
      <c r="EC941" s="805"/>
    </row>
    <row r="942" spans="133:133" hidden="1">
      <c r="EC942" s="805"/>
    </row>
    <row r="943" spans="133:133" hidden="1">
      <c r="EC943" s="805"/>
    </row>
    <row r="944" spans="133:133" hidden="1">
      <c r="EC944" s="805"/>
    </row>
    <row r="945" spans="133:133" hidden="1">
      <c r="EC945" s="805"/>
    </row>
    <row r="946" spans="133:133" hidden="1">
      <c r="EC946" s="805"/>
    </row>
    <row r="947" spans="133:133" hidden="1">
      <c r="EC947" s="805"/>
    </row>
    <row r="948" spans="133:133" hidden="1">
      <c r="EC948" s="805"/>
    </row>
    <row r="949" spans="133:133" hidden="1">
      <c r="EC949" s="805"/>
    </row>
    <row r="950" spans="133:133" hidden="1">
      <c r="EC950" s="805"/>
    </row>
    <row r="951" spans="133:133" hidden="1">
      <c r="EC951" s="805"/>
    </row>
    <row r="952" spans="133:133" hidden="1">
      <c r="EC952" s="805"/>
    </row>
    <row r="953" spans="133:133" hidden="1">
      <c r="EC953" s="805"/>
    </row>
    <row r="954" spans="133:133" hidden="1">
      <c r="EC954" s="805"/>
    </row>
    <row r="955" spans="133:133" hidden="1">
      <c r="EC955" s="805"/>
    </row>
    <row r="956" spans="133:133" hidden="1">
      <c r="EC956" s="805"/>
    </row>
    <row r="957" spans="133:133" hidden="1">
      <c r="EC957" s="805"/>
    </row>
    <row r="958" spans="133:133" hidden="1">
      <c r="EC958" s="805"/>
    </row>
    <row r="959" spans="133:133" hidden="1">
      <c r="EC959" s="805"/>
    </row>
    <row r="960" spans="133:133" hidden="1">
      <c r="EC960" s="805"/>
    </row>
    <row r="961" spans="133:133" hidden="1">
      <c r="EC961" s="805"/>
    </row>
    <row r="962" spans="133:133" hidden="1">
      <c r="EC962" s="805"/>
    </row>
    <row r="963" spans="133:133" hidden="1">
      <c r="EC963" s="805"/>
    </row>
    <row r="964" spans="133:133" hidden="1">
      <c r="EC964" s="805"/>
    </row>
    <row r="965" spans="133:133" hidden="1">
      <c r="EC965" s="805"/>
    </row>
    <row r="966" spans="133:133" hidden="1">
      <c r="EC966" s="805"/>
    </row>
    <row r="967" spans="133:133" hidden="1">
      <c r="EC967" s="805"/>
    </row>
    <row r="968" spans="133:133" hidden="1">
      <c r="EC968" s="805"/>
    </row>
    <row r="969" spans="133:133" hidden="1">
      <c r="EC969" s="805"/>
    </row>
    <row r="970" spans="133:133" hidden="1">
      <c r="EC970" s="805"/>
    </row>
    <row r="971" spans="133:133" hidden="1">
      <c r="EC971" s="805"/>
    </row>
    <row r="972" spans="133:133" hidden="1">
      <c r="EC972" s="805"/>
    </row>
    <row r="973" spans="133:133" hidden="1">
      <c r="EC973" s="805"/>
    </row>
    <row r="974" spans="133:133" hidden="1">
      <c r="EC974" s="805"/>
    </row>
    <row r="975" spans="133:133" hidden="1">
      <c r="EC975" s="805"/>
    </row>
    <row r="976" spans="133:133" hidden="1">
      <c r="EC976" s="805"/>
    </row>
    <row r="977" spans="133:133" hidden="1">
      <c r="EC977" s="805"/>
    </row>
    <row r="978" spans="133:133" hidden="1">
      <c r="EC978" s="805"/>
    </row>
    <row r="979" spans="133:133" hidden="1">
      <c r="EC979" s="805"/>
    </row>
    <row r="980" spans="133:133" hidden="1">
      <c r="EC980" s="805"/>
    </row>
    <row r="981" spans="133:133" hidden="1">
      <c r="EC981" s="805"/>
    </row>
    <row r="982" spans="133:133" hidden="1">
      <c r="EC982" s="805"/>
    </row>
    <row r="983" spans="133:133" hidden="1">
      <c r="EC983" s="805"/>
    </row>
    <row r="984" spans="133:133" hidden="1">
      <c r="EC984" s="805"/>
    </row>
    <row r="985" spans="133:133" hidden="1">
      <c r="EC985" s="805"/>
    </row>
    <row r="986" spans="133:133" hidden="1">
      <c r="EC986" s="805"/>
    </row>
    <row r="987" spans="133:133" hidden="1">
      <c r="EC987" s="805"/>
    </row>
    <row r="988" spans="133:133" hidden="1">
      <c r="EC988" s="805"/>
    </row>
    <row r="989" spans="133:133" hidden="1">
      <c r="EC989" s="805"/>
    </row>
    <row r="990" spans="133:133" hidden="1">
      <c r="EC990" s="805"/>
    </row>
    <row r="991" spans="133:133" hidden="1">
      <c r="EC991" s="805"/>
    </row>
    <row r="992" spans="133:133" hidden="1">
      <c r="EC992" s="805"/>
    </row>
    <row r="993" spans="1:169" hidden="1">
      <c r="EC993" s="805"/>
    </row>
    <row r="994" spans="1:169" hidden="1">
      <c r="EC994" s="805"/>
    </row>
    <row r="995" spans="1:169" hidden="1">
      <c r="EC995" s="805"/>
    </row>
    <row r="996" spans="1:169" hidden="1">
      <c r="EC996" s="805"/>
    </row>
    <row r="997" spans="1:169">
      <c r="EC997" s="805"/>
    </row>
    <row r="998" spans="1:169" s="13" customFormat="1" ht="12.75" customHeight="1">
      <c r="A998" s="221"/>
      <c r="B998" s="387"/>
      <c r="C998" s="388"/>
      <c r="D998" s="389" cm="1">
        <f t="array" ref="D998">IF($CG998=0,0,INDEX(BOM!$N:$N,$CG998))</f>
        <v>0</v>
      </c>
      <c r="E998" s="644" t="s">
        <v>664</v>
      </c>
      <c r="F998" s="644" t="s">
        <v>664</v>
      </c>
      <c r="G998" s="644" t="s">
        <v>664</v>
      </c>
      <c r="H998" s="644" t="s">
        <v>664</v>
      </c>
      <c r="I998" s="644" t="s">
        <v>664</v>
      </c>
      <c r="J998" s="644" t="s">
        <v>664</v>
      </c>
      <c r="K998" s="644" t="s">
        <v>664</v>
      </c>
      <c r="L998" s="644" t="s">
        <v>664</v>
      </c>
      <c r="M998" s="644" t="s">
        <v>664</v>
      </c>
      <c r="N998" s="644" t="s">
        <v>664</v>
      </c>
      <c r="O998" s="644" t="s">
        <v>664</v>
      </c>
      <c r="P998" s="644" t="s">
        <v>664</v>
      </c>
      <c r="Q998" s="644" t="s">
        <v>664</v>
      </c>
      <c r="R998" s="644" t="s">
        <v>664</v>
      </c>
      <c r="S998" s="644" t="s">
        <v>664</v>
      </c>
      <c r="T998" s="644" t="s">
        <v>664</v>
      </c>
      <c r="U998" s="644" t="s">
        <v>664</v>
      </c>
      <c r="V998" s="644" t="s">
        <v>664</v>
      </c>
      <c r="W998" s="644" t="s">
        <v>664</v>
      </c>
      <c r="X998" s="644" t="s">
        <v>664</v>
      </c>
      <c r="Y998" s="644" t="s">
        <v>664</v>
      </c>
      <c r="Z998" s="644" t="s">
        <v>664</v>
      </c>
      <c r="AA998" s="644" t="s">
        <v>664</v>
      </c>
      <c r="AB998" s="644" t="s">
        <v>664</v>
      </c>
      <c r="AC998" s="644" t="s">
        <v>664</v>
      </c>
      <c r="AD998" s="644" t="s">
        <v>664</v>
      </c>
      <c r="AE998" s="644" t="s">
        <v>664</v>
      </c>
      <c r="AF998" s="644" t="s">
        <v>664</v>
      </c>
      <c r="AG998" s="644" t="s">
        <v>664</v>
      </c>
      <c r="AH998" s="644" t="s">
        <v>664</v>
      </c>
      <c r="AI998" s="644" t="s">
        <v>664</v>
      </c>
      <c r="AJ998" s="644" t="s">
        <v>664</v>
      </c>
      <c r="AK998" s="644" t="s">
        <v>664</v>
      </c>
      <c r="AL998" s="644" t="s">
        <v>664</v>
      </c>
      <c r="AM998" s="644" t="s">
        <v>664</v>
      </c>
      <c r="AN998" s="644" t="s">
        <v>664</v>
      </c>
      <c r="AO998" s="644" t="s">
        <v>664</v>
      </c>
      <c r="AP998" s="644" t="s">
        <v>664</v>
      </c>
      <c r="AQ998" s="644" t="s">
        <v>664</v>
      </c>
      <c r="AR998" s="644" t="s">
        <v>664</v>
      </c>
      <c r="AS998" s="644" t="s">
        <v>664</v>
      </c>
      <c r="AT998" s="644" t="s">
        <v>664</v>
      </c>
      <c r="AU998" s="644" t="s">
        <v>664</v>
      </c>
      <c r="AV998" s="644" t="s">
        <v>664</v>
      </c>
      <c r="AW998" s="644" t="s">
        <v>664</v>
      </c>
      <c r="AX998" s="644" t="s">
        <v>664</v>
      </c>
      <c r="AY998" s="644" t="s">
        <v>664</v>
      </c>
      <c r="AZ998" s="644" t="s">
        <v>664</v>
      </c>
      <c r="BA998" s="644" t="s">
        <v>664</v>
      </c>
      <c r="BB998" s="644" t="s">
        <v>664</v>
      </c>
      <c r="BC998" s="644" t="s">
        <v>664</v>
      </c>
      <c r="BD998" s="644" t="s">
        <v>664</v>
      </c>
      <c r="BE998" s="644" t="s">
        <v>664</v>
      </c>
      <c r="BF998" s="644" t="s">
        <v>664</v>
      </c>
      <c r="BG998" s="644" t="s">
        <v>664</v>
      </c>
      <c r="BH998" s="644" t="s">
        <v>664</v>
      </c>
      <c r="BI998" s="644" t="s">
        <v>664</v>
      </c>
      <c r="BJ998" s="644" t="s">
        <v>664</v>
      </c>
      <c r="BK998" s="644" t="s">
        <v>664</v>
      </c>
      <c r="BL998" s="644" t="s">
        <v>664</v>
      </c>
      <c r="BM998" s="644" t="s">
        <v>664</v>
      </c>
      <c r="BN998" s="644" t="s">
        <v>664</v>
      </c>
      <c r="BO998" s="644" t="s">
        <v>664</v>
      </c>
      <c r="BP998" s="644" t="s">
        <v>664</v>
      </c>
      <c r="BQ998" s="644" t="s">
        <v>664</v>
      </c>
      <c r="BR998" s="644" t="s">
        <v>664</v>
      </c>
      <c r="BS998" s="920" t="e">
        <f>SUM(INDEX($BS:$BS,ROW()+1):INDEX($BS:$BS,$CE998))</f>
        <v>#N/A</v>
      </c>
      <c r="BT998" s="920" t="e">
        <f>SUM(INDEX($BT:$BT,ROW()+1):INDEX($BT:$BT,$CE998))</f>
        <v>#N/A</v>
      </c>
      <c r="BU998" s="644" t="s">
        <v>664</v>
      </c>
      <c r="BV998" s="643" t="e">
        <f>SUMPRODUCT($BS998:INDEX($BS:$BS,$CE998),$BU998:INDEX($BU:$BU,$CE998))</f>
        <v>#N/A</v>
      </c>
      <c r="BW998" s="390" t="e">
        <f>$D998*$BV998</f>
        <v>#N/A</v>
      </c>
      <c r="BX998" s="816" cm="1">
        <f t="array" ref="BX998">IF($CG998=0,0,IF(INDEX(BOM!$P:$P,$CG998)=0,0,
SUMPRODUCT($BW998:INDEX($BW:$BW,IFERROR(ROW()+MATCH($CL998,INDEX($CL:$CL,ROW()+1):INDEX($CL:$CL,MAX($CE:$CE)),0)-1,MAX($CE:$CE))),
($CL998:INDEX($CL:$CL,IFERROR(ROW()+MATCH($CL998,INDEX($CL:$CL,ROW()+1):INDEX($CL:$CL,MAX($CE:$CE)),0)-1,MAX($CE:$CE)))&gt;=$CL998)*1)
))</f>
        <v>0</v>
      </c>
      <c r="BY998" s="391"/>
      <c r="BZ998" s="392" cm="1">
        <f t="array" ref="BZ998">IF($CG998=0,0,INDEX(BOM!$M:$M,$CG998))</f>
        <v>0</v>
      </c>
      <c r="CA998" s="280">
        <f>IF($BZ998&gt;0,VALUE(LEFT($BZ998,IF(ISERROR(FIND("-",$BZ998)),LEN($BZ998),FIND("-",$BZ998)-1))),INDEX($BZ$1:BZ998,MATCH("",$A$1:A998,-1)))</f>
        <v>0</v>
      </c>
      <c r="CB998" s="280">
        <f>IF(LEN($BZ998)-LEN(SUBSTITUTE($BZ998,"-",))&gt;1,
VALUE(MID($BZ998,FIND("-",$BZ998)+1,FIND("-",$BZ998,FIND("-",$BZ998)+1)-FIND("-",$BZ998)-1)),0)</f>
        <v>0</v>
      </c>
      <c r="CC998" s="280">
        <f>IF(NOT(ISERROR(FIND("-",BZ998))),
VALUE(RIGHT($BZ998,LEN($BZ998)-IF(LEN($BZ998)-LEN(SUBSTITUTE($BZ998,"-",""))=1,FIND("-",$BZ998),FIND("-",$BZ998,FIND("-",$BZ998)+1)))),0)</f>
        <v>0</v>
      </c>
      <c r="CD998" s="393"/>
      <c r="CE998" s="280" t="e" cm="1">
        <f t="array" ref="CE998">ROW()+MATCH(TRUE,_xlfn.ISFORMULA(INDEX(BW:BW,ROW()+1):INDEX(BW:BW,ROW()+MaxNumberOfRowsPerBlock)),0)-1</f>
        <v>#N/A</v>
      </c>
      <c r="CF998" s="394" cm="1">
        <f t="array" ref="CF998">IF(CL998=0,-1,IF(CL998=1,7,MAX(IF($CL$1:$CL998=CL998-1,ROW($CL$1:$CL998),0))))</f>
        <v>-1</v>
      </c>
      <c r="CG998" s="393">
        <f>IFERROR(MATCH($B998,BOM!$A:$A,0),0)</f>
        <v>0</v>
      </c>
      <c r="CH998" s="280" t="e">
        <f>MATCH($CA998,Premises!$A$10:$F$10,0)</f>
        <v>#N/A</v>
      </c>
      <c r="CI998" s="280"/>
      <c r="CJ998" s="394"/>
      <c r="CK998" s="280"/>
      <c r="CL998" s="280" cm="1">
        <f t="array" ref="CL998">IF($CG998=0,0,INDEX(BOM!$C:$C,$CG998))</f>
        <v>0</v>
      </c>
      <c r="CM998" s="395" cm="1">
        <f t="array" ref="CM998">IF($CG998=0,0,IF(OR($CF998&lt;0,AND(INDEX($CB:$CB,$CF998)=$CB998,INDEX($CC:$CC,$CF998)=$CC998)),0,IF(INDEX(BOM!$P:$P,$CG998)=0,$BT998,(SUMIF($CA998:INDEX($CA:$CA,IFERROR(ROW()+MATCH($CL998,INDEX($CL:$CL,ROW()+1):INDEX($CL:$CL,MAX($CE:$CE)),0)-1,MAX($CE:$CE))),$CA998,$BT998:INDEX($BT:$BT,IFERROR(ROW()+MATCH($CL998,INDEX($CL:$CL,ROW()+1):INDEX($CL:$CL,MAX($CE:$CE)),0)-1,MAX($CE:$CE))))+SUMIF($CB998:INDEX($CB:$CB,IFERROR(ROW()+MATCH($CL998,INDEX($CL:$CL,ROW()+1):INDEX($CL:$CL,MAX($CE:$CE)),0)-1,MAX($CE:$CE))),$CA998,$BT998:INDEX($BT:$BT,IFERROR(ROW()+MATCH($CL998,INDEX($CL:$CL,ROW()+1):INDEX($CL:$CL,MAX($CE:$CE)),0)-1,MAX($CE:$CE)))))/2)))</f>
        <v>0</v>
      </c>
      <c r="CN998" s="396" cm="1">
        <f t="array" ref="CN998">IFERROR(IF($CB998=0,0,IF($CM998=0,INDEX($CN$1:$CN998,$CF998),INDEX(IF($CM998&lt;0.2,Premises!$A$43:$F$43,IF($CM998&lt;5,Premises!$A$46:$F$46,Premises!$A$49:$F$49)),MATCH($CB998,Premises!$A$10:$F$10,0))/($CM998*INDEX(Premises!$A$13:$F$13,MATCH($CB998,Premises!$A$10:$F$10,0)))+INDEX(IF($CM998&lt;0.2,Premises!$A$44:$F$44,IF($CM998&lt;5,Premises!$A$47:$F$47,Premises!$A$50:$F$50)),MATCH($CB998,Premises!$A$10:$F$10,0))+INDEX(IF($CM998&lt;0.2,Premises!$A$45:$F$45,IF($CM998&lt;5,Premises!$A$48:$F$48,Premises!$A$51:$F$51)),MATCH($CB998,Premises!$A$10:$F$10,0))/$CM998)),0.01)</f>
        <v>0</v>
      </c>
      <c r="CO998" s="395" cm="1">
        <f t="array" ref="CO998">IF($CG998=0,0,IF(INDEX($CC:$CC,$CF998)=$CC998,0,$CM998*(1+IFERROR(INDEX(Premises!$A$52:$F$52,1,MATCH($CB998,Premises!$A$10:$F$10,0)),0)+$CN998)))</f>
        <v>0</v>
      </c>
      <c r="CP998" s="396" cm="1">
        <f t="array" ref="CP998">IFERROR(IF($CC998=0,0,IF($CO998=0,INDEX($CP$1:$CP998,$CF998),INDEX(IF($CO998&lt;0.2,Premises!$A$43:$F$43,IF($CO998&lt;5,Premises!$A$46:$F$46,Premises!$A$49:$F$49)),MATCH($CC998,Premises!$A$10:$F$10,0))/($CO998*INDEX(Premises!$A$13:$F$13,MATCH($CC998,Premises!$A$10:$F$10,0)))+INDEX(IF($CO998&lt;0.2,Premises!$A$44:$F$44,IF($CO998&lt;5,Premises!$A$47:$F$47,Premises!$A$50:$F$50)),MATCH($CC998,Premises!$A$10:$F$10,0))+INDEX(IF($CO998&lt;0.2,Premises!$A$45:$F$45,IF($CO998&lt;5,Premises!$A$48:$F$48,Premises!$A$51:$F$51)),MATCH($CC998,Premises!$A$10:$F$10,0))/$CO998)),0.01)</f>
        <v>0</v>
      </c>
      <c r="CQ998" s="397" cm="1">
        <f t="array" ref="CQ998">IF(AND($CM998=0,$CO998=0),0,INDEX(BOM!$O:$O,$CG998))</f>
        <v>0</v>
      </c>
      <c r="CR998" s="398" cm="1">
        <f t="array" ref="CR998">IF(OR($CM998=0,$CN998=0),0,ACOS(COS(RADIANS(90-INDEX(Premises!$A$66:$F$66,1,$CH998)))*COS(RADIANS(90-INDEX(Premises!$A$66:$F$66,1,MATCH($CB998,Premises!$A$10:$F$10,0))))
+SIN(RADIANS(90-INDEX(Premises!$A$66:$F$66,1,$CH998)))*SIN(RADIANS(90-INDEX(Premises!$A$66:$F$66,1,MATCH($CB998,Premises!$A$10:$F$10,0)))) * COS(RADIANS(INDEX(Premises!$A$67:$F$67,1,$CH998)-INDEX(Premises!$A$67:$F$67,1,MATCH($CB998,Premises!$A$10:$F$10,0)))))*6371)</f>
        <v>0</v>
      </c>
      <c r="CS998" s="398" cm="1">
        <f t="array" ref="CS998">IF(OR($CO998=0,$CP998=0),0,
IF($CR998=0,ACOS(COS(RADIANS(90-INDEX(Premises!$A$66:$F$66,1,$CH998)))*COS(RADIANS(90-INDEX(Premises!$A$66:$F$66,1,MATCH($CC998,Premises!$A$10:$F$10,0))))
+SIN(RADIANS(90-INDEX(Premises!$A$66:$F$66,1,$CH998)))*SIN(RADIANS(90-INDEX(Premises!$A$66:$F$66,1,MATCH($CC998,Premises!$A$10:$F$10,0))))*COS(RADIANS(INDEX(Premises!$A$67:$F$67,1,$CH998)-INDEX(Premises!$A$67:$F$67,1,MATCH($CC998,Premises!$A$10:$F$10,0)))))*6371,
ACOS(COS(RADIANS(90-INDEX(Premises!$A$66:$F$66,1,MATCH($CB998,Premises!$A$10:$F$10,0))))*COS(RADIANS(90-INDEX(Premises!$A$66:$F$66,1,MATCH($CC998,Premises!$A$10:$F$10,0))))
+SIN(RADIANS(90-INDEX(Premises!$A$66:$F$66,1,MATCH($CB998,Premises!$A$10:$F$10,0))))*SIN(RADIANS(90-INDEX(Premises!$A$66:$F$66,1,MATCH($CC998,Premises!$A$10:$F$10,0))))*COS(RADIANS(INDEX(Premises!$A$67:$F$67,1,MATCH($CB998,Premises!$A$10:$F$10,0))-INDEX(Premises!$A$67:$F$67,1,MATCH($CC998,Premises!$A$10:$F$10,0)))))*6371))</f>
        <v>0</v>
      </c>
      <c r="CT998" s="1150"/>
      <c r="CU998" s="1149" t="s">
        <v>36</v>
      </c>
      <c r="CV998" s="399" t="e">
        <f>SUM(INDEX(CV:CV,ROW()+1):INDEX(CV:CV,$CE998))</f>
        <v>#N/A</v>
      </c>
      <c r="CW998" s="400" t="e">
        <f>SUM(INDEX(CW:CW,ROW()+1):INDEX(CW:CW,$CE998))</f>
        <v>#N/A</v>
      </c>
      <c r="CX998" s="400" t="e">
        <f>SUM(INDEX(CX:CX,ROW()+1):INDEX(CX:CX,$CE998))</f>
        <v>#N/A</v>
      </c>
      <c r="CY998" s="400" t="e">
        <f>SUM(INDEX(CY:CY,ROW()+1):INDEX(CY:CY,$CE998))</f>
        <v>#N/A</v>
      </c>
      <c r="CZ998" s="400" t="e">
        <f>SUM(INDEX(CZ:CZ,ROW()+1):INDEX(CZ:CZ,$CE998))</f>
        <v>#N/A</v>
      </c>
      <c r="DA998" s="400" t="e">
        <f>SUM(INDEX(DA:DA,ROW()+1):INDEX(DA:DA,$CE998))</f>
        <v>#N/A</v>
      </c>
      <c r="DB998" s="400" t="e">
        <f>SUM(INDEX(DB:DB,ROW()+1):INDEX(DB:DB,$CE998))</f>
        <v>#N/A</v>
      </c>
      <c r="DC998" s="400" t="e">
        <f>SUM(INDEX(DC:DC,ROW()+1):INDEX(DC:DC,$CE998))</f>
        <v>#N/A</v>
      </c>
      <c r="DD998" s="400" t="e">
        <f>SUM(INDEX(DD:DD,ROW()+1):INDEX(DD:DD,$CE998))</f>
        <v>#N/A</v>
      </c>
      <c r="DE998" s="400" t="e">
        <f>SUM(INDEX(DE:DE,ROW()+1):INDEX(DE:DE,$CE998))</f>
        <v>#N/A</v>
      </c>
      <c r="DF998" s="400" t="e">
        <f>SUM(INDEX(DF:DF,ROW()+1):INDEX(DF:DF,$CE998))</f>
        <v>#N/A</v>
      </c>
      <c r="DG998" s="400" t="e">
        <f>SUM(INDEX(DG:DG,ROW()+1):INDEX(DG:DG,$CE998))</f>
        <v>#N/A</v>
      </c>
      <c r="DH998" s="400" t="e">
        <f>SUM(INDEX(DH:DH,ROW()+1):INDEX(DH:DH,$CE998))</f>
        <v>#N/A</v>
      </c>
      <c r="DI998" s="400" t="e">
        <f>SUM(INDEX(DI:DI,ROW()+1):INDEX(DI:DI,$CE998))</f>
        <v>#N/A</v>
      </c>
      <c r="DJ998" s="400" t="e">
        <f>SUM(INDEX(DJ:DJ,ROW()+1):INDEX(DJ:DJ,$CE998))</f>
        <v>#N/A</v>
      </c>
      <c r="DK998" s="400" t="e">
        <f>SUM(INDEX(DK:DK,ROW()+1):INDEX(DK:DK,$CE998))</f>
        <v>#N/A</v>
      </c>
      <c r="DL998" s="400" t="e">
        <f>SUM(INDEX(DL:DL,ROW()+1):INDEX(DL:DL,$CE998))</f>
        <v>#N/A</v>
      </c>
      <c r="DM998" s="400" t="e">
        <f>SUM(INDEX(DM:DM,ROW()+1):INDEX(DM:DM,$CE998))</f>
        <v>#N/A</v>
      </c>
      <c r="DN998" s="400" t="e">
        <f>SUM(INDEX(DN:DN,ROW()+1):INDEX(DN:DN,$CE998))</f>
        <v>#N/A</v>
      </c>
      <c r="DO998" s="400" t="e">
        <f>SUM(INDEX(DO:DO,ROW()+1):INDEX(DO:DO,$CE998))</f>
        <v>#N/A</v>
      </c>
      <c r="DP998" s="400" t="e">
        <f>SUM(INDEX(DP:DP,ROW()+1):INDEX(DP:DP,$CE998))</f>
        <v>#N/A</v>
      </c>
      <c r="DQ998" s="400" t="e">
        <f>SUM(INDEX(DQ:DQ,ROW()+1):INDEX(DQ:DQ,$CE998))</f>
        <v>#N/A</v>
      </c>
      <c r="DR998" s="400" t="e">
        <f>SUM(INDEX(DR:DR,ROW()+1):INDEX(DR:DR,$CE998))</f>
        <v>#N/A</v>
      </c>
      <c r="DS998" s="400" t="e">
        <f>SUM(INDEX(DS:DS,ROW()+1):INDEX(DS:DS,$CE998))</f>
        <v>#N/A</v>
      </c>
      <c r="DT998" s="400" t="e">
        <f>SUM(INDEX(DT:DT,ROW()+1):INDEX(DT:DT,$CE998))</f>
        <v>#N/A</v>
      </c>
      <c r="DU998" s="400" t="e">
        <f>SUM(INDEX(DU:DU,ROW()+1):INDEX(DU:DU,$CE998))</f>
        <v>#N/A</v>
      </c>
      <c r="DV998" s="400" t="e">
        <f>SUM(INDEX(DV:DV,ROW()+1):INDEX(DV:DV,$CE998))</f>
        <v>#N/A</v>
      </c>
      <c r="DW998" s="400" t="e">
        <f>SUM(INDEX(DW:DW,ROW()+1):INDEX(DW:DW,$CE998))</f>
        <v>#N/A</v>
      </c>
      <c r="DX998" s="400" t="e">
        <f>SUM(INDEX(DX:DX,ROW()+1):INDEX(DX:DX,$CE998))</f>
        <v>#N/A</v>
      </c>
      <c r="DY998" s="400" t="e">
        <f>SUM(INDEX(DY:DY,ROW()+1):INDEX(DY:DY,$CE998))</f>
        <v>#N/A</v>
      </c>
      <c r="DZ998" s="400" t="e">
        <f>SUM(INDEX(DZ:DZ,ROW()+1):INDEX(DZ:DZ,$CE998))</f>
        <v>#N/A</v>
      </c>
      <c r="EA998" s="400" t="e">
        <f>SUM(INDEX(EA:EA,ROW()+1):INDEX(EA:EA,$CE998))</f>
        <v>#N/A</v>
      </c>
      <c r="EB998" s="401" t="e">
        <f>SUM(INDEX(EB:EB,ROW()+1):INDEX(EB:EB,$CE998))</f>
        <v>#N/A</v>
      </c>
      <c r="EC998" s="805"/>
      <c r="ED998" s="399"/>
      <c r="EE998" s="400"/>
      <c r="EF998" s="1112"/>
      <c r="EG998" s="1112"/>
      <c r="EH998" s="1112"/>
      <c r="EI998" s="1112"/>
      <c r="EJ998" s="1112"/>
      <c r="EK998" s="1112"/>
      <c r="EL998" s="1112"/>
      <c r="EM998" s="1112"/>
      <c r="EN998" s="1112"/>
      <c r="EO998" s="1112"/>
      <c r="EP998" s="1112"/>
      <c r="EQ998" s="1112"/>
      <c r="ER998" s="1112"/>
      <c r="ES998" s="1112"/>
      <c r="ET998" s="1112"/>
      <c r="EU998" s="1112"/>
      <c r="EV998" s="1112"/>
      <c r="EW998" s="1112"/>
      <c r="EX998" s="1113"/>
      <c r="EY998" s="2"/>
      <c r="EZ998" s="2"/>
      <c r="FA998" s="2"/>
      <c r="FB998" s="2"/>
      <c r="FC998" s="2"/>
      <c r="FD998" s="2"/>
      <c r="FE998" s="2"/>
      <c r="FF998" s="2"/>
      <c r="FG998" s="2"/>
      <c r="FH998" s="2"/>
      <c r="FI998" s="2"/>
      <c r="FJ998" s="399"/>
      <c r="FK998" s="400"/>
      <c r="FL998" s="401"/>
      <c r="FM998" s="1151"/>
    </row>
    <row r="999" spans="1:169" s="13" customFormat="1" ht="12.75" customHeight="1">
      <c r="A999" s="221"/>
      <c r="B999" s="402"/>
      <c r="C999" s="403"/>
      <c r="D999" s="646"/>
      <c r="E999" s="404"/>
      <c r="F999" s="405"/>
      <c r="G999" s="405"/>
      <c r="H999" s="405"/>
      <c r="I999" s="637" cm="1">
        <f t="array" ref="I999">IF($CI999=0,0,IFERROR(INDEX(MHR[],$CI999,MATCH($CA999,MHR!$B$4:$AY$4,0)),0))</f>
        <v>0</v>
      </c>
      <c r="J999" s="634">
        <f>IF(COUNTBLANK($E999:$H999),0,IFERROR($F999/$H999/IF($G999="s",3600,IF($G999="min",60,IF($G999="h",1,0)))*I999,0))</f>
        <v>0</v>
      </c>
      <c r="K999" s="406"/>
      <c r="L999" s="407"/>
      <c r="M999" s="871"/>
      <c r="N999" s="407"/>
      <c r="O999" s="405"/>
      <c r="P999" s="645" cm="1">
        <f t="array" ref="P999">IF($K999=0,0,IFERROR(ROUNDUP(IF(ISNUMBER($K999),$K999,INDEX($D$1:$D999,$CD999)*INDEX(Premises!$A$13:$F$13,1,$CH999)/IF(OR($K999="T",$K999="D"),250,IF($K999="W",50,IF($K999="M",12,IF(OR($K999="HJ",$K999="HY"),2,IF(OR($K999="J",$K999="Y"),1,0)))))),0),0))</f>
        <v>0</v>
      </c>
      <c r="Q999" s="637" cm="1">
        <f t="array" ref="Q999">IF($K999=0,0,IFERROR(INDEX(Premises!$A$22:$F$22,1,$CH999)*100/INDEX(Premises!$A$16:$F$16,1,$CH999),0))</f>
        <v>0</v>
      </c>
      <c r="R999" s="634">
        <f>IF($P999=0,0,IFERROR(($L999/60*($I999+$Q999*$M999)+($N999/60*($Q999*$O999)))/$P999,0))</f>
        <v>0</v>
      </c>
      <c r="S999" s="408"/>
      <c r="T999" s="409"/>
      <c r="U999" s="637" cm="1">
        <f t="array" ref="U999">IF(COUNTBLANK($S999:$T999),0,
IF(AND(INDEX(MHR[Schichtmodell],$CI999)&lt;&gt;0,INDEX(MHR[Schichtmodell],$CI999)&lt;&gt;INDEX(Premises!$A$20:$F$20,1,$CH999)),ExchangeRate*
IF(OR($T999="M",$T999="U"),IF(INDEX(MHR[Schichtmodell],$CI999)=1,INDEX(LOC[M1S],INDEX(Premises!$A$18:$F$18,1,$CH999+1)),IF(INDEX(MHR[Schichtmodell],$CI999)=2,INDEX(LOC[M2S],INDEX(Premises!$A$18:$F$18,1,$CH999+1),IF(INDEX(MHR[Schichtmodell],$CI999)=3,INDEX(LOC[M3S],INDEX(Premises!$A$18:$F$18,1,$CH999+1)),0)))),
IF(INDEX(MHR[Schichtmodell],$CI999)=1,INDEX(LOC[F1S],INDEX(Premises!$A$18:$F$18,1,$CH999+1)),IF(INDEX(MHR[Schichtmodell],$CI999)=2,INDEX(LOC[F2S],INDEX(Premises!$A$18:$F$18,1,$CH999+1)),IF(INDEX(MHR[Schichtmodell],$CI999)=3,INDEX(LOC[F3S],INDEX(Premises!$A$18:$F$18,1,$CH999+1)),0)))),
IF(OR($T999="M",$T999="U"),INDEX(Premises!$A$21:$F$21,1,$CH999),
IF(OR($T999="F",$T999="S"),INDEX(Premises!$A$22:$F$22,1,$CH999),0)))*100/INDEX(Premises!$A$16:$F$16,1,$CH999))</f>
        <v>0</v>
      </c>
      <c r="V999" s="631">
        <f>IF($U999=0,0,IFERROR($F999/$H999/IF($G999="s",3600,IF($G999="min",60,IF($G999="h",1,0)))*$S999*$U999,0))</f>
        <v>0</v>
      </c>
      <c r="W999" s="410"/>
      <c r="X999" s="403"/>
      <c r="Y999" s="411"/>
      <c r="Z999" s="412"/>
      <c r="AA999" s="628">
        <f>IFERROR($X999*$Z999/$Y999/MAX(1,$H999),0)</f>
        <v>0</v>
      </c>
      <c r="AB999" s="410"/>
      <c r="AC999" s="403"/>
      <c r="AD999" s="411"/>
      <c r="AE999" s="413"/>
      <c r="AF999" s="628">
        <f>IFERROR($AC999*$AE999/$AD999,0)</f>
        <v>0</v>
      </c>
      <c r="AG999" s="629" cm="1">
        <f t="array" ref="AG999">IF(($J999+$V999+$AF999)=0,0,INDEX(Premises!$A$30:$F$30,1,$CH999)/100)</f>
        <v>0</v>
      </c>
      <c r="AH999" s="414"/>
      <c r="AI999" s="415"/>
      <c r="AJ999" s="416"/>
      <c r="AK999" s="630">
        <f>IF(COUNTBLANK($AH999:$AI999),0,$AH999*$AI999*$AG999)</f>
        <v>0</v>
      </c>
      <c r="AL999" s="631">
        <f>($AK999+$AJ999*$AG999*(1-$AH999)+($J999+$V999+$AF999)*$AG999*(1-$AH999))</f>
        <v>0</v>
      </c>
      <c r="AM999" s="632" cm="1">
        <f t="array" ref="AM999">IF($CI999=0,0,IFERROR(INDEX(MHR[],$CI999,MATCH($CA999,MHR!$B$4:$AY$4,0)+11),0))</f>
        <v>0</v>
      </c>
      <c r="AN999" s="633" cm="1">
        <f t="array" ref="AN999">IF(($J999+$V999)=0,0,IFERROR(IF(INDEX(Premises!$A$41:$F$41,1,$CH999)&lt;&gt;0,INDEX(Premises!$A$41:$F$41,1,$CH999)/100,(IFERROR(($J999/$I999)*$AM999,0)/($V999+$J999+$R999+$AL999))),0))</f>
        <v>0</v>
      </c>
      <c r="AO999" s="634">
        <f>IF(($J999+$V999)=0,0,IF(IFERROR(($J999+$R999+$V999+$AL999)*$AN999,0)&lt;&gt;IFERROR(($J999/$I999)*$AM999,0),($J999+$R999+$V999+$AL999)*$AN999,IFERROR(($J999/$I999)*$AM999,0)))</f>
        <v>0</v>
      </c>
      <c r="AP999" s="635">
        <f>$V999+$J999+$R999+$AA999+$AF999+$AL999+$AO999</f>
        <v>0</v>
      </c>
      <c r="AQ999" s="410"/>
      <c r="AR999" s="409"/>
      <c r="AS999" s="636" cm="1">
        <f t="array" ref="AS999">IF($CJ999=0,0,IFERROR(INDEX(MAT[Einheit],$CJ999,1),0))</f>
        <v>0</v>
      </c>
      <c r="AT999" s="637" cm="1">
        <f t="array" ref="AT999">IF($CJ999=0,0,IFERROR(INDEX(MAT[Preis],$CJ999,1),0))</f>
        <v>0</v>
      </c>
      <c r="AU999" s="638">
        <f>$AR999*$AT999</f>
        <v>0</v>
      </c>
      <c r="AV999" s="639" cm="1">
        <f t="array" ref="AV999">IF($AU999&lt;=0,0,INDEX(Premises!$A$30:$F$30,1,$CH999)/100)</f>
        <v>0</v>
      </c>
      <c r="AW999" s="409"/>
      <c r="AX999" s="631">
        <f>IF($AV999=0,0,($AU999+$AW999)*$AV999)</f>
        <v>0</v>
      </c>
      <c r="AY999" s="640" cm="1">
        <f t="array" ref="AY999">IF($AT999&lt;=0,0,IFERROR(IF(INDEX(Premises!$A$42:$F$42,1,$CH999)&lt;&gt;0,INDEX(Premises!$A$42:$F$42,1,$CH999)/100,(INDEX(MAT[],$CJ999,MATCH($CA999,MAT!$B$4:$AE$4,0))/($AR999*$CK999*INDEX(Premises!$A$13:$F$13,1,$CH999))+INDEX(MAT[],$CJ999,MATCH($CA999,MAT!$B$4:$AE$4,0)+7))/$AT999),0))</f>
        <v>0</v>
      </c>
      <c r="AZ999" s="631">
        <f>IF($AY999=0,0,($AU999+$AX999)*$AY999)</f>
        <v>0</v>
      </c>
      <c r="BA999" s="635">
        <f>$AU999+$AX999+$AZ999</f>
        <v>0</v>
      </c>
      <c r="BB999" s="635">
        <f>$AP999+$BA999</f>
        <v>0</v>
      </c>
      <c r="BC999" s="639" cm="1">
        <f t="array" ref="BC999">IF($BB999&lt;=0,0,IF(BC$2=-1,0,INDEX(Premises!$A$32:$F$32,1,$CH999)/100))</f>
        <v>0</v>
      </c>
      <c r="BD999" s="631">
        <f>IF($AP999&lt;=0,0,($AP999-$AA999-$AL999)*$BC999)</f>
        <v>0</v>
      </c>
      <c r="BE999" s="639" cm="1">
        <f t="array" ref="BE999">IF($BB999&lt;=0,0,IF(BE$2=-1,0,INDEX(Premises!$A$33:$F$33,1,$CH999)/100))</f>
        <v>0</v>
      </c>
      <c r="BF999" s="631">
        <f>IF($BA999&lt;=0,0,$BA999*$BE999)</f>
        <v>0</v>
      </c>
      <c r="BG999" s="639" cm="1">
        <f t="array" ref="BG999">IF($BB999&lt;=0,0,IF(BG$2=-1,0,INDEX(Premises!$A$31:$F$31,1,$CH999)/100))</f>
        <v>0</v>
      </c>
      <c r="BH999" s="631">
        <f>(($AP999-$AA999-$AL999)+$BA999)*$BG999</f>
        <v>0</v>
      </c>
      <c r="BI999" s="635">
        <f>$BB999+$BD999+$BF999+$BH999</f>
        <v>0</v>
      </c>
      <c r="BJ999" s="639" cm="1">
        <f t="array" ref="BJ999">IF($BB999&lt;=0,0,IF(BJ$2=-1,0,INDEX(Premises!$A$35:$F$35,1,$CH999)/100))</f>
        <v>0</v>
      </c>
      <c r="BK999" s="631">
        <f>IF($AP999&lt;=0,0,($AP999-$AL999-$AA999)*$BJ999)</f>
        <v>0</v>
      </c>
      <c r="BL999" s="639" cm="1">
        <f t="array" ref="BL999">IF($BB999&lt;=0,0,IF(BL$2=-1,0,INDEX(Premises!$A$36:$F$36,1,$CH999)/100))</f>
        <v>0</v>
      </c>
      <c r="BM999" s="631">
        <f>IF($AU999&lt;=0,0,($AR999*$AT999)*$BL999)</f>
        <v>0</v>
      </c>
      <c r="BN999" s="639" cm="1">
        <f t="array" ref="BN999">IF($BB999&lt;=0,0,IF(BN$2=-1,0,INDEX(Premises!$A$34:$F$34,1,$CH999)/100))</f>
        <v>0</v>
      </c>
      <c r="BO999" s="631">
        <f>(($AP999-$AL999-$AA999)+($AR999*$AT999))*$BN999</f>
        <v>0</v>
      </c>
      <c r="BP999" s="639" cm="1">
        <f t="array" ref="BP999">IF($BI999=0,0,INDEX(Premises!$A$37:$F$37,1,$CH999)/100)</f>
        <v>0</v>
      </c>
      <c r="BQ999" s="409"/>
      <c r="BR999" s="631">
        <f>($BI999+$BK999+$BM999+$BO999)*$BP999+$BQ999</f>
        <v>0</v>
      </c>
      <c r="BS999" s="641">
        <f>BI999+BK999+BM999+BO999+BR999</f>
        <v>0</v>
      </c>
      <c r="BT999" s="641">
        <f>IF($BS999=0,0,$CK999*$BS999)</f>
        <v>0</v>
      </c>
      <c r="BU999" s="642">
        <f>IF($BT999=0,0,MAX(1,$EB999/$DP999))</f>
        <v>0</v>
      </c>
      <c r="BV999" s="1147"/>
      <c r="BW999" s="418"/>
      <c r="BX999" s="418"/>
      <c r="BY999" s="419"/>
      <c r="BZ999" s="968"/>
      <c r="CA999" s="280" t="e" cm="1">
        <f t="array" ref="CA999">IF($BZ999&gt;0,VALUE(LEFT($BZ999,IF(ISERROR(FIND("-",$BZ999)),LEN($BZ999),FIND("-",$BZ999)-1))),INDEX($CA$1:$CA999,MAX(1,$CD999)))</f>
        <v>#N/A</v>
      </c>
      <c r="CB999" s="280" cm="1">
        <f t="array" ref="CB999">IF($BT999=0,0,IF(LEN($BZ999)-LEN(SUBSTITUTE($BZ999,"-",""))&gt;1,
VALUE(MID($BZ999,FIND("-",$BZ999)+1,FIND("-",$BZ999,FIND("-",$BZ999)+1)-FIND("-",$BZ999)-1)),IF($BZ999&gt;0,0,INDEX($CB$1:$CB999,MAX(1,$CD999)))))</f>
        <v>0</v>
      </c>
      <c r="CC999" s="280" cm="1">
        <f t="array" ref="CC999">IF($BT999=0,0,IF(NOT(ISERROR(FIND("-",BZ999))),
VALUE(RIGHT($BZ999,LEN($BZ999)-IF(LEN($BZ999)-LEN(SUBSTITUTE($BZ999,"-",""))=1,FIND("-",$BZ999),FIND("-",$BZ999,FIND("-",$BZ999)+1)))),
IF($BZ999&gt;0,0,INDEX($CC$1:$CC999,MAX(1,$CD999)))))</f>
        <v>0</v>
      </c>
      <c r="CD999" s="393" t="e">
        <f>MATCH(0,$CE$1:$CE999,-1)</f>
        <v>#N/A</v>
      </c>
      <c r="CE999" s="280"/>
      <c r="CF999" s="394"/>
      <c r="CG999" s="393" t="e" cm="1">
        <f t="array" ref="CG999">INDEX($CG$1:$CG999,$CD999)</f>
        <v>#N/A</v>
      </c>
      <c r="CH999" s="280" t="e">
        <f>MATCH($CA999,Premises!$A$10:$F$10,0)</f>
        <v>#N/A</v>
      </c>
      <c r="CI999" s="280">
        <f>IF(ISBLANK($E999),0,IFERROR(MATCH($E999,MHR[Bezeichnung],0),0))</f>
        <v>0</v>
      </c>
      <c r="CJ999" s="394">
        <f>IF(ISBLANK($AQ999),0,IFERROR(MATCH($AQ999,MAT[Bezeichnung],0),0))</f>
        <v>0</v>
      </c>
      <c r="CK999" s="280" t="e" cm="1">
        <f t="array" ref="CK999">INDEX($D$1:$D999,$CD999)</f>
        <v>#N/A</v>
      </c>
      <c r="CL999" s="280"/>
      <c r="CM999" s="395"/>
      <c r="CN999" s="396" cm="1">
        <f t="array" ref="CN999">IF($CB999=0,0,IF($CB999=INDEX($CB$1:$CB999,$CD999),INDEX($CN$1:$CN999,$CD999),$CP999))</f>
        <v>0</v>
      </c>
      <c r="CO999" s="395"/>
      <c r="CP999" s="396" cm="1">
        <f t="array" ref="CP999">IF($CC999=0,0,INDEX($CP$1:$CP999,$CD999))</f>
        <v>0</v>
      </c>
      <c r="CQ999" s="397"/>
      <c r="CR999" s="398"/>
      <c r="CS999" s="398"/>
      <c r="CT999" s="1152"/>
      <c r="CU999" s="1149"/>
      <c r="CV999" s="647" t="e">
        <f>$J999*$CK999</f>
        <v>#N/A</v>
      </c>
      <c r="CW999" s="648" t="e">
        <f>$R999*$CK999</f>
        <v>#N/A</v>
      </c>
      <c r="CX999" s="648" t="e">
        <f>$V999*$CK999</f>
        <v>#N/A</v>
      </c>
      <c r="CY999" s="648" t="e">
        <f>$AA999*$CK999</f>
        <v>#N/A</v>
      </c>
      <c r="CZ999" s="648" t="e">
        <f>$AF999*$CK999</f>
        <v>#N/A</v>
      </c>
      <c r="DA999" s="648" t="e">
        <f>$AL999*$CK999</f>
        <v>#N/A</v>
      </c>
      <c r="DB999" s="648" t="e">
        <f>$AO999*$CK999</f>
        <v>#N/A</v>
      </c>
      <c r="DC999" s="649" t="e">
        <f>$AP999*$CK999</f>
        <v>#N/A</v>
      </c>
      <c r="DD999" s="648" t="e">
        <f>$AU999*$CK999</f>
        <v>#N/A</v>
      </c>
      <c r="DE999" s="648" t="e">
        <f>$AX999*$CK999</f>
        <v>#N/A</v>
      </c>
      <c r="DF999" s="648" t="e">
        <f>$AZ999*$CK999</f>
        <v>#N/A</v>
      </c>
      <c r="DG999" s="649" t="e">
        <f>$BA999*$CK999</f>
        <v>#N/A</v>
      </c>
      <c r="DH999" s="649" t="e">
        <f>$BB999*$CK999</f>
        <v>#N/A</v>
      </c>
      <c r="DI999" s="648" t="e">
        <f>$BD999*$CK999</f>
        <v>#N/A</v>
      </c>
      <c r="DJ999" s="648" t="e">
        <f>$BF999*$CK999</f>
        <v>#N/A</v>
      </c>
      <c r="DK999" s="648" t="e">
        <f>$BH999*$CK999</f>
        <v>#N/A</v>
      </c>
      <c r="DL999" s="648" t="e">
        <f>$BK999*$CK999</f>
        <v>#N/A</v>
      </c>
      <c r="DM999" s="648" t="e">
        <f>$BM999*$CK999</f>
        <v>#N/A</v>
      </c>
      <c r="DN999" s="648" t="e">
        <f>$BO999*$CK999</f>
        <v>#N/A</v>
      </c>
      <c r="DO999" s="648" t="e">
        <f>$BR999*$CK999</f>
        <v>#N/A</v>
      </c>
      <c r="DP999" s="651" t="e">
        <f>$CK999*($BB999+$BD999+$BF999+$BH999+$BK999+$BM999+$BO999+$BR999)</f>
        <v>#N/A</v>
      </c>
      <c r="DQ999" s="951">
        <f>IF($CB999=0,0,$DP999*_xlfn.XLOOKUP($CB999,Premises!$A$10:$F$10,Premises!$A$30:$F$30)/100)</f>
        <v>0</v>
      </c>
      <c r="DR999" s="650">
        <f>IFERROR(SUM($DP999:$DQ999)*IF(INDEX(Premises!$A$42:$F$42,1,MATCH($CB999,Premises!$A$10:$F$10,0))&gt;0,INDEX(Premises!$A$42:$F$42,1,MATCH($CB999,Premises!$A$10:$F$10,0))%,$CN999),0)</f>
        <v>0</v>
      </c>
      <c r="DS999" s="650" cm="1">
        <f t="array" ref="DS999">IF($CB999=0,0,SUM($DP999:$DR999)*_xlfn.XLOOKUP($CB999,Premises!$A$10:$F$10,IF(INDEX(Settings[],MATCH(3001,Settings[ID],0),2)="B",Premises!$A$33:$F$33,Premises!$A$31:$F$31))/100)</f>
        <v>0</v>
      </c>
      <c r="DT999" s="650" cm="1">
        <f t="array" ref="DT999">IF($CB999=0,0,$DP999*_xlfn.XLOOKUP($CB999,Premises!$A$10:$F$10,IF(INDEX(Settings[],MATCH(3002,Settings[ID],0),2)="B",Premises!$A$36:$F$36,Premises!$A$34:$F$34))/100)</f>
        <v>0</v>
      </c>
      <c r="DU999" s="650">
        <f>IF($CB999=0,0,SUM($DP999:$DT999)*_xlfn.XLOOKUP($CB999,Premises!$A$10:$F$10,Premises!$A$37:$F$37)/100)</f>
        <v>0</v>
      </c>
      <c r="DV999" s="954" t="e">
        <f>SUM($DP999:$DU999)</f>
        <v>#N/A</v>
      </c>
      <c r="DW999" s="951">
        <f>IF($CC999=0,0,$DV999*_xlfn.XLOOKUP($CC999,Premises!$A$10:$F$10,Premises!$A$30:$F$30)/100)</f>
        <v>0</v>
      </c>
      <c r="DX999" s="650">
        <f>IFERROR(SUM($DV999:$DW999)*IF(INDEX(Premises!$A$42:$F$42,1,MATCH($CC999,Premises!$A$10:$F$10,0))&gt;0,INDEX(Premises!$A$42:$F$42,1,MATCH($CC999,Premises!$A$10:$F$10,0))%,$CP999),0)</f>
        <v>0</v>
      </c>
      <c r="DY999" s="650" cm="1">
        <f t="array" ref="DY999">IF($CC999=0,0,SUM($DV999:$DX999)*_xlfn.XLOOKUP($CC999,Premises!$A$10:$F$10,IF(INDEX(Settings[],MATCH(3001,Settings[ID],0),2)="B",Premises!$A$33:$F$33,Premises!$A$31:$F$31))/100)</f>
        <v>0</v>
      </c>
      <c r="DZ999" s="650" cm="1">
        <f t="array" ref="DZ999">IF($CC999=0,0,$DV999*_xlfn.XLOOKUP($CC999,Premises!$A$10:$F$10,IF(INDEX(Settings[],MATCH(3002,Settings[ID],0),2)="B",Premises!$A$36:$F$36,Premises!$A$34:$F$34))/100)</f>
        <v>0</v>
      </c>
      <c r="EA999" s="650">
        <f>IF($CC999=0,0,SUM($DV999:$DZ999)*_xlfn.XLOOKUP($CC999,Premises!$A$10:$F$10,Premises!$A$37:$F$37)/100)</f>
        <v>0</v>
      </c>
      <c r="EB999" s="651" t="e">
        <f>SUM($DV999:$EA999)</f>
        <v>#N/A</v>
      </c>
      <c r="EC999" s="805"/>
      <c r="ED999" s="1104"/>
      <c r="EE999" s="650"/>
      <c r="EF999" s="1110"/>
      <c r="EG999" s="1108"/>
      <c r="EH999" s="1108"/>
      <c r="EI999" s="1108"/>
      <c r="EJ999" s="1108"/>
      <c r="EK999" s="1108"/>
      <c r="EL999" s="1108"/>
      <c r="EM999" s="1110"/>
      <c r="EN999" s="1108"/>
      <c r="EO999" s="1108"/>
      <c r="EP999" s="1108"/>
      <c r="EQ999" s="1108"/>
      <c r="ER999" s="1110"/>
      <c r="ES999" s="1108"/>
      <c r="ET999" s="1108"/>
      <c r="EU999" s="1108"/>
      <c r="EV999" s="1108"/>
      <c r="EW999" s="1108"/>
      <c r="EX999" s="1111"/>
      <c r="EY999" s="2"/>
      <c r="EZ999" s="2"/>
      <c r="FA999" s="2"/>
      <c r="FB999" s="2"/>
      <c r="FC999" s="2"/>
      <c r="FD999" s="2"/>
      <c r="FE999" s="2"/>
      <c r="FF999" s="2"/>
      <c r="FG999" s="2"/>
      <c r="FH999" s="2"/>
      <c r="FI999" s="2"/>
      <c r="FJ999" s="420"/>
      <c r="FK999" s="421"/>
      <c r="FL999" s="422"/>
      <c r="FM999" s="1153"/>
    </row>
    <row r="1000" spans="1:169" s="13" customFormat="1" ht="12.75" customHeight="1">
      <c r="A1000" s="221"/>
      <c r="B1000" s="402"/>
      <c r="C1000" s="403"/>
      <c r="D1000" s="646"/>
      <c r="E1000" s="404"/>
      <c r="F1000" s="405"/>
      <c r="G1000" s="405"/>
      <c r="H1000" s="405"/>
      <c r="I1000" s="637" cm="1">
        <f t="array" ref="I1000">IF($CI1000=0,0,IFERROR(INDEX(MHR[],$CI1000,MATCH($CA1000,MHR!$B$4:$AY$4,0)),0))</f>
        <v>0</v>
      </c>
      <c r="J1000" s="634">
        <f>IF(COUNTBLANK($E1000:$H1000),0,IFERROR($F1000/$H1000/IF($G1000="s",3600,IF($G1000="min",60,IF($G1000="h",1,0)))*I1000,0))</f>
        <v>0</v>
      </c>
      <c r="K1000" s="406"/>
      <c r="L1000" s="407"/>
      <c r="M1000" s="871"/>
      <c r="N1000" s="407"/>
      <c r="O1000" s="405"/>
      <c r="P1000" s="645" cm="1">
        <f t="array" ref="P1000">IF($K1000=0,0,IFERROR(ROUNDUP(IF(ISNUMBER($K1000),$K1000,INDEX($D$1:$D1000,$CD1000)*INDEX(Premises!$A$13:$F$13,1,$CH1000)/IF(OR($K1000="T",$K1000="D"),250,IF($K1000="W",50,IF($K1000="M",12,IF(OR($K1000="HJ",$K1000="HY"),2,IF(OR($K1000="J",$K1000="Y"),1,0)))))),0),0))</f>
        <v>0</v>
      </c>
      <c r="Q1000" s="637" cm="1">
        <f t="array" ref="Q1000">IF($K1000=0,0,IFERROR(INDEX(Premises!$A$22:$F$22,1,$CH1000)*100/INDEX(Premises!$A$16:$F$16,1,$CH1000),0))</f>
        <v>0</v>
      </c>
      <c r="R1000" s="634">
        <f>IF($P1000=0,0,IFERROR(($L1000/60*($I1000+$Q1000*$M1000)+($N1000/60*($Q1000*$O1000)))/$P1000,0))</f>
        <v>0</v>
      </c>
      <c r="S1000" s="408"/>
      <c r="T1000" s="409"/>
      <c r="U1000" s="637" cm="1">
        <f t="array" ref="U1000">IF(COUNTBLANK($S1000:$T1000),0,
IF(AND(INDEX(MHR[Schichtmodell],$CI1000)&lt;&gt;0,INDEX(MHR[Schichtmodell],$CI1000)&lt;&gt;INDEX(Premises!$A$20:$F$20,1,$CH1000)),ExchangeRate*
IF(OR($T1000="M",$T1000="U"),IF(INDEX(MHR[Schichtmodell],$CI1000)=1,INDEX(LOC[M1S],INDEX(Premises!$A$18:$F$18,1,$CH1000+1)),IF(INDEX(MHR[Schichtmodell],$CI1000)=2,INDEX(LOC[M2S],INDEX(Premises!$A$18:$F$18,1,$CH1000+1),IF(INDEX(MHR[Schichtmodell],$CI1000)=3,INDEX(LOC[M3S],INDEX(Premises!$A$18:$F$18,1,$CH1000+1)),0)))),
IF(INDEX(MHR[Schichtmodell],$CI1000)=1,INDEX(LOC[F1S],INDEX(Premises!$A$18:$F$18,1,$CH1000+1)),IF(INDEX(MHR[Schichtmodell],$CI1000)=2,INDEX(LOC[F2S],INDEX(Premises!$A$18:$F$18,1,$CH1000+1)),IF(INDEX(MHR[Schichtmodell],$CI1000)=3,INDEX(LOC[F3S],INDEX(Premises!$A$18:$F$18,1,$CH1000+1)),0)))),
IF(OR($T1000="M",$T1000="U"),INDEX(Premises!$A$21:$F$21,1,$CH1000),
IF(OR($T1000="F",$T1000="S"),INDEX(Premises!$A$22:$F$22,1,$CH1000),0)))*100/INDEX(Premises!$A$16:$F$16,1,$CH1000))</f>
        <v>0</v>
      </c>
      <c r="V1000" s="631">
        <f>IF($U1000=0,0,IFERROR($F1000/$H1000/IF($G1000="s",3600,IF($G1000="min",60,IF($G1000="h",1,0)))*$S1000*$U1000,0))</f>
        <v>0</v>
      </c>
      <c r="W1000" s="410"/>
      <c r="X1000" s="403"/>
      <c r="Y1000" s="411"/>
      <c r="Z1000" s="412"/>
      <c r="AA1000" s="628">
        <f>IFERROR($X1000*$Z1000/$Y1000/MAX(1,$H1000),0)</f>
        <v>0</v>
      </c>
      <c r="AB1000" s="410"/>
      <c r="AC1000" s="403"/>
      <c r="AD1000" s="411"/>
      <c r="AE1000" s="413"/>
      <c r="AF1000" s="628">
        <f>IFERROR($AC1000*$AE1000/$AD1000,0)</f>
        <v>0</v>
      </c>
      <c r="AG1000" s="629" cm="1">
        <f t="array" ref="AG1000">IF(($J1000+$V1000+$AF1000)=0,0,INDEX(Premises!$A$30:$F$30,1,$CH1000)/100)</f>
        <v>0</v>
      </c>
      <c r="AH1000" s="414"/>
      <c r="AI1000" s="415"/>
      <c r="AJ1000" s="416"/>
      <c r="AK1000" s="630">
        <f>IF(COUNTBLANK($AH1000:$AI1000),0,$AH1000*$AI1000*$AG1000)</f>
        <v>0</v>
      </c>
      <c r="AL1000" s="631">
        <f>($AK1000+$AJ1000*$AG1000*(1-$AH1000)+($J1000+$V1000+$AF1000)*$AG1000*(1-$AH1000))</f>
        <v>0</v>
      </c>
      <c r="AM1000" s="632" cm="1">
        <f t="array" ref="AM1000">IF($CI1000=0,0,IFERROR(INDEX(MHR[],$CI1000,MATCH($CA1000,MHR!$B$4:$AY$4,0)+11),0))</f>
        <v>0</v>
      </c>
      <c r="AN1000" s="633" cm="1">
        <f t="array" ref="AN1000">IF(($J1000+$V1000)=0,0,IFERROR(IF(INDEX(Premises!$A$41:$F$41,1,$CH1000)&lt;&gt;0,INDEX(Premises!$A$41:$F$41,1,$CH1000)/100,(IFERROR(($J1000/$I1000)*$AM1000,0)/($V1000+$J1000+$R1000+$AL1000))),0))</f>
        <v>0</v>
      </c>
      <c r="AO1000" s="634">
        <f>IF(($J1000+$V1000)=0,0,IF(IFERROR(($J1000+$R1000+$V1000+$AL1000)*$AN1000,0)&lt;&gt;IFERROR(($J1000/$I1000)*$AM1000,0),($J1000+$R1000+$V1000+$AL1000)*$AN1000,IFERROR(($J1000/$I1000)*$AM1000,0)))</f>
        <v>0</v>
      </c>
      <c r="AP1000" s="635">
        <f>$V1000+$J1000+$R1000+$AA1000+$AF1000+$AL1000+$AO1000</f>
        <v>0</v>
      </c>
      <c r="AQ1000" s="410"/>
      <c r="AR1000" s="409"/>
      <c r="AS1000" s="636" cm="1">
        <f t="array" ref="AS1000">IF($CJ1000=0,0,IFERROR(INDEX(MAT[Einheit],$CJ1000,1),0))</f>
        <v>0</v>
      </c>
      <c r="AT1000" s="637" cm="1">
        <f t="array" ref="AT1000">IF($CJ1000=0,0,IFERROR(INDEX(MAT[Preis],$CJ1000,1),0))</f>
        <v>0</v>
      </c>
      <c r="AU1000" s="638">
        <f>$AR1000*$AT1000</f>
        <v>0</v>
      </c>
      <c r="AV1000" s="639" cm="1">
        <f t="array" ref="AV1000">IF($AU1000&lt;=0,0,INDEX(Premises!$A$30:$F$30,1,$CH1000)/100)</f>
        <v>0</v>
      </c>
      <c r="AW1000" s="409"/>
      <c r="AX1000" s="631">
        <f>IF($AV1000=0,0,($AU1000+$AW1000)*$AV1000)</f>
        <v>0</v>
      </c>
      <c r="AY1000" s="640" cm="1">
        <f t="array" ref="AY1000">IF($AT1000&lt;=0,0,IFERROR(IF(INDEX(Premises!$A$42:$F$42,1,$CH1000)&lt;&gt;0,INDEX(Premises!$A$42:$F$42,1,$CH1000)/100,(INDEX(MAT[],$CJ1000,MATCH($CA1000,MAT!$B$4:$AE$4,0))/($AR1000*$CK1000*INDEX(Premises!$A$13:$F$13,1,$CH1000))+INDEX(MAT[],$CJ1000,MATCH($CA1000,MAT!$B$4:$AE$4,0)+7))/$AT1000),0))</f>
        <v>0</v>
      </c>
      <c r="AZ1000" s="631">
        <f>IF($AY1000=0,0,($AU1000+$AX1000)*$AY1000)</f>
        <v>0</v>
      </c>
      <c r="BA1000" s="635">
        <f>$AU1000+$AX1000+$AZ1000</f>
        <v>0</v>
      </c>
      <c r="BB1000" s="635">
        <f>$AP1000+$BA1000</f>
        <v>0</v>
      </c>
      <c r="BC1000" s="639" cm="1">
        <f t="array" ref="BC1000">IF($BB1000&lt;=0,0,IF(BC$2=-1,0,INDEX(Premises!$A$32:$F$32,1,$CH1000)/100))</f>
        <v>0</v>
      </c>
      <c r="BD1000" s="631">
        <f>IF($AP1000&lt;=0,0,($AP1000-$AA1000-$AL1000)*$BC1000)</f>
        <v>0</v>
      </c>
      <c r="BE1000" s="639" cm="1">
        <f t="array" ref="BE1000">IF($BB1000&lt;=0,0,IF(BE$2=-1,0,INDEX(Premises!$A$33:$F$33,1,$CH1000)/100))</f>
        <v>0</v>
      </c>
      <c r="BF1000" s="631">
        <f>IF($BA1000&lt;=0,0,$BA1000*$BE1000)</f>
        <v>0</v>
      </c>
      <c r="BG1000" s="639" cm="1">
        <f t="array" ref="BG1000">IF($BB1000&lt;=0,0,IF(BG$2=-1,0,INDEX(Premises!$A$31:$F$31,1,$CH1000)/100))</f>
        <v>0</v>
      </c>
      <c r="BH1000" s="631">
        <f>(($AP1000-$AA1000-$AL1000)+$BA1000)*$BG1000</f>
        <v>0</v>
      </c>
      <c r="BI1000" s="635">
        <f>$BB1000+$BD1000+$BF1000+$BH1000</f>
        <v>0</v>
      </c>
      <c r="BJ1000" s="639" cm="1">
        <f t="array" ref="BJ1000">IF($BB1000&lt;=0,0,IF(BJ$2=-1,0,INDEX(Premises!$A$35:$F$35,1,$CH1000)/100))</f>
        <v>0</v>
      </c>
      <c r="BK1000" s="631">
        <f>IF($AP1000&lt;=0,0,($AP1000-$AL1000-$AA1000)*$BJ1000)</f>
        <v>0</v>
      </c>
      <c r="BL1000" s="639" cm="1">
        <f t="array" ref="BL1000">IF($BB1000&lt;=0,0,IF(BL$2=-1,0,INDEX(Premises!$A$36:$F$36,1,$CH1000)/100))</f>
        <v>0</v>
      </c>
      <c r="BM1000" s="631">
        <f>IF($AU1000&lt;=0,0,($AR1000*$AT1000)*$BL1000)</f>
        <v>0</v>
      </c>
      <c r="BN1000" s="639" cm="1">
        <f t="array" ref="BN1000">IF($BB1000&lt;=0,0,IF(BN$2=-1,0,INDEX(Premises!$A$34:$F$34,1,$CH1000)/100))</f>
        <v>0</v>
      </c>
      <c r="BO1000" s="631">
        <f>(($AP1000-$AL1000-$AA1000)+($AR1000*$AT1000))*$BN1000</f>
        <v>0</v>
      </c>
      <c r="BP1000" s="639" cm="1">
        <f t="array" ref="BP1000">IF($BI1000=0,0,INDEX(Premises!$A$37:$F$37,1,$CH1000)/100)</f>
        <v>0</v>
      </c>
      <c r="BQ1000" s="409"/>
      <c r="BR1000" s="631">
        <f>($BI1000+$BK1000+$BM1000+$BO1000)*$BP1000+$BQ1000</f>
        <v>0</v>
      </c>
      <c r="BS1000" s="641">
        <f>BI1000+BK1000+BM1000+BO1000+BR1000</f>
        <v>0</v>
      </c>
      <c r="BT1000" s="641">
        <f>IF($BS1000=0,0,$CK1000*$BS1000)</f>
        <v>0</v>
      </c>
      <c r="BU1000" s="642">
        <f>IF($BT1000=0,0,MAX(1,$EB1000/$DP1000))</f>
        <v>0</v>
      </c>
      <c r="BV1000" s="1147"/>
      <c r="BW1000" s="418"/>
      <c r="BX1000" s="418"/>
      <c r="BY1000" s="419"/>
      <c r="BZ1000" s="968"/>
      <c r="CA1000" s="280" t="e" cm="1">
        <f t="array" ref="CA1000">IF($BZ1000&gt;0,VALUE(LEFT($BZ1000,IF(ISERROR(FIND("-",$BZ1000)),LEN($BZ1000),FIND("-",$BZ1000)-1))),INDEX($CA$1:$CA1000,MAX(1,$CD1000)))</f>
        <v>#N/A</v>
      </c>
      <c r="CB1000" s="280" cm="1">
        <f t="array" ref="CB1000">IF($BT1000=0,0,IF(LEN($BZ1000)-LEN(SUBSTITUTE($BZ1000,"-",""))&gt;1,
VALUE(MID($BZ1000,FIND("-",$BZ1000)+1,FIND("-",$BZ1000,FIND("-",$BZ1000)+1)-FIND("-",$BZ1000)-1)),IF($BZ1000&gt;0,0,INDEX($CB$1:$CB1000,MAX(1,$CD1000)))))</f>
        <v>0</v>
      </c>
      <c r="CC1000" s="280" cm="1">
        <f t="array" ref="CC1000">IF($BT1000=0,0,IF(NOT(ISERROR(FIND("-",BZ1000))),
VALUE(RIGHT($BZ1000,LEN($BZ1000)-IF(LEN($BZ1000)-LEN(SUBSTITUTE($BZ1000,"-",""))=1,FIND("-",$BZ1000),FIND("-",$BZ1000,FIND("-",$BZ1000)+1)))),
IF($BZ1000&gt;0,0,INDEX($CC$1:$CC1000,MAX(1,$CD1000)))))</f>
        <v>0</v>
      </c>
      <c r="CD1000" s="393" t="e">
        <f>MATCH(0,$CE$1:$CE1000,-1)</f>
        <v>#N/A</v>
      </c>
      <c r="CE1000" s="280"/>
      <c r="CF1000" s="394"/>
      <c r="CG1000" s="393" t="e" cm="1">
        <f t="array" ref="CG1000">INDEX($CG$1:$CG1000,$CD1000)</f>
        <v>#N/A</v>
      </c>
      <c r="CH1000" s="280" t="e">
        <f>MATCH($CA1000,Premises!$A$10:$F$10,0)</f>
        <v>#N/A</v>
      </c>
      <c r="CI1000" s="280">
        <f>IF(ISBLANK($E1000),0,IFERROR(MATCH($E1000,MHR[Bezeichnung],0),0))</f>
        <v>0</v>
      </c>
      <c r="CJ1000" s="394">
        <f>IF(ISBLANK($AQ1000),0,IFERROR(MATCH($AQ1000,MAT[Bezeichnung],0),0))</f>
        <v>0</v>
      </c>
      <c r="CK1000" s="280" t="e" cm="1">
        <f t="array" ref="CK1000">INDEX($D$1:$D1000,$CD1000)</f>
        <v>#N/A</v>
      </c>
      <c r="CL1000" s="280"/>
      <c r="CM1000" s="395"/>
      <c r="CN1000" s="396" cm="1">
        <f t="array" ref="CN1000">IF($CB1000=0,0,IF($CB1000=INDEX($CB$1:$CB1000,$CD1000),INDEX($CN$1:$CN1000,$CD1000),$CP1000))</f>
        <v>0</v>
      </c>
      <c r="CO1000" s="395"/>
      <c r="CP1000" s="396" cm="1">
        <f t="array" ref="CP1000">IF($CC1000=0,0,INDEX($CP$1:$CP1000,$CD1000))</f>
        <v>0</v>
      </c>
      <c r="CQ1000" s="397"/>
      <c r="CR1000" s="398"/>
      <c r="CS1000" s="398"/>
      <c r="CT1000" s="1152"/>
      <c r="CU1000" s="1149"/>
      <c r="CV1000" s="647" t="e">
        <f>$J1000*$CK1000</f>
        <v>#N/A</v>
      </c>
      <c r="CW1000" s="648" t="e">
        <f>$R1000*$CK1000</f>
        <v>#N/A</v>
      </c>
      <c r="CX1000" s="648" t="e">
        <f>$V1000*$CK1000</f>
        <v>#N/A</v>
      </c>
      <c r="CY1000" s="648" t="e">
        <f>$AA1000*$CK1000</f>
        <v>#N/A</v>
      </c>
      <c r="CZ1000" s="648" t="e">
        <f>$AF1000*$CK1000</f>
        <v>#N/A</v>
      </c>
      <c r="DA1000" s="648" t="e">
        <f>$AL1000*$CK1000</f>
        <v>#N/A</v>
      </c>
      <c r="DB1000" s="648" t="e">
        <f>$AO1000*$CK1000</f>
        <v>#N/A</v>
      </c>
      <c r="DC1000" s="649" t="e">
        <f>$AP1000*$CK1000</f>
        <v>#N/A</v>
      </c>
      <c r="DD1000" s="648" t="e">
        <f>$AU1000*$CK1000</f>
        <v>#N/A</v>
      </c>
      <c r="DE1000" s="648" t="e">
        <f>$AX1000*$CK1000</f>
        <v>#N/A</v>
      </c>
      <c r="DF1000" s="648" t="e">
        <f>$AZ1000*$CK1000</f>
        <v>#N/A</v>
      </c>
      <c r="DG1000" s="649" t="e">
        <f>$BA1000*$CK1000</f>
        <v>#N/A</v>
      </c>
      <c r="DH1000" s="649" t="e">
        <f>$BB1000*$CK1000</f>
        <v>#N/A</v>
      </c>
      <c r="DI1000" s="648" t="e">
        <f>$BD1000*$CK1000</f>
        <v>#N/A</v>
      </c>
      <c r="DJ1000" s="648" t="e">
        <f>$BF1000*$CK1000</f>
        <v>#N/A</v>
      </c>
      <c r="DK1000" s="648" t="e">
        <f>$BH1000*$CK1000</f>
        <v>#N/A</v>
      </c>
      <c r="DL1000" s="648" t="e">
        <f>$BK1000*$CK1000</f>
        <v>#N/A</v>
      </c>
      <c r="DM1000" s="648" t="e">
        <f>$BM1000*$CK1000</f>
        <v>#N/A</v>
      </c>
      <c r="DN1000" s="648" t="e">
        <f>$BO1000*$CK1000</f>
        <v>#N/A</v>
      </c>
      <c r="DO1000" s="648" t="e">
        <f>$BR1000*$CK1000</f>
        <v>#N/A</v>
      </c>
      <c r="DP1000" s="651" t="e">
        <f>$CK1000*($BB1000+$BD1000+$BF1000+$BH1000+$BK1000+$BM1000+$BO1000+$BR1000)</f>
        <v>#N/A</v>
      </c>
      <c r="DQ1000" s="951">
        <f>IF($CB1000=0,0,$DP1000*_xlfn.XLOOKUP($CB1000,Premises!$A$10:$F$10,Premises!$A$30:$F$30)/100)</f>
        <v>0</v>
      </c>
      <c r="DR1000" s="650">
        <f>IFERROR(SUM($DP1000:$DQ1000)*IF(INDEX(Premises!$A$42:$F$42,1,MATCH($CB1000,Premises!$A$10:$F$10,0))&gt;0,INDEX(Premises!$A$42:$F$42,1,MATCH($CB1000,Premises!$A$10:$F$10,0))%,$CN1000),0)</f>
        <v>0</v>
      </c>
      <c r="DS1000" s="650" cm="1">
        <f t="array" ref="DS1000">IF($CB1000=0,0,SUM($DP1000:$DR1000)*_xlfn.XLOOKUP($CB1000,Premises!$A$10:$F$10,IF(INDEX(Settings[],MATCH(3001,Settings[ID],0),2)="B",Premises!$A$33:$F$33,Premises!$A$31:$F$31))/100)</f>
        <v>0</v>
      </c>
      <c r="DT1000" s="650" cm="1">
        <f t="array" ref="DT1000">IF($CB1000=0,0,$DP1000*_xlfn.XLOOKUP($CB1000,Premises!$A$10:$F$10,IF(INDEX(Settings[],MATCH(3002,Settings[ID],0),2)="B",Premises!$A$36:$F$36,Premises!$A$34:$F$34))/100)</f>
        <v>0</v>
      </c>
      <c r="DU1000" s="650">
        <f>IF($CB1000=0,0,SUM($DP1000:$DT1000)*_xlfn.XLOOKUP($CB1000,Premises!$A$10:$F$10,Premises!$A$37:$F$37)/100)</f>
        <v>0</v>
      </c>
      <c r="DV1000" s="954" t="e">
        <f>SUM($DP1000:$DU1000)</f>
        <v>#N/A</v>
      </c>
      <c r="DW1000" s="951">
        <f>IF($CC1000=0,0,$DV1000*_xlfn.XLOOKUP($CC1000,Premises!$A$10:$F$10,Premises!$A$30:$F$30)/100)</f>
        <v>0</v>
      </c>
      <c r="DX1000" s="650">
        <f>IFERROR(SUM($DV1000:$DW1000)*IF(INDEX(Premises!$A$42:$F$42,1,MATCH($CC1000,Premises!$A$10:$F$10,0))&gt;0,INDEX(Premises!$A$42:$F$42,1,MATCH($CC1000,Premises!$A$10:$F$10,0))%,$CP1000),0)</f>
        <v>0</v>
      </c>
      <c r="DY1000" s="650" cm="1">
        <f t="array" ref="DY1000">IF($CC1000=0,0,SUM($DV1000:$DX1000)*_xlfn.XLOOKUP($CC1000,Premises!$A$10:$F$10,IF(INDEX(Settings[],MATCH(3001,Settings[ID],0),2)="B",Premises!$A$33:$F$33,Premises!$A$31:$F$31))/100)</f>
        <v>0</v>
      </c>
      <c r="DZ1000" s="650" cm="1">
        <f t="array" ref="DZ1000">IF($CC1000=0,0,$DV1000*_xlfn.XLOOKUP($CC1000,Premises!$A$10:$F$10,IF(INDEX(Settings[],MATCH(3002,Settings[ID],0),2)="B",Premises!$A$36:$F$36,Premises!$A$34:$F$34))/100)</f>
        <v>0</v>
      </c>
      <c r="EA1000" s="650">
        <f>IF($CC1000=0,0,SUM($DV1000:$DZ1000)*_xlfn.XLOOKUP($CC1000,Premises!$A$10:$F$10,Premises!$A$37:$F$37)/100)</f>
        <v>0</v>
      </c>
      <c r="EB1000" s="651" t="e">
        <f>SUM($DV1000:$EA1000)</f>
        <v>#N/A</v>
      </c>
      <c r="EC1000" s="805"/>
      <c r="ED1000" s="1104"/>
      <c r="EE1000" s="650"/>
      <c r="EF1000" s="1110"/>
      <c r="EG1000" s="1108"/>
      <c r="EH1000" s="1108"/>
      <c r="EI1000" s="1108"/>
      <c r="EJ1000" s="1108"/>
      <c r="EK1000" s="1108"/>
      <c r="EL1000" s="1108"/>
      <c r="EM1000" s="1110"/>
      <c r="EN1000" s="1108"/>
      <c r="EO1000" s="1108"/>
      <c r="EP1000" s="1108"/>
      <c r="EQ1000" s="1108"/>
      <c r="ER1000" s="1110"/>
      <c r="ES1000" s="1108"/>
      <c r="ET1000" s="1108"/>
      <c r="EU1000" s="1108"/>
      <c r="EV1000" s="1108"/>
      <c r="EW1000" s="1108"/>
      <c r="EX1000" s="1111"/>
      <c r="EY1000" s="2"/>
      <c r="EZ1000" s="2"/>
      <c r="FA1000" s="2"/>
      <c r="FB1000" s="2"/>
      <c r="FC1000" s="2"/>
      <c r="FD1000" s="2"/>
      <c r="FE1000" s="2"/>
      <c r="FF1000" s="2"/>
      <c r="FG1000" s="2"/>
      <c r="FH1000" s="2"/>
      <c r="FI1000" s="2"/>
      <c r="FJ1000" s="420"/>
      <c r="FK1000" s="421"/>
      <c r="FL1000" s="422"/>
      <c r="FM1000" s="1153"/>
    </row>
    <row r="1001" spans="1:169" s="13" customFormat="1" ht="12.75" customHeight="1">
      <c r="A1001" s="221" t="s">
        <v>240</v>
      </c>
      <c r="B1001" s="402"/>
      <c r="C1001" s="403"/>
      <c r="D1001" s="646"/>
      <c r="E1001" s="404"/>
      <c r="F1001" s="405"/>
      <c r="G1001" s="405"/>
      <c r="H1001" s="405"/>
      <c r="I1001" s="637" cm="1">
        <f t="array" ref="I1001">IF($CI1001=0,0,IFERROR(INDEX(MHR[],$CI1001,MATCH($CA1001,MHR!$B$4:$AY$4,0)),0))</f>
        <v>0</v>
      </c>
      <c r="J1001" s="634">
        <f>IF(COUNTBLANK($E1001:$H1001),0,IFERROR($F1001/$H1001/IF($G1001="s",3600,IF($G1001="min",60,IF($G1001="h",1,0)))*I1001,0))</f>
        <v>0</v>
      </c>
      <c r="K1001" s="406"/>
      <c r="L1001" s="407"/>
      <c r="M1001" s="871"/>
      <c r="N1001" s="407"/>
      <c r="O1001" s="405"/>
      <c r="P1001" s="645" cm="1">
        <f t="array" ref="P1001">IF($K1001=0,0,IFERROR(ROUNDUP(IF(ISNUMBER($K1001),$K1001,INDEX($D$1:$D1001,$CD1001)*INDEX(Premises!$A$13:$F$13,1,$CH1001)/IF(OR($K1001="T",$K1001="D"),250,IF($K1001="W",50,IF($K1001="M",12,IF(OR($K1001="HJ",$K1001="HY"),2,IF(OR($K1001="J",$K1001="Y"),1,0)))))),0),0))</f>
        <v>0</v>
      </c>
      <c r="Q1001" s="637" cm="1">
        <f t="array" ref="Q1001">IF($K1001=0,0,IFERROR(INDEX(Premises!$A$22:$F$22,1,$CH1001)*100/INDEX(Premises!$A$16:$F$16,1,$CH1001),0))</f>
        <v>0</v>
      </c>
      <c r="R1001" s="634">
        <f>IF($P1001=0,0,IFERROR(($L1001/60*($I1001+$Q1001*$M1001)+($N1001/60*($Q1001*$O1001)))/$P1001,0))</f>
        <v>0</v>
      </c>
      <c r="S1001" s="408"/>
      <c r="T1001" s="409"/>
      <c r="U1001" s="637" cm="1">
        <f t="array" ref="U1001">IF(COUNTBLANK($S1001:$T1001),0,
IF(AND(INDEX(MHR[Schichtmodell],$CI1001)&lt;&gt;0,INDEX(MHR[Schichtmodell],$CI1001)&lt;&gt;INDEX(Premises!$A$20:$F$20,1,$CH1001)),ExchangeRate*
IF(OR($T1001="M",$T1001="U"),IF(INDEX(MHR[Schichtmodell],$CI1001)=1,INDEX(LOC[M1S],INDEX(Premises!$A$18:$F$18,1,$CH1001+1)),IF(INDEX(MHR[Schichtmodell],$CI1001)=2,INDEX(LOC[M2S],INDEX(Premises!$A$18:$F$18,1,$CH1001+1),IF(INDEX(MHR[Schichtmodell],$CI1001)=3,INDEX(LOC[M3S],INDEX(Premises!$A$18:$F$18,1,$CH1001+1)),0)))),
IF(INDEX(MHR[Schichtmodell],$CI1001)=1,INDEX(LOC[F1S],INDEX(Premises!$A$18:$F$18,1,$CH1001+1)),IF(INDEX(MHR[Schichtmodell],$CI1001)=2,INDEX(LOC[F2S],INDEX(Premises!$A$18:$F$18,1,$CH1001+1)),IF(INDEX(MHR[Schichtmodell],$CI1001)=3,INDEX(LOC[F3S],INDEX(Premises!$A$18:$F$18,1,$CH1001+1)),0)))),
IF(OR($T1001="M",$T1001="U"),INDEX(Premises!$A$21:$F$21,1,$CH1001),
IF(OR($T1001="F",$T1001="S"),INDEX(Premises!$A$22:$F$22,1,$CH1001),0)))*100/INDEX(Premises!$A$16:$F$16,1,$CH1001))</f>
        <v>0</v>
      </c>
      <c r="V1001" s="631">
        <f>IF($U1001=0,0,IFERROR($F1001/$H1001/IF($G1001="s",3600,IF($G1001="min",60,IF($G1001="h",1,0)))*$S1001*$U1001,0))</f>
        <v>0</v>
      </c>
      <c r="W1001" s="410"/>
      <c r="X1001" s="403"/>
      <c r="Y1001" s="411"/>
      <c r="Z1001" s="412"/>
      <c r="AA1001" s="628">
        <f>IFERROR($X1001*$Z1001/$Y1001/MAX(1,$H1001),0)</f>
        <v>0</v>
      </c>
      <c r="AB1001" s="410"/>
      <c r="AC1001" s="403"/>
      <c r="AD1001" s="411"/>
      <c r="AE1001" s="413"/>
      <c r="AF1001" s="628">
        <f>IFERROR($AC1001*$AE1001/$AD1001,0)</f>
        <v>0</v>
      </c>
      <c r="AG1001" s="629" cm="1">
        <f t="array" ref="AG1001">IF(($J1001+$V1001+$AF1001)=0,0,INDEX(Premises!$A$30:$F$30,1,$CH1001)/100)</f>
        <v>0</v>
      </c>
      <c r="AH1001" s="414"/>
      <c r="AI1001" s="415"/>
      <c r="AJ1001" s="416"/>
      <c r="AK1001" s="630">
        <f>IF(COUNTBLANK($AH1001:$AI1001),0,$AH1001*$AI1001*$AG1001)</f>
        <v>0</v>
      </c>
      <c r="AL1001" s="631">
        <f>($AK1001+$AJ1001*$AG1001*(1-$AH1001)+($J1001+$V1001+$AF1001)*$AG1001*(1-$AH1001))</f>
        <v>0</v>
      </c>
      <c r="AM1001" s="632" cm="1">
        <f t="array" ref="AM1001">IF($CI1001=0,0,IFERROR(INDEX(MHR[],$CI1001,MATCH($CA1001,MHR!$B$4:$AY$4,0)+11),0))</f>
        <v>0</v>
      </c>
      <c r="AN1001" s="633" cm="1">
        <f t="array" ref="AN1001">IF(($J1001+$V1001)=0,0,IFERROR(IF(INDEX(Premises!$A$41:$F$41,1,$CH1001)&lt;&gt;0,INDEX(Premises!$A$41:$F$41,1,$CH1001)/100,(IFERROR(($J1001/$I1001)*$AM1001,0)/($V1001+$J1001+$R1001+$AL1001))),0))</f>
        <v>0</v>
      </c>
      <c r="AO1001" s="634">
        <f>IF(($J1001+$V1001)=0,0,IF(IFERROR(($J1001+$R1001+$V1001+$AL1001)*$AN1001,0)&lt;&gt;IFERROR(($J1001/$I1001)*$AM1001,0),($J1001+$R1001+$V1001+$AL1001)*$AN1001,IFERROR(($J1001/$I1001)*$AM1001,0)))</f>
        <v>0</v>
      </c>
      <c r="AP1001" s="635">
        <f>$V1001+$J1001+$R1001+$AA1001+$AF1001+$AL1001+$AO1001</f>
        <v>0</v>
      </c>
      <c r="AQ1001" s="410"/>
      <c r="AR1001" s="409"/>
      <c r="AS1001" s="636"/>
      <c r="AT1001" s="637"/>
      <c r="AU1001" s="638"/>
      <c r="AV1001" s="639"/>
      <c r="AW1001" s="409"/>
      <c r="AX1001" s="631"/>
      <c r="AY1001" s="640"/>
      <c r="AZ1001" s="631"/>
      <c r="BA1001" s="635"/>
      <c r="BB1001" s="635">
        <f>$AP1001+$BA1001</f>
        <v>0</v>
      </c>
      <c r="BC1001" s="639" cm="1">
        <f t="array" ref="BC1001">IF($BB1001&lt;=0,0,IF(BC$2=-1,0,INDEX(Premises!$A$32:$F$32,1,$CH1001)/100))</f>
        <v>0</v>
      </c>
      <c r="BD1001" s="631">
        <f>IF($AP1001&lt;=0,0,($AP1001-$AA1001-$AL1001)*$BC1001)</f>
        <v>0</v>
      </c>
      <c r="BE1001" s="639"/>
      <c r="BF1001" s="631"/>
      <c r="BG1001" s="639" cm="1">
        <f t="array" ref="BG1001">IF($BB1001&lt;=0,0,IF(BG$2=-1,0,INDEX(Premises!$A$31:$F$31,1,$CH1001)/100))</f>
        <v>0</v>
      </c>
      <c r="BH1001" s="631">
        <f>(($AP1001-$AA1001-$AL1001)+$BA1001)*$BG1001</f>
        <v>0</v>
      </c>
      <c r="BI1001" s="635">
        <f>$BB1001+$BD1001+$BF1001+$BH1001</f>
        <v>0</v>
      </c>
      <c r="BJ1001" s="639" cm="1">
        <f t="array" ref="BJ1001">IF($BB1001&lt;=0,0,IF(BJ$2=-1,0,INDEX(Premises!$A$35:$F$35,1,$CH1001)/100))</f>
        <v>0</v>
      </c>
      <c r="BK1001" s="631">
        <f>IF($AP1001&lt;=0,0,($AP1001-$AL1001-$AA1001)*$BJ1001)</f>
        <v>0</v>
      </c>
      <c r="BL1001" s="639"/>
      <c r="BM1001" s="631"/>
      <c r="BN1001" s="639" cm="1">
        <f t="array" ref="BN1001">IF($BB1001&lt;=0,0,IF(BN$2=-1,0,INDEX(Premises!$A$34:$F$34,1,$CH1001)/100))</f>
        <v>0</v>
      </c>
      <c r="BO1001" s="631">
        <f>(($AP1001-$AL1001-$AA1001)+($AR1001*$AT1001))*$BN1001</f>
        <v>0</v>
      </c>
      <c r="BP1001" s="639" cm="1">
        <f t="array" ref="BP1001">IF($BI1001=0,0,INDEX(Premises!$A$37:$F$37,1,$CH1001)/100)</f>
        <v>0</v>
      </c>
      <c r="BQ1001" s="409"/>
      <c r="BR1001" s="631">
        <f>($BI1001+$BK1001+$BM1001+$BO1001)*$BP1001+$BQ1001</f>
        <v>0</v>
      </c>
      <c r="BS1001" s="641">
        <f>BI1001+BK1001+BM1001+BO1001+BR1001</f>
        <v>0</v>
      </c>
      <c r="BT1001" s="641">
        <f>IF($BS1001=0,0,$CK1001*$BS1001)</f>
        <v>0</v>
      </c>
      <c r="BU1001" s="642">
        <f>IF($BT1001=0,0,MAX(1,$EB1001/$DP1001))</f>
        <v>0</v>
      </c>
      <c r="BV1001" s="1147"/>
      <c r="BW1001" s="418"/>
      <c r="BX1001" s="418"/>
      <c r="BY1001" s="419"/>
      <c r="BZ1001" s="968"/>
      <c r="CA1001" s="280" t="e" cm="1">
        <f t="array" ref="CA1001">IF($BZ1001&gt;0,VALUE(LEFT($BZ1001,IF(ISERROR(FIND("-",$BZ1001)),LEN($BZ1001),FIND("-",$BZ1001)-1))),INDEX($CA$1:$CA1001,MAX(1,$CD1001)))</f>
        <v>#N/A</v>
      </c>
      <c r="CB1001" s="280" cm="1">
        <f t="array" ref="CB1001">IF($BT1001=0,0,IF(LEN($BZ1001)-LEN(SUBSTITUTE($BZ1001,"-",""))&gt;1,
VALUE(MID($BZ1001,FIND("-",$BZ1001)+1,FIND("-",$BZ1001,FIND("-",$BZ1001)+1)-FIND("-",$BZ1001)-1)),IF($BZ1001&gt;0,0,INDEX($CB$1:$CB1001,MAX(1,$CD1001)))))</f>
        <v>0</v>
      </c>
      <c r="CC1001" s="280" cm="1">
        <f t="array" ref="CC1001">IF($BT1001=0,0,IF(NOT(ISERROR(FIND("-",BZ1001))),
VALUE(RIGHT($BZ1001,LEN($BZ1001)-IF(LEN($BZ1001)-LEN(SUBSTITUTE($BZ1001,"-",""))=1,FIND("-",$BZ1001),FIND("-",$BZ1001,FIND("-",$BZ1001)+1)))),
IF($BZ1001&gt;0,0,INDEX($CC$1:$CC1001,MAX(1,$CD1001)))))</f>
        <v>0</v>
      </c>
      <c r="CD1001" s="393" t="e">
        <f>MATCH(0,$CE$1:$CE1001,-1)</f>
        <v>#N/A</v>
      </c>
      <c r="CE1001" s="280"/>
      <c r="CF1001" s="394"/>
      <c r="CG1001" s="393" t="e" cm="1">
        <f t="array" ref="CG1001">INDEX($CG$1:$CG1001,$CD1001)</f>
        <v>#N/A</v>
      </c>
      <c r="CH1001" s="280" t="e">
        <f>MATCH($CA1001,Premises!$A$10:$F$10,0)</f>
        <v>#N/A</v>
      </c>
      <c r="CI1001" s="280">
        <f>IF(ISBLANK($E1001),0,IFERROR(MATCH($E1001,MHR[Bezeichnung],0),0))</f>
        <v>0</v>
      </c>
      <c r="CJ1001" s="394">
        <f>IF(ISBLANK($AQ1001),0,IFERROR(MATCH($AQ1001,MAT[Bezeichnung],0),0))</f>
        <v>0</v>
      </c>
      <c r="CK1001" s="280" t="e" cm="1">
        <f t="array" ref="CK1001">INDEX($D$1:$D1001,$CD1001)</f>
        <v>#N/A</v>
      </c>
      <c r="CL1001" s="280"/>
      <c r="CM1001" s="395"/>
      <c r="CN1001" s="396" cm="1">
        <f t="array" ref="CN1001">IF($CB1001=0,0,IF($CB1001=INDEX($CB$1:$CB1001,$CD1001),INDEX($CN$1:$CN1001,$CD1001),$CP1001))</f>
        <v>0</v>
      </c>
      <c r="CO1001" s="395"/>
      <c r="CP1001" s="396" cm="1">
        <f t="array" ref="CP1001">IF($CC1001=0,0,INDEX($CP$1:$CP1001,$CD1001))</f>
        <v>0</v>
      </c>
      <c r="CQ1001" s="397"/>
      <c r="CR1001" s="398"/>
      <c r="CS1001" s="398"/>
      <c r="CT1001" s="1152"/>
      <c r="CU1001" s="1149"/>
      <c r="CV1001" s="647" t="e">
        <f>$J1001*$CK1001</f>
        <v>#N/A</v>
      </c>
      <c r="CW1001" s="648" t="e">
        <f>$R1001*$CK1001</f>
        <v>#N/A</v>
      </c>
      <c r="CX1001" s="648" t="e">
        <f>$V1001*$CK1001</f>
        <v>#N/A</v>
      </c>
      <c r="CY1001" s="648" t="e">
        <f>$AA1001*$CK1001</f>
        <v>#N/A</v>
      </c>
      <c r="CZ1001" s="648" t="e">
        <f>$AF1001*$CK1001</f>
        <v>#N/A</v>
      </c>
      <c r="DA1001" s="648" t="e">
        <f>$AL1001*$CK1001</f>
        <v>#N/A</v>
      </c>
      <c r="DB1001" s="648" t="e">
        <f>$AO1001*$CK1001</f>
        <v>#N/A</v>
      </c>
      <c r="DC1001" s="649" t="e">
        <f>$AP1001*$CK1001</f>
        <v>#N/A</v>
      </c>
      <c r="DD1001" s="648"/>
      <c r="DE1001" s="648"/>
      <c r="DF1001" s="648"/>
      <c r="DG1001" s="649"/>
      <c r="DH1001" s="649" t="e">
        <f>$BB1001*$CK1001</f>
        <v>#N/A</v>
      </c>
      <c r="DI1001" s="648" t="e">
        <f>$BD1001*$CK1001</f>
        <v>#N/A</v>
      </c>
      <c r="DJ1001" s="648"/>
      <c r="DK1001" s="648" t="e">
        <f>$BH1001*$CK1001</f>
        <v>#N/A</v>
      </c>
      <c r="DL1001" s="648" t="e">
        <f>$BK1001*$CK1001</f>
        <v>#N/A</v>
      </c>
      <c r="DM1001" s="648"/>
      <c r="DN1001" s="648" t="e">
        <f>$BO1001*$CK1001</f>
        <v>#N/A</v>
      </c>
      <c r="DO1001" s="648" t="e">
        <f>$BR1001*$CK1001</f>
        <v>#N/A</v>
      </c>
      <c r="DP1001" s="651" t="e">
        <f>$CK1001*($BB1001+$BD1001+$BF1001+$BH1001+$BK1001+$BM1001+$BO1001+$BR1001)</f>
        <v>#N/A</v>
      </c>
      <c r="DQ1001" s="951">
        <f>IF($CB1001=0,0,$DP1001*_xlfn.XLOOKUP($CB1001,Premises!$A$10:$F$10,Premises!$A$30:$F$30)/100)</f>
        <v>0</v>
      </c>
      <c r="DR1001" s="650">
        <f>IFERROR(SUM($DP1001:$DQ1001)*IF(INDEX(Premises!$A$42:$F$42,1,MATCH($CB1001,Premises!$A$10:$F$10,0))&gt;0,INDEX(Premises!$A$42:$F$42,1,MATCH($CB1001,Premises!$A$10:$F$10,0))%,$CN1001),0)</f>
        <v>0</v>
      </c>
      <c r="DS1001" s="650" cm="1">
        <f t="array" ref="DS1001">IF($CB1001=0,0,SUM($DP1001:$DR1001)*_xlfn.XLOOKUP($CB1001,Premises!$A$10:$F$10,IF(INDEX(Settings[],MATCH(3001,Settings[ID],0),2)="B",Premises!$A$33:$F$33,Premises!$A$31:$F$31))/100)</f>
        <v>0</v>
      </c>
      <c r="DT1001" s="650" cm="1">
        <f t="array" ref="DT1001">IF($CB1001=0,0,$DP1001*_xlfn.XLOOKUP($CB1001,Premises!$A$10:$F$10,IF(INDEX(Settings[],MATCH(3002,Settings[ID],0),2)="B",Premises!$A$36:$F$36,Premises!$A$34:$F$34))/100)</f>
        <v>0</v>
      </c>
      <c r="DU1001" s="650">
        <f>IF($CB1001=0,0,SUM($DP1001:$DT1001)*_xlfn.XLOOKUP($CB1001,Premises!$A$10:$F$10,Premises!$A$37:$F$37)/100)</f>
        <v>0</v>
      </c>
      <c r="DV1001" s="954" t="e">
        <f>SUM($DP1001:$DU1001)</f>
        <v>#N/A</v>
      </c>
      <c r="DW1001" s="951">
        <f>IF($CC1001=0,0,$DV1001*_xlfn.XLOOKUP($CC1001,Premises!$A$10:$F$10,Premises!$A$30:$F$30)/100)</f>
        <v>0</v>
      </c>
      <c r="DX1001" s="650">
        <f>IFERROR(SUM($DV1001:$DW1001)*IF(INDEX(Premises!$A$42:$F$42,1,MATCH($CC1001,Premises!$A$10:$F$10,0))&gt;0,INDEX(Premises!$A$42:$F$42,1,MATCH($CC1001,Premises!$A$10:$F$10,0))%,$CP1001),0)</f>
        <v>0</v>
      </c>
      <c r="DY1001" s="650" cm="1">
        <f t="array" ref="DY1001">IF($CC1001=0,0,SUM($DV1001:$DX1001)*_xlfn.XLOOKUP($CC1001,Premises!$A$10:$F$10,IF(INDEX(Settings[],MATCH(3001,Settings[ID],0),2)="B",Premises!$A$33:$F$33,Premises!$A$31:$F$31))/100)</f>
        <v>0</v>
      </c>
      <c r="DZ1001" s="650" cm="1">
        <f t="array" ref="DZ1001">IF($CC1001=0,0,$DV1001*_xlfn.XLOOKUP($CC1001,Premises!$A$10:$F$10,IF(INDEX(Settings[],MATCH(3002,Settings[ID],0),2)="B",Premises!$A$36:$F$36,Premises!$A$34:$F$34))/100)</f>
        <v>0</v>
      </c>
      <c r="EA1001" s="650">
        <f>IF($CC1001=0,0,SUM($DV1001:$DZ1001)*_xlfn.XLOOKUP($CC1001,Premises!$A$10:$F$10,Premises!$A$37:$F$37)/100)</f>
        <v>0</v>
      </c>
      <c r="EB1001" s="651" t="e">
        <f>SUM($DV1001:$EA1001)</f>
        <v>#N/A</v>
      </c>
      <c r="EC1001" s="805"/>
      <c r="ED1001" s="1104"/>
      <c r="EE1001" s="650"/>
      <c r="EF1001" s="1110"/>
      <c r="EG1001" s="1108"/>
      <c r="EH1001" s="1108"/>
      <c r="EI1001" s="1108"/>
      <c r="EJ1001" s="1108"/>
      <c r="EK1001" s="1108"/>
      <c r="EL1001" s="1108"/>
      <c r="EM1001" s="1110"/>
      <c r="EN1001" s="1108"/>
      <c r="EO1001" s="1108"/>
      <c r="EP1001" s="1108"/>
      <c r="EQ1001" s="1108"/>
      <c r="ER1001" s="1110"/>
      <c r="ES1001" s="1108"/>
      <c r="ET1001" s="1108"/>
      <c r="EU1001" s="1108"/>
      <c r="EV1001" s="1108"/>
      <c r="EW1001" s="1108"/>
      <c r="EX1001" s="1111"/>
      <c r="EY1001" s="2"/>
      <c r="EZ1001" s="2"/>
      <c r="FA1001" s="2"/>
      <c r="FB1001" s="2"/>
      <c r="FC1001" s="2"/>
      <c r="FD1001" s="2"/>
      <c r="FE1001" s="2"/>
      <c r="FF1001" s="2"/>
      <c r="FG1001" s="2"/>
      <c r="FH1001" s="2"/>
      <c r="FI1001" s="2"/>
      <c r="FJ1001" s="420"/>
      <c r="FK1001" s="421"/>
      <c r="FL1001" s="422"/>
      <c r="FM1001" s="1153"/>
    </row>
    <row r="1002" spans="1:169" s="13" customFormat="1" ht="12.75" customHeight="1">
      <c r="A1002" s="221" t="s">
        <v>49</v>
      </c>
      <c r="B1002" s="402"/>
      <c r="C1002" s="403"/>
      <c r="D1002" s="646"/>
      <c r="E1002" s="404"/>
      <c r="F1002" s="405"/>
      <c r="G1002" s="405"/>
      <c r="H1002" s="405"/>
      <c r="I1002" s="637"/>
      <c r="J1002" s="634"/>
      <c r="K1002" s="406"/>
      <c r="L1002" s="407"/>
      <c r="M1002" s="871"/>
      <c r="N1002" s="407"/>
      <c r="O1002" s="405"/>
      <c r="P1002" s="645"/>
      <c r="Q1002" s="637"/>
      <c r="R1002" s="634"/>
      <c r="S1002" s="408"/>
      <c r="T1002" s="409"/>
      <c r="U1002" s="637"/>
      <c r="V1002" s="631"/>
      <c r="W1002" s="410"/>
      <c r="X1002" s="403"/>
      <c r="Y1002" s="411"/>
      <c r="Z1002" s="412"/>
      <c r="AA1002" s="628"/>
      <c r="AB1002" s="410"/>
      <c r="AC1002" s="403"/>
      <c r="AD1002" s="411"/>
      <c r="AE1002" s="413"/>
      <c r="AF1002" s="628"/>
      <c r="AG1002" s="629"/>
      <c r="AH1002" s="414"/>
      <c r="AI1002" s="415"/>
      <c r="AJ1002" s="416"/>
      <c r="AK1002" s="630"/>
      <c r="AL1002" s="631"/>
      <c r="AM1002" s="632"/>
      <c r="AN1002" s="633"/>
      <c r="AO1002" s="634"/>
      <c r="AP1002" s="635"/>
      <c r="AQ1002" s="410"/>
      <c r="AR1002" s="409"/>
      <c r="AS1002" s="636" cm="1">
        <f t="array" ref="AS1002">IF($CJ1002=0,0,IFERROR(INDEX(MAT[Einheit],$CJ1002,1),0))</f>
        <v>0</v>
      </c>
      <c r="AT1002" s="637" cm="1">
        <f t="array" ref="AT1002">IF($CJ1002=0,0,IFERROR(INDEX(MAT[Preis],$CJ1002,1),0))</f>
        <v>0</v>
      </c>
      <c r="AU1002" s="638">
        <f>$AR1002*$AT1002</f>
        <v>0</v>
      </c>
      <c r="AV1002" s="639" cm="1">
        <f t="array" ref="AV1002">IF($AU1002&lt;=0,0,INDEX(Premises!$A$30:$F$30,1,$CH1002)/100)</f>
        <v>0</v>
      </c>
      <c r="AW1002" s="409"/>
      <c r="AX1002" s="631">
        <f>IF($AV1002=0,0,($AU1002+$AW1002)*$AV1002)</f>
        <v>0</v>
      </c>
      <c r="AY1002" s="640" cm="1">
        <f t="array" ref="AY1002">IF($AT1002&lt;=0,0,IFERROR(IF(INDEX(Premises!$A$42:$F$42,1,$CH1002)&lt;&gt;0,INDEX(Premises!$A$42:$F$42,1,$CH1002)/100,(INDEX(MAT[],$CJ1002,MATCH($CA1002,MAT!$B$4:$AE$4,0))/($AR1002*$CK1002*INDEX(Premises!$A$13:$F$13,1,$CH1002))+INDEX(MAT[],$CJ1002,MATCH($CA1002,MAT!$B$4:$AE$4,0)+7))/$AT1002),0))</f>
        <v>0</v>
      </c>
      <c r="AZ1002" s="631">
        <f>IF($AY1002=0,0,($AU1002+$AX1002)*$AY1002)</f>
        <v>0</v>
      </c>
      <c r="BA1002" s="635">
        <f>$AU1002+$AX1002+$AZ1002</f>
        <v>0</v>
      </c>
      <c r="BB1002" s="635">
        <f>$AP1002+$BA1002</f>
        <v>0</v>
      </c>
      <c r="BC1002" s="639"/>
      <c r="BD1002" s="631"/>
      <c r="BE1002" s="639" cm="1">
        <f t="array" ref="BE1002">IF($BB1002&lt;=0,0,IF(BE$2=-1,0,INDEX(Premises!$A$33:$F$33,1,$CH1002)/100))</f>
        <v>0</v>
      </c>
      <c r="BF1002" s="631">
        <f>IF($BA1002&lt;=0,0,$BA1002*$BE1002)</f>
        <v>0</v>
      </c>
      <c r="BG1002" s="639" cm="1">
        <f t="array" ref="BG1002">IF($BB1002&lt;=0,0,IF(BG$2=-1,0,INDEX(Premises!$A$31:$F$31,1,$CH1002)/100))</f>
        <v>0</v>
      </c>
      <c r="BH1002" s="631">
        <f>(($AP1002-$AA1002-$AL1002)+$BA1002)*$BG1002</f>
        <v>0</v>
      </c>
      <c r="BI1002" s="635">
        <f>$BB1002+$BD1002+$BF1002+$BH1002</f>
        <v>0</v>
      </c>
      <c r="BJ1002" s="639"/>
      <c r="BK1002" s="631"/>
      <c r="BL1002" s="639" cm="1">
        <f t="array" ref="BL1002">IF($BB1002&lt;=0,0,IF(BL$2=-1,0,INDEX(Premises!$A$36:$F$36,1,$CH1002)/100))</f>
        <v>0</v>
      </c>
      <c r="BM1002" s="631">
        <f>IF($AU1002&lt;=0,0,($AR1002*$AT1002)*$BL1002)</f>
        <v>0</v>
      </c>
      <c r="BN1002" s="639" cm="1">
        <f t="array" ref="BN1002">IF($BB1002&lt;=0,0,IF(BN$2=-1,0,INDEX(Premises!$A$34:$F$34,1,$CH1002)/100))</f>
        <v>0</v>
      </c>
      <c r="BO1002" s="631">
        <f>(($AP1002-$AL1002-$AA1002)+($AR1002*$AT1002))*$BN1002</f>
        <v>0</v>
      </c>
      <c r="BP1002" s="639" cm="1">
        <f t="array" ref="BP1002">IF($BI1002=0,0,INDEX(Premises!$A$37:$F$37,1,$CH1002)/100)</f>
        <v>0</v>
      </c>
      <c r="BQ1002" s="409"/>
      <c r="BR1002" s="631">
        <f>($BI1002+$BK1002+$BM1002+$BO1002)*$BP1002+$BQ1002</f>
        <v>0</v>
      </c>
      <c r="BS1002" s="641">
        <f>BI1002+BK1002+BM1002+BO1002+BR1002</f>
        <v>0</v>
      </c>
      <c r="BT1002" s="641">
        <f>IF($BS1002=0,0,$CK1002*$BS1002)</f>
        <v>0</v>
      </c>
      <c r="BU1002" s="642">
        <f>IF($BT1002=0,0,MAX(1,$EB1002/$DP1002))</f>
        <v>0</v>
      </c>
      <c r="BV1002" s="1147"/>
      <c r="BW1002" s="418"/>
      <c r="BX1002" s="418"/>
      <c r="BY1002" s="419"/>
      <c r="BZ1002" s="968"/>
      <c r="CA1002" s="280" t="e" cm="1">
        <f t="array" ref="CA1002">IF($BZ1002&gt;0,VALUE(LEFT($BZ1002,IF(ISERROR(FIND("-",$BZ1002)),LEN($BZ1002),FIND("-",$BZ1002)-1))),INDEX($CA$1:$CA1002,MAX(1,$CD1002)))</f>
        <v>#N/A</v>
      </c>
      <c r="CB1002" s="280" cm="1">
        <f t="array" ref="CB1002">IF($BT1002=0,0,IF(LEN($BZ1002)-LEN(SUBSTITUTE($BZ1002,"-",""))&gt;1,
VALUE(MID($BZ1002,FIND("-",$BZ1002)+1,FIND("-",$BZ1002,FIND("-",$BZ1002)+1)-FIND("-",$BZ1002)-1)),IF($BZ1002&gt;0,0,INDEX($CB$1:$CB1002,MAX(1,$CD1002)))))</f>
        <v>0</v>
      </c>
      <c r="CC1002" s="280" cm="1">
        <f t="array" ref="CC1002">IF($BT1002=0,0,IF(NOT(ISERROR(FIND("-",BZ1002))),
VALUE(RIGHT($BZ1002,LEN($BZ1002)-IF(LEN($BZ1002)-LEN(SUBSTITUTE($BZ1002,"-",""))=1,FIND("-",$BZ1002),FIND("-",$BZ1002,FIND("-",$BZ1002)+1)))),
IF($BZ1002&gt;0,0,INDEX($CC$1:$CC1002,MAX(1,$CD1002)))))</f>
        <v>0</v>
      </c>
      <c r="CD1002" s="393" t="e">
        <f>MATCH(0,$CE$1:$CE1002,-1)</f>
        <v>#N/A</v>
      </c>
      <c r="CE1002" s="280"/>
      <c r="CF1002" s="394"/>
      <c r="CG1002" s="393" t="e" cm="1">
        <f t="array" ref="CG1002">INDEX($CG$1:$CG1002,$CD1002)</f>
        <v>#N/A</v>
      </c>
      <c r="CH1002" s="280" t="e">
        <f>MATCH($CA1002,Premises!$A$10:$F$10,0)</f>
        <v>#N/A</v>
      </c>
      <c r="CI1002" s="280">
        <f>IF(ISBLANK($E1002),0,IFERROR(MATCH($E1002,MHR[Bezeichnung],0),0))</f>
        <v>0</v>
      </c>
      <c r="CJ1002" s="394">
        <f>IF(ISBLANK($AQ1002),0,IFERROR(MATCH($AQ1002,MAT[Bezeichnung],0),0))</f>
        <v>0</v>
      </c>
      <c r="CK1002" s="280" t="e" cm="1">
        <f t="array" ref="CK1002">INDEX($D$1:$D1002,$CD1002)</f>
        <v>#N/A</v>
      </c>
      <c r="CL1002" s="280"/>
      <c r="CM1002" s="395"/>
      <c r="CN1002" s="396" cm="1">
        <f t="array" ref="CN1002">IF($CB1002=0,0,IF($CB1002=INDEX($CB$1:$CB1002,$CD1002),INDEX($CN$1:$CN1002,$CD1002),$CP1002))</f>
        <v>0</v>
      </c>
      <c r="CO1002" s="395"/>
      <c r="CP1002" s="396" cm="1">
        <f t="array" ref="CP1002">IF($CC1002=0,0,INDEX($CP$1:$CP1002,$CD1002))</f>
        <v>0</v>
      </c>
      <c r="CQ1002" s="397"/>
      <c r="CR1002" s="398"/>
      <c r="CS1002" s="398"/>
      <c r="CT1002" s="1152"/>
      <c r="CU1002" s="1149"/>
      <c r="CV1002" s="647"/>
      <c r="CW1002" s="648"/>
      <c r="CX1002" s="648"/>
      <c r="CY1002" s="648"/>
      <c r="CZ1002" s="648"/>
      <c r="DA1002" s="648"/>
      <c r="DB1002" s="648"/>
      <c r="DC1002" s="649"/>
      <c r="DD1002" s="648" t="e">
        <f>$AU1002*$CK1002</f>
        <v>#N/A</v>
      </c>
      <c r="DE1002" s="648" t="e">
        <f>$AX1002*$CK1002</f>
        <v>#N/A</v>
      </c>
      <c r="DF1002" s="648" t="e">
        <f>$AZ1002*$CK1002</f>
        <v>#N/A</v>
      </c>
      <c r="DG1002" s="649" t="e">
        <f>$BA1002*$CK1002</f>
        <v>#N/A</v>
      </c>
      <c r="DH1002" s="649" t="e">
        <f>$BB1002*$CK1002</f>
        <v>#N/A</v>
      </c>
      <c r="DI1002" s="648"/>
      <c r="DJ1002" s="648" t="e">
        <f>$BF1002*$CK1002</f>
        <v>#N/A</v>
      </c>
      <c r="DK1002" s="648" t="e">
        <f>$BH1002*$CK1002</f>
        <v>#N/A</v>
      </c>
      <c r="DL1002" s="648"/>
      <c r="DM1002" s="648" t="e">
        <f>$BM1002*$CK1002</f>
        <v>#N/A</v>
      </c>
      <c r="DN1002" s="648" t="e">
        <f>$BO1002*$CK1002</f>
        <v>#N/A</v>
      </c>
      <c r="DO1002" s="648" t="e">
        <f>$BR1002*$CK1002</f>
        <v>#N/A</v>
      </c>
      <c r="DP1002" s="651" t="e">
        <f>$CK1002*($BB1002+$BD1002+$BF1002+$BH1002+$BK1002+$BM1002+$BO1002+$BR1002)</f>
        <v>#N/A</v>
      </c>
      <c r="DQ1002" s="951">
        <f>IF($CB1002=0,0,$DP1002*_xlfn.XLOOKUP($CB1002,Premises!$A$10:$F$10,Premises!$A$30:$F$30)/100)</f>
        <v>0</v>
      </c>
      <c r="DR1002" s="650">
        <f>IFERROR(SUM($DP1002:$DQ1002)*IF(INDEX(Premises!$A$42:$F$42,1,MATCH($CB1002,Premises!$A$10:$F$10,0))&gt;0,INDEX(Premises!$A$42:$F$42,1,MATCH($CB1002,Premises!$A$10:$F$10,0))%,$CN1002),0)</f>
        <v>0</v>
      </c>
      <c r="DS1002" s="650" cm="1">
        <f t="array" ref="DS1002">IF($CB1002=0,0,SUM($DP1002:$DR1002)*_xlfn.XLOOKUP($CB1002,Premises!$A$10:$F$10,IF(INDEX(Settings[],MATCH(3001,Settings[ID],0),2)="B",Premises!$A$33:$F$33,Premises!$A$31:$F$31))/100)</f>
        <v>0</v>
      </c>
      <c r="DT1002" s="650" cm="1">
        <f t="array" ref="DT1002">IF($CB1002=0,0,$DP1002*_xlfn.XLOOKUP($CB1002,Premises!$A$10:$F$10,IF(INDEX(Settings[],MATCH(3002,Settings[ID],0),2)="B",Premises!$A$36:$F$36,Premises!$A$34:$F$34))/100)</f>
        <v>0</v>
      </c>
      <c r="DU1002" s="650">
        <f>IF($CB1002=0,0,SUM($DP1002:$DT1002)*_xlfn.XLOOKUP($CB1002,Premises!$A$10:$F$10,Premises!$A$37:$F$37)/100)</f>
        <v>0</v>
      </c>
      <c r="DV1002" s="954" t="e">
        <f>SUM($DP1002:$DU1002)</f>
        <v>#N/A</v>
      </c>
      <c r="DW1002" s="951">
        <f>IF($CC1002=0,0,$DV1002*_xlfn.XLOOKUP($CC1002,Premises!$A$10:$F$10,Premises!$A$30:$F$30)/100)</f>
        <v>0</v>
      </c>
      <c r="DX1002" s="650">
        <f>IFERROR(SUM($DV1002:$DW1002)*IF(INDEX(Premises!$A$42:$F$42,1,MATCH($CC1002,Premises!$A$10:$F$10,0))&gt;0,INDEX(Premises!$A$42:$F$42,1,MATCH($CC1002,Premises!$A$10:$F$10,0))%,$CP1002),0)</f>
        <v>0</v>
      </c>
      <c r="DY1002" s="650" cm="1">
        <f t="array" ref="DY1002">IF($CC1002=0,0,SUM($DV1002:$DX1002)*_xlfn.XLOOKUP($CC1002,Premises!$A$10:$F$10,IF(INDEX(Settings[],MATCH(3001,Settings[ID],0),2)="B",Premises!$A$33:$F$33,Premises!$A$31:$F$31))/100)</f>
        <v>0</v>
      </c>
      <c r="DZ1002" s="650" cm="1">
        <f t="array" ref="DZ1002">IF($CC1002=0,0,$DV1002*_xlfn.XLOOKUP($CC1002,Premises!$A$10:$F$10,IF(INDEX(Settings[],MATCH(3002,Settings[ID],0),2)="B",Premises!$A$36:$F$36,Premises!$A$34:$F$34))/100)</f>
        <v>0</v>
      </c>
      <c r="EA1002" s="650">
        <f>IF($CC1002=0,0,SUM($DV1002:$DZ1002)*_xlfn.XLOOKUP($CC1002,Premises!$A$10:$F$10,Premises!$A$37:$F$37)/100)</f>
        <v>0</v>
      </c>
      <c r="EB1002" s="651" t="e">
        <f>SUM($DV1002:$EA1002)</f>
        <v>#N/A</v>
      </c>
      <c r="EC1002" s="805"/>
      <c r="ED1002" s="1104"/>
      <c r="EE1002" s="650"/>
      <c r="EF1002" s="1110"/>
      <c r="EG1002" s="1108"/>
      <c r="EH1002" s="1108"/>
      <c r="EI1002" s="1108"/>
      <c r="EJ1002" s="1108"/>
      <c r="EK1002" s="1108"/>
      <c r="EL1002" s="1108"/>
      <c r="EM1002" s="1110"/>
      <c r="EN1002" s="1108"/>
      <c r="EO1002" s="1108"/>
      <c r="EP1002" s="1108"/>
      <c r="EQ1002" s="1108"/>
      <c r="ER1002" s="1110"/>
      <c r="ES1002" s="1108"/>
      <c r="ET1002" s="1108"/>
      <c r="EU1002" s="1108"/>
      <c r="EV1002" s="1108"/>
      <c r="EW1002" s="1108"/>
      <c r="EX1002" s="1111"/>
      <c r="EY1002" s="2"/>
      <c r="EZ1002" s="2"/>
      <c r="FA1002" s="2"/>
      <c r="FB1002" s="2"/>
      <c r="FC1002" s="2"/>
      <c r="FD1002" s="2"/>
      <c r="FE1002" s="2"/>
      <c r="FF1002" s="2"/>
      <c r="FG1002" s="2"/>
      <c r="FH1002" s="2"/>
      <c r="FI1002" s="2"/>
      <c r="FJ1002" s="420"/>
      <c r="FK1002" s="421"/>
      <c r="FL1002" s="422"/>
      <c r="FM1002" s="1153"/>
    </row>
    <row r="1003" spans="1:169">
      <c r="EC1003" s="805"/>
    </row>
    <row r="1004" spans="1:169">
      <c r="EC1004" s="805"/>
    </row>
    <row r="1005" spans="1:169">
      <c r="EC1005" s="805"/>
    </row>
    <row r="1006" spans="1:169">
      <c r="EC1006" s="805"/>
    </row>
    <row r="1007" spans="1:169">
      <c r="EC1007" s="805"/>
    </row>
    <row r="1008" spans="1:169">
      <c r="EC1008" s="805"/>
    </row>
    <row r="1009" spans="133:133">
      <c r="EC1009" s="805"/>
    </row>
    <row r="1010" spans="133:133">
      <c r="EC1010" s="805"/>
    </row>
  </sheetData>
  <mergeCells count="16">
    <mergeCell ref="FJ1:FL1"/>
    <mergeCell ref="G9:G10"/>
    <mergeCell ref="H9:K9"/>
    <mergeCell ref="M9:M10"/>
    <mergeCell ref="N9:P9"/>
    <mergeCell ref="BC1:BH1"/>
    <mergeCell ref="BJ1:BO1"/>
    <mergeCell ref="R9:R10"/>
    <mergeCell ref="L9:L10"/>
    <mergeCell ref="Q9:Q10"/>
    <mergeCell ref="AY1:AZ1"/>
    <mergeCell ref="B9:B10"/>
    <mergeCell ref="C9:C10"/>
    <mergeCell ref="D9:D10"/>
    <mergeCell ref="E9:E10"/>
    <mergeCell ref="F9:F10"/>
  </mergeCells>
  <conditionalFormatting sqref="BX2">
    <cfRule type="cellIs" dxfId="705" priority="2" operator="equal">
      <formula>0</formula>
    </cfRule>
  </conditionalFormatting>
  <conditionalFormatting sqref="BX998">
    <cfRule type="cellIs" dxfId="704" priority="1" operator="equal">
      <formula>0</formula>
    </cfRule>
  </conditionalFormatting>
  <dataValidations count="13">
    <dataValidation type="custom" allowBlank="1" showDropDown="1" showInputMessage="1" showErrorMessage="1" sqref="D3:D8 D999:D1002" xr:uid="{1477F580-24AD-4B46-A641-689B3F4F915F}">
      <formula1>"&gt;1000000"</formula1>
    </dataValidation>
    <dataValidation type="list" allowBlank="1" showInputMessage="1" showErrorMessage="1" sqref="E3:E8 E999:E1002" xr:uid="{B9653B31-9F94-420E-88B3-E8A7C5BB1768}">
      <formula1>MHR_Dropdown</formula1>
    </dataValidation>
    <dataValidation type="list" allowBlank="1" showInputMessage="1" sqref="AQ3:AQ7 E11:E19 AQ999:AQ1002" xr:uid="{2CF67F01-0C66-4D47-8AFA-F9085C7AA6D8}">
      <formula1>MAT_Dropdown</formula1>
    </dataValidation>
    <dataValidation type="list" allowBlank="1" showInputMessage="1" showErrorMessage="1" sqref="G3:G8 G999:G1002" xr:uid="{04ADFCD1-F612-4FE7-A6AA-F584EB7ECF83}">
      <formula1>"s,min,h"</formula1>
    </dataValidation>
    <dataValidation type="list" allowBlank="1" showInputMessage="1" showErrorMessage="1" sqref="FL2:FL7" xr:uid="{027287E2-C20C-42DC-82B3-39337A980C1A}">
      <formula1>Cluster3_Dropdown</formula1>
    </dataValidation>
    <dataValidation type="list" allowBlank="1" showInputMessage="1" showErrorMessage="1" sqref="FK2:FK7" xr:uid="{6DA2791B-5725-4B1B-B248-CAC9BED6A578}">
      <formula1>Cluster2_Dropdown</formula1>
    </dataValidation>
    <dataValidation type="list" allowBlank="1" showInputMessage="1" showErrorMessage="1" sqref="FJ2:FJ7" xr:uid="{46A5B51E-ED5B-4713-AE5C-5014145B8C6E}">
      <formula1>Cluster1_Dropdown</formula1>
    </dataValidation>
    <dataValidation type="whole" operator="greaterThan" allowBlank="1" showInputMessage="1" showErrorMessage="1" sqref="C12:C19" xr:uid="{EB7478F6-1BA3-42BD-8264-1E8F4F2F8B0C}">
      <formula1>1</formula1>
    </dataValidation>
    <dataValidation type="whole" operator="equal" allowBlank="1" showInputMessage="1" showErrorMessage="1" sqref="C11" xr:uid="{F881BEA9-765C-43C3-8B1D-57880AEDDA29}">
      <formula1>1</formula1>
    </dataValidation>
    <dataValidation type="list" allowBlank="1" showInputMessage="1" sqref="FJ998:FJ1002" xr:uid="{86129B36-F022-49E7-B403-A45D676DDB6A}">
      <formula1>Cluster1_Dropdown</formula1>
    </dataValidation>
    <dataValidation type="list" allowBlank="1" showInputMessage="1" sqref="FK998:FK1002" xr:uid="{49397EA5-769D-4624-8E99-F3CB6EE915F3}">
      <formula1>Cluster2_Dropdown</formula1>
    </dataValidation>
    <dataValidation type="list" allowBlank="1" showInputMessage="1" sqref="FL998:FL1002" xr:uid="{312E5B00-6B09-474C-BC61-AECE6DB55942}">
      <formula1>Cluster3_Dropdown</formula1>
    </dataValidation>
    <dataValidation type="list" allowBlank="1" showInputMessage="1" sqref="ER2:ER7 ER998:ER1002" xr:uid="{DD5F459F-59F2-4B31-A6EE-1211ADB12EEF}">
      <formula1>CO2Transportarten</formula1>
    </dataValidation>
  </dataValidation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DE68CCA7-EB3E-4156-8863-0031AF9EAE5A}">
          <x14:formula1>
            <xm:f>Translation!$E$8:$E$9</xm:f>
          </x14:formula1>
          <xm:sqref>T3:T7 T999:T1002</xm:sqref>
        </x14:dataValidation>
        <x14:dataValidation type="list" allowBlank="1" showInputMessage="1" xr:uid="{EAA4FB1C-7618-46C2-86DD-4FADE505EEE0}">
          <x14:formula1>
            <xm:f>Translation!$E$3:$E$7</xm:f>
          </x14:formula1>
          <xm:sqref>K3:K8 K999:K1002</xm:sqref>
        </x14:dataValidation>
        <x14:dataValidation type="whole" allowBlank="1" showInputMessage="1" xr:uid="{DB394C48-3D35-47E8-8A4A-DE5A0171DB84}">
          <x14:formula1>
            <xm:f>1</xm:f>
          </x14:formula1>
          <x14:formula2>
            <xm:f>COUNT(Premises!$10:$10)</xm:f>
          </x14:formula2>
          <xm:sqref>CA2:CM7 CO998:CO1002 ES2:FI7 CO2:CO7 CA998:CM1002 ED2:EQ7 ES998:FI1002 ED998:EQ1002 CT2:EB7 FM1:FM7 CA1:CT1 FM998:FM1002 CT998:EB1002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CB17-A985-4354-8CDC-50D85EA32F05}">
  <sheetPr codeName="TabTemp">
    <tabColor theme="9"/>
    <outlinePr summaryBelow="0" summaryRight="0"/>
  </sheetPr>
  <dimension ref="B1:CG42"/>
  <sheetViews>
    <sheetView showGridLines="0" zoomScaleNormal="100" workbookViewId="0">
      <selection activeCell="C12" sqref="C12"/>
    </sheetView>
  </sheetViews>
  <sheetFormatPr baseColWidth="10" defaultColWidth="11.42578125" defaultRowHeight="12.75" outlineLevelCol="1"/>
  <cols>
    <col min="1" max="1" width="2.7109375" style="5" customWidth="1"/>
    <col min="2" max="2" width="2.7109375" style="4" customWidth="1"/>
    <col min="3" max="3" width="25.7109375" style="149" customWidth="1"/>
    <col min="4" max="4" width="11.42578125" style="588" customWidth="1"/>
    <col min="5" max="5" width="4.7109375" style="5" customWidth="1"/>
    <col min="6" max="8" width="2.7109375" style="5" customWidth="1"/>
    <col min="9" max="9" width="27.140625" style="174" bestFit="1" customWidth="1"/>
    <col min="10" max="10" width="9.42578125" style="42" customWidth="1"/>
    <col min="11" max="11" width="2.7109375" style="42" bestFit="1" customWidth="1" collapsed="1"/>
    <col min="12" max="12" width="2.7109375" style="4" hidden="1" customWidth="1" outlineLevel="1"/>
    <col min="13" max="16" width="4.7109375" style="4" hidden="1" customWidth="1" outlineLevel="1"/>
    <col min="17" max="49" width="4.7109375" style="42" hidden="1" customWidth="1" outlineLevel="1"/>
    <col min="50" max="50" width="2.7109375" style="512" customWidth="1"/>
    <col min="51" max="52" width="2.7109375" style="5" customWidth="1"/>
    <col min="53" max="53" width="25.7109375" style="174" customWidth="1"/>
    <col min="54" max="54" width="9.42578125" style="42" customWidth="1"/>
    <col min="55" max="55" width="2.7109375" style="42" bestFit="1" customWidth="1" collapsed="1"/>
    <col min="56" max="56" width="2.7109375" style="4" hidden="1" customWidth="1" outlineLevel="1"/>
    <col min="57" max="61" width="4.7109375" style="4" hidden="1" customWidth="1" outlineLevel="1"/>
    <col min="62" max="84" width="4.7109375" style="42" hidden="1" customWidth="1" outlineLevel="1"/>
    <col min="85" max="85" width="2.7109375" style="42" customWidth="1"/>
    <col min="86" max="16384" width="11.42578125" style="5"/>
  </cols>
  <sheetData>
    <row r="1" spans="2:85">
      <c r="Q1" s="4"/>
      <c r="R1" s="4"/>
      <c r="S1" s="4"/>
      <c r="T1" s="4"/>
      <c r="U1" s="4"/>
      <c r="V1" s="4"/>
      <c r="W1" s="4"/>
      <c r="X1" s="4"/>
      <c r="Y1" s="4"/>
      <c r="Z1" s="4"/>
      <c r="AA1" s="4"/>
      <c r="AB1" s="4"/>
      <c r="AC1" s="4"/>
      <c r="AD1" s="4"/>
      <c r="AE1" s="4"/>
      <c r="AF1" s="4"/>
      <c r="AG1" s="4"/>
      <c r="BJ1" s="4"/>
      <c r="BK1" s="4"/>
      <c r="BL1" s="4"/>
      <c r="BM1" s="4"/>
      <c r="BN1" s="4"/>
      <c r="BO1" s="4"/>
      <c r="BP1" s="4"/>
      <c r="BQ1" s="4"/>
      <c r="BR1" s="4"/>
      <c r="BS1" s="4"/>
      <c r="BT1" s="4"/>
      <c r="BU1" s="4"/>
      <c r="BV1" s="4"/>
      <c r="BW1" s="4"/>
      <c r="BX1" s="4"/>
      <c r="BY1" s="4"/>
      <c r="BZ1" s="4"/>
      <c r="CA1" s="4"/>
    </row>
    <row r="2" spans="2:85">
      <c r="B2" s="2" t="s">
        <v>230</v>
      </c>
      <c r="C2" s="221" t="s">
        <v>702</v>
      </c>
      <c r="D2" s="589" t="s">
        <v>397</v>
      </c>
      <c r="E2" s="2" t="s">
        <v>696</v>
      </c>
      <c r="F2" s="513"/>
      <c r="G2" s="5" t="s">
        <v>36</v>
      </c>
      <c r="H2" s="5" t="s">
        <v>37</v>
      </c>
      <c r="I2" s="514" t="s">
        <v>701</v>
      </c>
      <c r="J2" s="262" t="s">
        <v>397</v>
      </c>
      <c r="K2" s="515" t="s">
        <v>131</v>
      </c>
      <c r="L2" s="516" t="s">
        <v>230</v>
      </c>
      <c r="M2" s="516" t="s">
        <v>211</v>
      </c>
      <c r="N2" s="517" t="s">
        <v>212</v>
      </c>
      <c r="O2" s="517" t="s">
        <v>213</v>
      </c>
      <c r="P2" s="517" t="s">
        <v>214</v>
      </c>
      <c r="Q2" s="517" t="s">
        <v>215</v>
      </c>
      <c r="R2" s="517" t="s">
        <v>216</v>
      </c>
      <c r="S2" s="517" t="s">
        <v>217</v>
      </c>
      <c r="T2" s="517" t="s">
        <v>218</v>
      </c>
      <c r="U2" s="517" t="s">
        <v>219</v>
      </c>
      <c r="V2" s="517" t="s">
        <v>220</v>
      </c>
      <c r="W2" s="517" t="s">
        <v>243</v>
      </c>
      <c r="X2" s="517" t="s">
        <v>676</v>
      </c>
      <c r="Y2" s="517" t="s">
        <v>221</v>
      </c>
      <c r="Z2" s="517" t="s">
        <v>222</v>
      </c>
      <c r="AA2" s="517" t="s">
        <v>223</v>
      </c>
      <c r="AB2" s="517" t="s">
        <v>224</v>
      </c>
      <c r="AC2" s="517" t="s">
        <v>225</v>
      </c>
      <c r="AD2" s="517" t="s">
        <v>226</v>
      </c>
      <c r="AE2" s="517" t="s">
        <v>227</v>
      </c>
      <c r="AF2" s="518" t="s">
        <v>228</v>
      </c>
      <c r="AG2" s="517" t="s">
        <v>238</v>
      </c>
      <c r="AH2" s="517" t="s">
        <v>239</v>
      </c>
      <c r="AI2" s="517" t="s">
        <v>242</v>
      </c>
      <c r="AJ2" s="517" t="s">
        <v>677</v>
      </c>
      <c r="AK2" s="517" t="s">
        <v>678</v>
      </c>
      <c r="AL2" s="517" t="s">
        <v>679</v>
      </c>
      <c r="AM2" s="517" t="s">
        <v>680</v>
      </c>
      <c r="AN2" s="517" t="s">
        <v>681</v>
      </c>
      <c r="AO2" s="517" t="s">
        <v>683</v>
      </c>
      <c r="AP2" s="517" t="s">
        <v>684</v>
      </c>
      <c r="AQ2" s="517" t="s">
        <v>670</v>
      </c>
      <c r="AR2" s="517" t="s">
        <v>671</v>
      </c>
      <c r="AS2" s="517" t="s">
        <v>685</v>
      </c>
      <c r="AT2" s="517" t="s">
        <v>686</v>
      </c>
      <c r="AU2" s="517" t="s">
        <v>687</v>
      </c>
      <c r="AV2" s="517" t="s">
        <v>688</v>
      </c>
      <c r="AW2" s="519" t="s">
        <v>689</v>
      </c>
      <c r="AY2" s="316" t="s">
        <v>36</v>
      </c>
      <c r="AZ2" s="316" t="s">
        <v>37</v>
      </c>
      <c r="BA2" s="490" t="s">
        <v>700</v>
      </c>
      <c r="BB2" s="154" t="s">
        <v>397</v>
      </c>
      <c r="BC2" s="491" t="s">
        <v>131</v>
      </c>
      <c r="BD2" s="520" t="s">
        <v>230</v>
      </c>
      <c r="BE2" s="520" t="s">
        <v>211</v>
      </c>
      <c r="BF2" s="521" t="s">
        <v>212</v>
      </c>
      <c r="BG2" s="521" t="s">
        <v>213</v>
      </c>
      <c r="BH2" s="521" t="s">
        <v>214</v>
      </c>
      <c r="BI2" s="521" t="s">
        <v>215</v>
      </c>
      <c r="BJ2" s="521" t="s">
        <v>216</v>
      </c>
      <c r="BK2" s="521" t="s">
        <v>217</v>
      </c>
      <c r="BL2" s="521" t="s">
        <v>218</v>
      </c>
      <c r="BM2" s="521" t="s">
        <v>219</v>
      </c>
      <c r="BN2" s="521" t="s">
        <v>220</v>
      </c>
      <c r="BO2" s="521" t="s">
        <v>243</v>
      </c>
      <c r="BP2" s="521" t="s">
        <v>676</v>
      </c>
      <c r="BQ2" s="521" t="s">
        <v>221</v>
      </c>
      <c r="BR2" s="521" t="s">
        <v>222</v>
      </c>
      <c r="BS2" s="521" t="s">
        <v>223</v>
      </c>
      <c r="BT2" s="521" t="s">
        <v>224</v>
      </c>
      <c r="BU2" s="522" t="s">
        <v>225</v>
      </c>
      <c r="BV2" s="521" t="s">
        <v>227</v>
      </c>
      <c r="BW2" s="521" t="s">
        <v>228</v>
      </c>
      <c r="BX2" s="521" t="s">
        <v>229</v>
      </c>
      <c r="BY2" s="521" t="s">
        <v>238</v>
      </c>
      <c r="BZ2" s="521" t="s">
        <v>239</v>
      </c>
      <c r="CA2" s="521" t="s">
        <v>242</v>
      </c>
      <c r="CB2" s="521" t="s">
        <v>677</v>
      </c>
      <c r="CC2" s="521" t="s">
        <v>678</v>
      </c>
      <c r="CD2" s="521" t="s">
        <v>679</v>
      </c>
      <c r="CE2" s="521" t="s">
        <v>680</v>
      </c>
      <c r="CF2" s="523" t="s">
        <v>681</v>
      </c>
      <c r="CG2" s="2"/>
    </row>
    <row r="3" spans="2:85">
      <c r="B3" s="574">
        <v>1</v>
      </c>
      <c r="C3" s="580" t="s">
        <v>241</v>
      </c>
      <c r="D3" s="590"/>
      <c r="E3" s="594" t="s">
        <v>142</v>
      </c>
      <c r="F3" s="200"/>
      <c r="G3" s="524"/>
      <c r="H3" s="525"/>
      <c r="I3" s="526" t="s">
        <v>241</v>
      </c>
      <c r="J3" s="910">
        <f>$D$3</f>
        <v>0</v>
      </c>
      <c r="K3" s="494">
        <v>5</v>
      </c>
      <c r="L3" s="527">
        <f>ROW()-ROW($L$2)</f>
        <v>1</v>
      </c>
      <c r="M3" s="528">
        <f>AnalysisChart1[[#This Row],[Kosten]]</f>
        <v>0</v>
      </c>
      <c r="N3" s="529">
        <f>AnalysisChart1[[#This Row],[Kosten]]</f>
        <v>0</v>
      </c>
      <c r="O3" s="529">
        <f>AnalysisChart1[[#This Row],[Kosten]]</f>
        <v>0</v>
      </c>
      <c r="P3" s="529">
        <f>AnalysisChart1[[#This Row],[Kosten]]</f>
        <v>0</v>
      </c>
      <c r="Q3" s="530"/>
      <c r="R3" s="531"/>
      <c r="S3" s="531"/>
      <c r="T3" s="531"/>
      <c r="U3" s="529"/>
      <c r="V3" s="529"/>
      <c r="W3" s="529"/>
      <c r="X3" s="529"/>
      <c r="Y3" s="529"/>
      <c r="Z3" s="529"/>
      <c r="AA3" s="529"/>
      <c r="AB3" s="529"/>
      <c r="AC3" s="529"/>
      <c r="AD3" s="529"/>
      <c r="AE3" s="532"/>
      <c r="AF3" s="529"/>
      <c r="AG3" s="529"/>
      <c r="AH3" s="529"/>
      <c r="AI3" s="529"/>
      <c r="AJ3" s="529"/>
      <c r="AK3" s="529"/>
      <c r="AL3" s="533"/>
      <c r="AM3" s="529"/>
      <c r="AN3" s="529"/>
      <c r="AO3" s="529"/>
      <c r="AP3" s="529"/>
      <c r="AQ3" s="529"/>
      <c r="AR3" s="529"/>
      <c r="AS3" s="529"/>
      <c r="AT3" s="529"/>
      <c r="AU3" s="529"/>
      <c r="AV3" s="529"/>
      <c r="AW3" s="532"/>
      <c r="AY3" s="524"/>
      <c r="AZ3" s="525"/>
      <c r="BA3" s="492" t="s">
        <v>241</v>
      </c>
      <c r="BB3" s="493">
        <f>$D$3</f>
        <v>0</v>
      </c>
      <c r="BC3" s="494">
        <v>4</v>
      </c>
      <c r="BD3" s="527">
        <f>ROW()-ROW($L$2)</f>
        <v>1</v>
      </c>
      <c r="BE3" s="528">
        <f>AnalysisChart2[[#This Row],[Kosten]]</f>
        <v>0</v>
      </c>
      <c r="BF3" s="529">
        <f>AnalysisChart2[[#This Row],[Kosten]]</f>
        <v>0</v>
      </c>
      <c r="BG3" s="529">
        <f>AnalysisChart2[[#This Row],[Kosten]]</f>
        <v>0</v>
      </c>
      <c r="BH3" s="529">
        <f>AnalysisChart2[[#This Row],[Kosten]]</f>
        <v>0</v>
      </c>
      <c r="BI3" s="529">
        <f>AnalysisChart2[[#This Row],[Kosten]]</f>
        <v>0</v>
      </c>
      <c r="BJ3" s="529">
        <f>AnalysisChart2[[#This Row],[Kosten]]</f>
        <v>0</v>
      </c>
      <c r="BK3" s="529">
        <f>AnalysisChart2[[#This Row],[Kosten]]</f>
        <v>0</v>
      </c>
      <c r="BL3" s="529">
        <f>AnalysisChart2[[#This Row],[Kosten]]</f>
        <v>0</v>
      </c>
      <c r="BM3" s="529">
        <f>AnalysisChart2[[#This Row],[Kosten]]</f>
        <v>0</v>
      </c>
      <c r="BN3" s="534"/>
      <c r="BO3" s="529"/>
      <c r="BP3" s="529"/>
      <c r="BQ3" s="529"/>
      <c r="BR3" s="529"/>
      <c r="BS3" s="529"/>
      <c r="BT3" s="529"/>
      <c r="BU3" s="529"/>
      <c r="BV3" s="529"/>
      <c r="BW3" s="529"/>
      <c r="BX3" s="529"/>
      <c r="BY3" s="535"/>
      <c r="BZ3" s="529"/>
      <c r="CA3" s="534"/>
      <c r="CB3" s="529"/>
      <c r="CC3" s="529"/>
      <c r="CD3" s="529"/>
      <c r="CE3" s="529"/>
      <c r="CF3" s="532"/>
    </row>
    <row r="4" spans="2:85">
      <c r="B4" s="575">
        <v>2</v>
      </c>
      <c r="C4" s="581" t="s">
        <v>543</v>
      </c>
      <c r="D4" s="570"/>
      <c r="E4" s="595" t="s">
        <v>142</v>
      </c>
      <c r="F4" s="209"/>
      <c r="G4" s="536"/>
      <c r="H4" s="537" t="s">
        <v>131</v>
      </c>
      <c r="I4" s="538" t="s">
        <v>543</v>
      </c>
      <c r="J4" s="911">
        <f>$D$4</f>
        <v>0</v>
      </c>
      <c r="K4" s="496">
        <v>5</v>
      </c>
      <c r="L4" s="539">
        <f>ROW()-ROW($L$2)</f>
        <v>2</v>
      </c>
      <c r="M4" s="8"/>
      <c r="N4" s="514">
        <f>AnalysisChart1[[#This Row],[Kosten]]</f>
        <v>0</v>
      </c>
      <c r="O4" s="540">
        <f>AnalysisChart1[[#This Row],[Kosten]]</f>
        <v>0</v>
      </c>
      <c r="P4" s="540">
        <f>AnalysisChart1[[#This Row],[Kosten]]</f>
        <v>0</v>
      </c>
      <c r="Q4" s="541"/>
      <c r="R4" s="542"/>
      <c r="S4" s="542"/>
      <c r="T4" s="542"/>
      <c r="U4" s="540"/>
      <c r="V4" s="540"/>
      <c r="W4" s="540"/>
      <c r="X4" s="540"/>
      <c r="Y4" s="540"/>
      <c r="Z4" s="540"/>
      <c r="AA4" s="540"/>
      <c r="AB4" s="540"/>
      <c r="AC4" s="540"/>
      <c r="AD4" s="540"/>
      <c r="AE4" s="543"/>
      <c r="AF4" s="540"/>
      <c r="AG4" s="540"/>
      <c r="AH4" s="540"/>
      <c r="AI4" s="540"/>
      <c r="AJ4" s="540"/>
      <c r="AK4" s="540"/>
      <c r="AL4" s="544"/>
      <c r="AM4" s="540"/>
      <c r="AN4" s="540"/>
      <c r="AO4" s="540"/>
      <c r="AP4" s="540"/>
      <c r="AQ4" s="540"/>
      <c r="AR4" s="540"/>
      <c r="AS4" s="540"/>
      <c r="AT4" s="540"/>
      <c r="AU4" s="540"/>
      <c r="AV4" s="540"/>
      <c r="AW4" s="543"/>
      <c r="AY4" s="536"/>
      <c r="AZ4" s="537"/>
      <c r="BA4" s="495" t="s">
        <v>543</v>
      </c>
      <c r="BB4" s="493">
        <f>$D$4</f>
        <v>0</v>
      </c>
      <c r="BC4" s="496">
        <v>4</v>
      </c>
      <c r="BD4" s="539">
        <f>ROW()-ROW($L$2)</f>
        <v>2</v>
      </c>
      <c r="BE4" s="8"/>
      <c r="BF4" s="514">
        <f>AnalysisChart2[[#This Row],[Kosten]]</f>
        <v>0</v>
      </c>
      <c r="BG4" s="540">
        <f>AnalysisChart2[[#This Row],[Kosten]]</f>
        <v>0</v>
      </c>
      <c r="BH4" s="540">
        <f>AnalysisChart2[[#This Row],[Kosten]]</f>
        <v>0</v>
      </c>
      <c r="BI4" s="540">
        <f>AnalysisChart2[[#This Row],[Kosten]]</f>
        <v>0</v>
      </c>
      <c r="BJ4" s="540">
        <f>AnalysisChart2[[#This Row],[Kosten]]</f>
        <v>0</v>
      </c>
      <c r="BK4" s="540">
        <f>AnalysisChart2[[#This Row],[Kosten]]</f>
        <v>0</v>
      </c>
      <c r="BL4" s="540">
        <f>AnalysisChart2[[#This Row],[Kosten]]</f>
        <v>0</v>
      </c>
      <c r="BM4" s="540">
        <f>AnalysisChart2[[#This Row],[Kosten]]</f>
        <v>0</v>
      </c>
      <c r="BN4" s="545"/>
      <c r="BO4" s="540"/>
      <c r="BP4" s="540"/>
      <c r="BQ4" s="540"/>
      <c r="BR4" s="540"/>
      <c r="BS4" s="540"/>
      <c r="BT4" s="540"/>
      <c r="BU4" s="540"/>
      <c r="BV4" s="540"/>
      <c r="BW4" s="540"/>
      <c r="BX4" s="540"/>
      <c r="BZ4" s="540"/>
      <c r="CA4" s="545"/>
      <c r="CB4" s="540"/>
      <c r="CC4" s="540"/>
      <c r="CD4" s="540"/>
      <c r="CE4" s="540"/>
      <c r="CF4" s="543"/>
    </row>
    <row r="5" spans="2:85">
      <c r="B5" s="575">
        <v>3</v>
      </c>
      <c r="C5" s="581" t="s">
        <v>1131</v>
      </c>
      <c r="D5" s="570"/>
      <c r="E5" s="595" t="s">
        <v>142</v>
      </c>
      <c r="F5" s="209"/>
      <c r="G5" s="536"/>
      <c r="H5" s="537" t="s">
        <v>131</v>
      </c>
      <c r="I5" s="538" t="s">
        <v>1131</v>
      </c>
      <c r="J5" s="911">
        <f>$D$5</f>
        <v>0</v>
      </c>
      <c r="K5" s="496">
        <v>5</v>
      </c>
      <c r="L5" s="539">
        <f>ROW()-ROW($L$2)</f>
        <v>3</v>
      </c>
      <c r="M5" s="8"/>
      <c r="N5" s="8"/>
      <c r="O5" s="514">
        <f>AnalysisChart1[[#This Row],[Kosten]]</f>
        <v>0</v>
      </c>
      <c r="P5" s="540">
        <f>AnalysisChart1[[#This Row],[Kosten]]</f>
        <v>0</v>
      </c>
      <c r="Q5" s="543"/>
      <c r="AE5" s="543"/>
      <c r="AL5" s="543"/>
      <c r="AR5" s="540"/>
      <c r="AS5" s="514"/>
      <c r="AT5" s="540"/>
      <c r="AU5" s="540"/>
      <c r="AV5" s="540"/>
      <c r="AW5" s="543"/>
      <c r="AY5" s="536"/>
      <c r="AZ5" s="537"/>
      <c r="BA5" s="495" t="s">
        <v>1131</v>
      </c>
      <c r="BB5" s="493">
        <f>$D$5</f>
        <v>0</v>
      </c>
      <c r="BC5" s="496">
        <v>4</v>
      </c>
      <c r="BD5" s="539">
        <f>ROW()-ROW($L$2)</f>
        <v>3</v>
      </c>
      <c r="BE5" s="8"/>
      <c r="BF5" s="8"/>
      <c r="BG5" s="514">
        <f>AnalysisChart2[[#This Row],[Kosten]]</f>
        <v>0</v>
      </c>
      <c r="BH5" s="540">
        <f>AnalysisChart2[[#This Row],[Kosten]]</f>
        <v>0</v>
      </c>
      <c r="BI5" s="540">
        <f>AnalysisChart2[[#This Row],[Kosten]]</f>
        <v>0</v>
      </c>
      <c r="BJ5" s="540">
        <f>AnalysisChart2[[#This Row],[Kosten]]</f>
        <v>0</v>
      </c>
      <c r="BK5" s="540">
        <f>AnalysisChart2[[#This Row],[Kosten]]</f>
        <v>0</v>
      </c>
      <c r="BL5" s="540">
        <f>AnalysisChart2[[#This Row],[Kosten]]</f>
        <v>0</v>
      </c>
      <c r="BM5" s="540">
        <f>AnalysisChart2[[#This Row],[Kosten]]</f>
        <v>0</v>
      </c>
      <c r="BN5" s="543"/>
      <c r="CA5" s="543"/>
      <c r="CF5" s="543"/>
    </row>
    <row r="6" spans="2:85">
      <c r="B6" s="575">
        <v>4</v>
      </c>
      <c r="C6" s="582" t="s">
        <v>164</v>
      </c>
      <c r="D6" s="570"/>
      <c r="E6" s="596" t="s">
        <v>268</v>
      </c>
      <c r="F6" s="209"/>
      <c r="G6" s="536" t="str">
        <f>IF(AND(ROUND(AnalysisChart1[[#This Row],[Kosten]],4)&gt;0,COUNTIF(H3:H5,"+")&gt;0),"x","-")</f>
        <v>-</v>
      </c>
      <c r="H6" s="537" t="str">
        <f>IF(AnalysisChart1[[#This Row],[ ]]&lt;&gt;"",AnalysisChart1[[#This Row],[ ]],"")</f>
        <v>-</v>
      </c>
      <c r="I6" s="546" t="s">
        <v>682</v>
      </c>
      <c r="J6" s="911" cm="1">
        <f t="array" ref="J6">J7-SUMPRODUCT((H3:H5="+")*1,J3:J5)</f>
        <v>0</v>
      </c>
      <c r="K6" s="496">
        <v>5</v>
      </c>
      <c r="L6" s="539">
        <f>ROW()-ROW($L$2)</f>
        <v>4</v>
      </c>
      <c r="M6" s="8"/>
      <c r="N6" s="8"/>
      <c r="O6" s="8"/>
      <c r="P6" s="514">
        <f>AnalysisChart1[[#This Row],[Kosten]]</f>
        <v>0</v>
      </c>
      <c r="Q6" s="543"/>
      <c r="AE6" s="543"/>
      <c r="AL6" s="543"/>
      <c r="AR6" s="540"/>
      <c r="AS6" s="540"/>
      <c r="AT6" s="540"/>
      <c r="AU6" s="540"/>
      <c r="AV6" s="540"/>
      <c r="AW6" s="543"/>
      <c r="AY6" s="536"/>
      <c r="AZ6" s="537"/>
      <c r="BA6" s="497" t="s">
        <v>166</v>
      </c>
      <c r="BB6" s="493">
        <f>$D$11</f>
        <v>0</v>
      </c>
      <c r="BC6" s="496">
        <v>4</v>
      </c>
      <c r="BD6" s="539">
        <f>ROW()-ROW($L$2)</f>
        <v>4</v>
      </c>
      <c r="BE6" s="8"/>
      <c r="BF6" s="8"/>
      <c r="BG6" s="8"/>
      <c r="BH6" s="514">
        <f>AnalysisChart2[[#This Row],[Kosten]]</f>
        <v>0</v>
      </c>
      <c r="BI6" s="540">
        <f>AnalysisChart2[[#This Row],[Kosten]]</f>
        <v>0</v>
      </c>
      <c r="BJ6" s="540">
        <f>AnalysisChart2[[#This Row],[Kosten]]</f>
        <v>0</v>
      </c>
      <c r="BK6" s="540">
        <f>AnalysisChart2[[#This Row],[Kosten]]</f>
        <v>0</v>
      </c>
      <c r="BL6" s="540">
        <f>AnalysisChart2[[#This Row],[Kosten]]</f>
        <v>0</v>
      </c>
      <c r="BM6" s="540">
        <f>AnalysisChart2[[#This Row],[Kosten]]</f>
        <v>0</v>
      </c>
      <c r="BN6" s="543"/>
      <c r="CA6" s="543"/>
      <c r="CF6" s="543"/>
    </row>
    <row r="7" spans="2:85">
      <c r="B7" s="575">
        <v>5</v>
      </c>
      <c r="C7" s="581" t="s">
        <v>1405</v>
      </c>
      <c r="D7" s="570"/>
      <c r="E7" s="595" t="s">
        <v>142</v>
      </c>
      <c r="F7" s="209"/>
      <c r="G7" s="536" t="str">
        <f>IF(COUNTIF(H3:H5,"+")&gt;0,"S","+")</f>
        <v>S</v>
      </c>
      <c r="H7" s="537" t="s">
        <v>131</v>
      </c>
      <c r="I7" s="547" t="s">
        <v>164</v>
      </c>
      <c r="J7" s="917">
        <f>IF(AnalysisChart1[[#This Row],[  ]]="+",$D$6,0)</f>
        <v>0</v>
      </c>
      <c r="K7" s="498">
        <v>4</v>
      </c>
      <c r="L7" s="548">
        <f t="shared" ref="L7:L38" si="0">ROW()-ROW($L$2)</f>
        <v>5</v>
      </c>
      <c r="M7" s="8"/>
      <c r="N7" s="8"/>
      <c r="O7" s="8"/>
      <c r="P7" s="8"/>
      <c r="Q7" s="549">
        <f>AnalysisChart1[[#This Row],[Kosten]]</f>
        <v>0</v>
      </c>
      <c r="R7" s="540">
        <f>AnalysisChart1[[#This Row],[Kosten]]</f>
        <v>0</v>
      </c>
      <c r="S7" s="540">
        <f>AnalysisChart1[[#This Row],[Kosten]]</f>
        <v>0</v>
      </c>
      <c r="T7" s="540">
        <f>AnalysisChart1[[#This Row],[Kosten]]</f>
        <v>0</v>
      </c>
      <c r="U7" s="540">
        <f>AnalysisChart1[[#This Row],[Kosten]]</f>
        <v>0</v>
      </c>
      <c r="V7" s="540">
        <f>AnalysisChart1[[#This Row],[Kosten]]</f>
        <v>0</v>
      </c>
      <c r="W7" s="540">
        <f>AnalysisChart1[[#This Row],[Kosten]]</f>
        <v>0</v>
      </c>
      <c r="X7" s="540">
        <f>AnalysisChart1[[#This Row],[Kosten]]</f>
        <v>0</v>
      </c>
      <c r="Y7" s="540">
        <f>AnalysisChart1[[#This Row],[Kosten]]</f>
        <v>0</v>
      </c>
      <c r="Z7" s="540">
        <f>AnalysisChart1[[#This Row],[Kosten]]</f>
        <v>0</v>
      </c>
      <c r="AA7" s="540">
        <f>AnalysisChart1[[#This Row],[Kosten]]</f>
        <v>0</v>
      </c>
      <c r="AB7" s="540">
        <f>AnalysisChart1[[#This Row],[Kosten]]</f>
        <v>0</v>
      </c>
      <c r="AC7" s="540">
        <f>AnalysisChart1[[#This Row],[Kosten]]</f>
        <v>0</v>
      </c>
      <c r="AD7" s="540">
        <f>AnalysisChart1[[#This Row],[Kosten]]</f>
        <v>0</v>
      </c>
      <c r="AE7" s="543"/>
      <c r="AF7" s="540"/>
      <c r="AG7" s="540"/>
      <c r="AH7" s="540"/>
      <c r="AI7" s="540"/>
      <c r="AJ7" s="540"/>
      <c r="AK7" s="540"/>
      <c r="AL7" s="544"/>
      <c r="AM7" s="540"/>
      <c r="AN7" s="540"/>
      <c r="AO7" s="540"/>
      <c r="AP7" s="540"/>
      <c r="AQ7" s="540"/>
      <c r="AR7" s="540"/>
      <c r="AS7" s="540"/>
      <c r="AT7" s="540"/>
      <c r="AU7" s="540"/>
      <c r="AV7" s="540"/>
      <c r="AW7" s="543"/>
      <c r="AY7" s="536"/>
      <c r="AZ7" s="537"/>
      <c r="BA7" s="497" t="s">
        <v>208</v>
      </c>
      <c r="BB7" s="493">
        <f>$D$12</f>
        <v>0</v>
      </c>
      <c r="BC7" s="496">
        <v>4</v>
      </c>
      <c r="BD7" s="539">
        <f>ROW()-ROW($L$2)</f>
        <v>5</v>
      </c>
      <c r="BE7" s="8"/>
      <c r="BF7" s="8"/>
      <c r="BG7" s="8"/>
      <c r="BH7" s="8"/>
      <c r="BI7" s="514">
        <f>AnalysisChart2[[#This Row],[Kosten]]</f>
        <v>0</v>
      </c>
      <c r="BJ7" s="540">
        <f>AnalysisChart2[[#This Row],[Kosten]]</f>
        <v>0</v>
      </c>
      <c r="BK7" s="540">
        <f>AnalysisChart2[[#This Row],[Kosten]]</f>
        <v>0</v>
      </c>
      <c r="BL7" s="540">
        <f>AnalysisChart2[[#This Row],[Kosten]]</f>
        <v>0</v>
      </c>
      <c r="BM7" s="540">
        <f>AnalysisChart2[[#This Row],[Kosten]]</f>
        <v>0</v>
      </c>
      <c r="BN7" s="543"/>
      <c r="CA7" s="543"/>
      <c r="CF7" s="543"/>
    </row>
    <row r="8" spans="2:85">
      <c r="B8" s="575">
        <v>6</v>
      </c>
      <c r="C8" s="581" t="s">
        <v>1406</v>
      </c>
      <c r="D8" s="570"/>
      <c r="E8" s="595" t="s">
        <v>142</v>
      </c>
      <c r="F8" s="209"/>
      <c r="G8" s="536" t="s">
        <v>142</v>
      </c>
      <c r="H8" s="537" t="s">
        <v>142</v>
      </c>
      <c r="I8" s="538" t="s">
        <v>1405</v>
      </c>
      <c r="J8" s="911">
        <f>$D$7</f>
        <v>0</v>
      </c>
      <c r="K8" s="496">
        <v>5</v>
      </c>
      <c r="L8" s="539">
        <f>ROW()-ROW($L$2)</f>
        <v>6</v>
      </c>
      <c r="M8" s="8"/>
      <c r="N8" s="8"/>
      <c r="O8" s="8"/>
      <c r="P8" s="8"/>
      <c r="R8" s="514">
        <f>AnalysisChart1[[#This Row],[Kosten]]</f>
        <v>0</v>
      </c>
      <c r="S8" s="540">
        <f>AnalysisChart1[[#This Row],[Kosten]]</f>
        <v>0</v>
      </c>
      <c r="T8" s="540">
        <f>AnalysisChart1[[#This Row],[Kosten]]</f>
        <v>0</v>
      </c>
      <c r="U8" s="530"/>
      <c r="AE8" s="543"/>
      <c r="AL8" s="543"/>
      <c r="AR8" s="540"/>
      <c r="AS8" s="540"/>
      <c r="AT8" s="540"/>
      <c r="AU8" s="540"/>
      <c r="AV8" s="540"/>
      <c r="AW8" s="543"/>
      <c r="AY8" s="536"/>
      <c r="AZ8" s="537"/>
      <c r="BA8" s="495" t="s">
        <v>1405</v>
      </c>
      <c r="BB8" s="493">
        <f>$D$7</f>
        <v>0</v>
      </c>
      <c r="BC8" s="498">
        <v>4</v>
      </c>
      <c r="BD8" s="548">
        <f t="shared" ref="BD8:BD29" si="1">ROW()-ROW($L$2)</f>
        <v>6</v>
      </c>
      <c r="BE8" s="8"/>
      <c r="BF8" s="8"/>
      <c r="BG8" s="8"/>
      <c r="BH8" s="8"/>
      <c r="BI8" s="8"/>
      <c r="BJ8" s="514">
        <f>AnalysisChart2[[#This Row],[Kosten]]</f>
        <v>0</v>
      </c>
      <c r="BK8" s="540">
        <f>AnalysisChart2[[#This Row],[Kosten]]</f>
        <v>0</v>
      </c>
      <c r="BL8" s="540">
        <f>AnalysisChart2[[#This Row],[Kosten]]</f>
        <v>0</v>
      </c>
      <c r="BM8" s="540">
        <f>AnalysisChart2[[#This Row],[Kosten]]</f>
        <v>0</v>
      </c>
      <c r="BN8" s="545"/>
      <c r="BO8" s="540"/>
      <c r="BP8" s="540"/>
      <c r="BQ8" s="540"/>
      <c r="BR8" s="540"/>
      <c r="BS8" s="540"/>
      <c r="BT8" s="540"/>
      <c r="BU8" s="540"/>
      <c r="BV8" s="540"/>
      <c r="BW8" s="540"/>
      <c r="BX8" s="540"/>
      <c r="BZ8" s="540"/>
      <c r="CA8" s="545"/>
      <c r="CB8" s="540"/>
      <c r="CC8" s="540"/>
      <c r="CD8" s="540"/>
      <c r="CE8" s="540"/>
      <c r="CF8" s="543"/>
    </row>
    <row r="9" spans="2:85">
      <c r="B9" s="575">
        <v>7</v>
      </c>
      <c r="C9" s="582" t="s">
        <v>165</v>
      </c>
      <c r="D9" s="570"/>
      <c r="E9" s="596" t="s">
        <v>40</v>
      </c>
      <c r="F9" s="209"/>
      <c r="G9" s="536" t="s">
        <v>142</v>
      </c>
      <c r="H9" s="537" t="s">
        <v>142</v>
      </c>
      <c r="I9" s="538" t="s">
        <v>1406</v>
      </c>
      <c r="J9" s="911">
        <f>$D$8</f>
        <v>0</v>
      </c>
      <c r="K9" s="496">
        <v>5</v>
      </c>
      <c r="L9" s="539">
        <f>ROW()-ROW($L$2)</f>
        <v>7</v>
      </c>
      <c r="M9" s="8"/>
      <c r="N9" s="8"/>
      <c r="O9" s="8"/>
      <c r="P9" s="8"/>
      <c r="S9" s="514">
        <f>AnalysisChart1[[#This Row],[Kosten]]</f>
        <v>0</v>
      </c>
      <c r="T9" s="540">
        <f>AnalysisChart1[[#This Row],[Kosten]]</f>
        <v>0</v>
      </c>
      <c r="U9" s="541"/>
      <c r="AE9" s="543"/>
      <c r="AL9" s="543"/>
      <c r="AR9" s="540"/>
      <c r="AS9" s="540"/>
      <c r="AT9" s="540"/>
      <c r="AU9" s="540"/>
      <c r="AV9" s="540"/>
      <c r="AW9" s="543"/>
      <c r="AY9" s="536"/>
      <c r="AZ9" s="537"/>
      <c r="BA9" s="495" t="s">
        <v>1401</v>
      </c>
      <c r="BB9" s="493">
        <f>$D$13</f>
        <v>0</v>
      </c>
      <c r="BC9" s="496">
        <v>4</v>
      </c>
      <c r="BD9" s="539">
        <f>ROW()-ROW($L$2)</f>
        <v>7</v>
      </c>
      <c r="BE9" s="8"/>
      <c r="BF9" s="8"/>
      <c r="BG9" s="8"/>
      <c r="BH9" s="8"/>
      <c r="BI9" s="8"/>
      <c r="BK9" s="514">
        <f>AnalysisChart2[[#This Row],[Kosten]]</f>
        <v>0</v>
      </c>
      <c r="BL9" s="540">
        <f>AnalysisChart2[[#This Row],[Kosten]]</f>
        <v>0</v>
      </c>
      <c r="BM9" s="540">
        <f>AnalysisChart2[[#This Row],[Kosten]]</f>
        <v>0</v>
      </c>
      <c r="BN9" s="541"/>
      <c r="CA9" s="543"/>
      <c r="CF9" s="543"/>
    </row>
    <row r="10" spans="2:85">
      <c r="B10" s="575">
        <v>8</v>
      </c>
      <c r="C10" s="582" t="s">
        <v>440</v>
      </c>
      <c r="D10" s="570"/>
      <c r="E10" s="596" t="s">
        <v>276</v>
      </c>
      <c r="F10" s="209"/>
      <c r="G10" s="536" t="str">
        <f>IF(AND(ROUND(AnalysisChart1[[#This Row],[Kosten]],4)&gt;0,COUNTIF(H8:H9,"+")&gt;0),"x","-")</f>
        <v>-</v>
      </c>
      <c r="H10" s="537" t="str">
        <f>IF(AnalysisChart1[[#This Row],[ ]]&lt;&gt;"",AnalysisChart1[[#This Row],[ ]],"")</f>
        <v>-</v>
      </c>
      <c r="I10" s="546" t="s">
        <v>682</v>
      </c>
      <c r="J10" s="911" cm="1">
        <f t="array" ref="J10">J11-SUMPRODUCT((H8:H9="+")*1,J8:J9)</f>
        <v>0</v>
      </c>
      <c r="K10" s="496">
        <v>5</v>
      </c>
      <c r="L10" s="539">
        <f>ROW()-ROW($L$2)</f>
        <v>8</v>
      </c>
      <c r="M10" s="8"/>
      <c r="N10" s="8"/>
      <c r="O10" s="8"/>
      <c r="P10" s="8"/>
      <c r="T10" s="514">
        <f>AnalysisChart1[[#This Row],[Kosten]]</f>
        <v>0</v>
      </c>
      <c r="U10" s="543"/>
      <c r="AE10" s="543"/>
      <c r="AL10" s="543"/>
      <c r="AR10" s="540"/>
      <c r="AS10" s="540"/>
      <c r="AT10" s="540"/>
      <c r="AU10" s="540"/>
      <c r="AV10" s="540"/>
      <c r="AW10" s="543"/>
      <c r="AY10" s="536"/>
      <c r="AZ10" s="537"/>
      <c r="BA10" s="497" t="s">
        <v>1403</v>
      </c>
      <c r="BB10" s="499">
        <f>$D$16</f>
        <v>0</v>
      </c>
      <c r="BC10" s="496">
        <v>4</v>
      </c>
      <c r="BD10" s="539">
        <f>ROW()-ROW($L$2)</f>
        <v>8</v>
      </c>
      <c r="BE10" s="8"/>
      <c r="BF10" s="8"/>
      <c r="BG10" s="8"/>
      <c r="BH10" s="8"/>
      <c r="BI10" s="8"/>
      <c r="BL10" s="514">
        <f>AnalysisChart2[[#This Row],[Kosten]]</f>
        <v>0</v>
      </c>
      <c r="BM10" s="540">
        <f>AnalysisChart2[[#This Row],[Kosten]]</f>
        <v>0</v>
      </c>
      <c r="BN10" s="541"/>
      <c r="CA10" s="543"/>
      <c r="CF10" s="543"/>
    </row>
    <row r="11" spans="2:85">
      <c r="B11" s="575">
        <v>9</v>
      </c>
      <c r="C11" s="582" t="s">
        <v>166</v>
      </c>
      <c r="D11" s="570"/>
      <c r="E11" s="596" t="s">
        <v>353</v>
      </c>
      <c r="F11" s="209"/>
      <c r="G11" s="536" t="str">
        <f>IF(COUNTIF(H8:H9,"+")&gt;0,"S","+")</f>
        <v>+</v>
      </c>
      <c r="H11" s="537" t="s">
        <v>131</v>
      </c>
      <c r="I11" s="547" t="s">
        <v>165</v>
      </c>
      <c r="J11" s="917">
        <f>IF(AnalysisChart1[[#This Row],[  ]]="+",$D$9,0)</f>
        <v>0</v>
      </c>
      <c r="K11" s="498">
        <v>4</v>
      </c>
      <c r="L11" s="548">
        <f t="shared" si="0"/>
        <v>9</v>
      </c>
      <c r="M11" s="8"/>
      <c r="N11" s="8"/>
      <c r="O11" s="8"/>
      <c r="P11" s="8"/>
      <c r="U11" s="549">
        <f>AnalysisChart1[[#This Row],[Kosten]]</f>
        <v>0</v>
      </c>
      <c r="V11" s="540">
        <f>AnalysisChart1[[#This Row],[Kosten]]</f>
        <v>0</v>
      </c>
      <c r="W11" s="540">
        <f>AnalysisChart1[[#This Row],[Kosten]]</f>
        <v>0</v>
      </c>
      <c r="X11" s="540">
        <f>AnalysisChart1[[#This Row],[Kosten]]</f>
        <v>0</v>
      </c>
      <c r="Y11" s="540">
        <f>AnalysisChart1[[#This Row],[Kosten]]</f>
        <v>0</v>
      </c>
      <c r="Z11" s="540">
        <f>AnalysisChart1[[#This Row],[Kosten]]</f>
        <v>0</v>
      </c>
      <c r="AA11" s="540">
        <f>AnalysisChart1[[#This Row],[Kosten]]</f>
        <v>0</v>
      </c>
      <c r="AB11" s="540">
        <f>AnalysisChart1[[#This Row],[Kosten]]</f>
        <v>0</v>
      </c>
      <c r="AC11" s="540">
        <f>AnalysisChart1[[#This Row],[Kosten]]</f>
        <v>0</v>
      </c>
      <c r="AD11" s="540">
        <f>AnalysisChart1[[#This Row],[Kosten]]</f>
        <v>0</v>
      </c>
      <c r="AE11" s="543"/>
      <c r="AF11" s="540"/>
      <c r="AG11" s="540"/>
      <c r="AH11" s="540"/>
      <c r="AI11" s="540"/>
      <c r="AJ11" s="540"/>
      <c r="AK11" s="540"/>
      <c r="AL11" s="544"/>
      <c r="AM11" s="540"/>
      <c r="AN11" s="540"/>
      <c r="AO11" s="540"/>
      <c r="AP11" s="540"/>
      <c r="AQ11" s="540"/>
      <c r="AR11" s="540"/>
      <c r="AS11" s="540"/>
      <c r="AT11" s="540"/>
      <c r="AU11" s="540"/>
      <c r="AV11" s="540"/>
      <c r="AW11" s="543"/>
      <c r="AY11" s="536" t="str">
        <f>IF(AND(ROUND(AnalysisChart2[[#This Row],[Kosten]],4)&gt;0,COUNTIF(AZ3:AZ10,"+")&gt;0),"x","-")</f>
        <v>-</v>
      </c>
      <c r="AZ11" s="537" t="str">
        <f>IF(AnalysisChart2[[#This Row],[ ]]&lt;&gt;"",AnalysisChart2[[#This Row],[ ]],"")</f>
        <v>-</v>
      </c>
      <c r="BA11" s="500" t="s">
        <v>682</v>
      </c>
      <c r="BB11" s="493">
        <f>BB12-SUMIF(BC$2:INDEX(BC:BC,ROW()-1),AnalysisChart2[[#This Row],[+]],BB$2:INDEX(BB:BB,ROW()-1))</f>
        <v>0</v>
      </c>
      <c r="BC11" s="496">
        <v>4</v>
      </c>
      <c r="BD11" s="539">
        <f>ROW()-ROW($L$2)</f>
        <v>9</v>
      </c>
      <c r="BE11" s="8"/>
      <c r="BF11" s="8"/>
      <c r="BG11" s="8"/>
      <c r="BH11" s="8"/>
      <c r="BI11" s="8"/>
      <c r="BM11" s="514">
        <f>AnalysisChart2[[#This Row],[Kosten]]</f>
        <v>0</v>
      </c>
      <c r="BN11" s="543"/>
      <c r="CA11" s="543"/>
      <c r="CF11" s="543"/>
    </row>
    <row r="12" spans="2:85">
      <c r="B12" s="575">
        <v>10</v>
      </c>
      <c r="C12" s="582" t="s">
        <v>208</v>
      </c>
      <c r="D12" s="570"/>
      <c r="E12" s="596" t="s">
        <v>346</v>
      </c>
      <c r="F12" s="209"/>
      <c r="G12" s="536" t="s">
        <v>131</v>
      </c>
      <c r="H12" s="537" t="s">
        <v>131</v>
      </c>
      <c r="I12" s="497" t="s">
        <v>440</v>
      </c>
      <c r="J12" s="911">
        <f>$D$10</f>
        <v>0</v>
      </c>
      <c r="K12" s="496">
        <v>4</v>
      </c>
      <c r="L12" s="548">
        <f t="shared" si="0"/>
        <v>10</v>
      </c>
      <c r="M12" s="8"/>
      <c r="N12" s="8"/>
      <c r="O12" s="8"/>
      <c r="P12" s="8"/>
      <c r="U12" s="550"/>
      <c r="V12" s="514">
        <f>AnalysisChart1[[#This Row],[Kosten]]</f>
        <v>0</v>
      </c>
      <c r="W12" s="540">
        <f>AnalysisChart1[[#This Row],[Kosten]]</f>
        <v>0</v>
      </c>
      <c r="X12" s="540">
        <f>AnalysisChart1[[#This Row],[Kosten]]</f>
        <v>0</v>
      </c>
      <c r="Y12" s="540">
        <f>AnalysisChart1[[#This Row],[Kosten]]</f>
        <v>0</v>
      </c>
      <c r="Z12" s="540">
        <f>AnalysisChart1[[#This Row],[Kosten]]</f>
        <v>0</v>
      </c>
      <c r="AA12" s="540">
        <f>AnalysisChart1[[#This Row],[Kosten]]</f>
        <v>0</v>
      </c>
      <c r="AB12" s="540">
        <f>AnalysisChart1[[#This Row],[Kosten]]</f>
        <v>0</v>
      </c>
      <c r="AC12" s="540">
        <f>AnalysisChart1[[#This Row],[Kosten]]</f>
        <v>0</v>
      </c>
      <c r="AD12" s="540">
        <f>AnalysisChart1[[#This Row],[Kosten]]</f>
        <v>0</v>
      </c>
      <c r="AE12" s="543"/>
      <c r="AF12" s="540"/>
      <c r="AG12" s="540"/>
      <c r="AH12" s="540"/>
      <c r="AI12" s="540"/>
      <c r="AJ12" s="540"/>
      <c r="AK12" s="540"/>
      <c r="AL12" s="544"/>
      <c r="AM12" s="540"/>
      <c r="AN12" s="540"/>
      <c r="AO12" s="540"/>
      <c r="AP12" s="540"/>
      <c r="AQ12" s="540"/>
      <c r="AR12" s="540"/>
      <c r="AS12" s="540"/>
      <c r="AT12" s="540"/>
      <c r="AU12" s="540"/>
      <c r="AV12" s="540"/>
      <c r="AW12" s="543"/>
      <c r="AY12" s="536" t="str">
        <f>IF(COUNTIF(AZ3:AZ10,"+")&gt;0,"S","+")</f>
        <v>+</v>
      </c>
      <c r="AZ12" s="537" t="s">
        <v>131</v>
      </c>
      <c r="BA12" s="501" t="s">
        <v>695</v>
      </c>
      <c r="BB12" s="493">
        <f>$D$6+$D$7+$D$13+$D$16</f>
        <v>0</v>
      </c>
      <c r="BC12" s="498">
        <v>3</v>
      </c>
      <c r="BD12" s="548">
        <f t="shared" si="1"/>
        <v>10</v>
      </c>
      <c r="BE12" s="8"/>
      <c r="BF12" s="8"/>
      <c r="BG12" s="8"/>
      <c r="BH12" s="8"/>
      <c r="BI12" s="8"/>
      <c r="BN12" s="549">
        <f>AnalysisChart2[[#This Row],[Kosten]]</f>
        <v>0</v>
      </c>
      <c r="BO12" s="540">
        <f>AnalysisChart2[[#This Row],[Kosten]]</f>
        <v>0</v>
      </c>
      <c r="BP12" s="540">
        <f>AnalysisChart2[[#This Row],[Kosten]]</f>
        <v>0</v>
      </c>
      <c r="BQ12" s="540">
        <f>AnalysisChart2[[#This Row],[Kosten]]</f>
        <v>0</v>
      </c>
      <c r="BR12" s="540">
        <f>AnalysisChart2[[#This Row],[Kosten]]</f>
        <v>0</v>
      </c>
      <c r="BS12" s="540">
        <f>AnalysisChart2[[#This Row],[Kosten]]</f>
        <v>0</v>
      </c>
      <c r="BT12" s="540">
        <f>AnalysisChart2[[#This Row],[Kosten]]</f>
        <v>0</v>
      </c>
      <c r="BU12" s="540">
        <f>AnalysisChart2[[#This Row],[Kosten]]</f>
        <v>0</v>
      </c>
      <c r="BV12" s="540">
        <f>AnalysisChart2[[#This Row],[Kosten]]</f>
        <v>0</v>
      </c>
      <c r="BW12" s="540">
        <f>AnalysisChart2[[#This Row],[Kosten]]</f>
        <v>0</v>
      </c>
      <c r="BX12" s="540">
        <f>AnalysisChart2[[#This Row],[Kosten]]</f>
        <v>0</v>
      </c>
      <c r="BY12" s="540">
        <f>AnalysisChart2[[#This Row],[Kosten]]</f>
        <v>0</v>
      </c>
      <c r="BZ12" s="540">
        <f>AnalysisChart2[[#This Row],[Kosten]]</f>
        <v>0</v>
      </c>
      <c r="CA12" s="545"/>
      <c r="CB12" s="540"/>
      <c r="CC12" s="540"/>
      <c r="CD12" s="540"/>
      <c r="CE12" s="540"/>
      <c r="CF12" s="543"/>
    </row>
    <row r="13" spans="2:85">
      <c r="B13" s="575">
        <v>11</v>
      </c>
      <c r="C13" s="581" t="s">
        <v>1401</v>
      </c>
      <c r="D13" s="570"/>
      <c r="E13" s="595" t="s">
        <v>142</v>
      </c>
      <c r="F13" s="209"/>
      <c r="G13" s="536"/>
      <c r="H13" s="537"/>
      <c r="I13" s="497" t="s">
        <v>166</v>
      </c>
      <c r="J13" s="911">
        <f>$D$11</f>
        <v>0</v>
      </c>
      <c r="K13" s="496">
        <v>4</v>
      </c>
      <c r="L13" s="548">
        <f t="shared" si="0"/>
        <v>11</v>
      </c>
      <c r="M13" s="8"/>
      <c r="N13" s="8"/>
      <c r="O13" s="8"/>
      <c r="P13" s="8"/>
      <c r="U13" s="550"/>
      <c r="V13" s="550"/>
      <c r="W13" s="514">
        <f>AnalysisChart1[[#This Row],[Kosten]]</f>
        <v>0</v>
      </c>
      <c r="X13" s="540">
        <f>AnalysisChart1[[#This Row],[Kosten]]</f>
        <v>0</v>
      </c>
      <c r="Y13" s="540">
        <f>AnalysisChart1[[#This Row],[Kosten]]</f>
        <v>0</v>
      </c>
      <c r="Z13" s="540">
        <f>AnalysisChart1[[#This Row],[Kosten]]</f>
        <v>0</v>
      </c>
      <c r="AA13" s="540">
        <f>AnalysisChart1[[#This Row],[Kosten]]</f>
        <v>0</v>
      </c>
      <c r="AB13" s="540">
        <f>AnalysisChart1[[#This Row],[Kosten]]</f>
        <v>0</v>
      </c>
      <c r="AC13" s="540">
        <f>AnalysisChart1[[#This Row],[Kosten]]</f>
        <v>0</v>
      </c>
      <c r="AD13" s="540">
        <f>AnalysisChart1[[#This Row],[Kosten]]</f>
        <v>0</v>
      </c>
      <c r="AE13" s="543"/>
      <c r="AF13" s="540"/>
      <c r="AG13" s="540"/>
      <c r="AH13" s="540"/>
      <c r="AI13" s="540"/>
      <c r="AJ13" s="540"/>
      <c r="AK13" s="540"/>
      <c r="AL13" s="544"/>
      <c r="AM13" s="540"/>
      <c r="AN13" s="540"/>
      <c r="AO13" s="540"/>
      <c r="AP13" s="540"/>
      <c r="AQ13" s="540"/>
      <c r="AR13" s="540"/>
      <c r="AS13" s="540"/>
      <c r="AT13" s="540"/>
      <c r="AU13" s="540"/>
      <c r="AV13" s="540"/>
      <c r="AW13" s="543"/>
      <c r="AY13" s="536"/>
      <c r="AZ13" s="537"/>
      <c r="BA13" s="495" t="s">
        <v>440</v>
      </c>
      <c r="BB13" s="493">
        <f>$D$10</f>
        <v>0</v>
      </c>
      <c r="BC13" s="496">
        <v>4</v>
      </c>
      <c r="BD13" s="548">
        <f t="shared" si="1"/>
        <v>11</v>
      </c>
      <c r="BE13" s="8"/>
      <c r="BF13" s="8"/>
      <c r="BG13" s="8"/>
      <c r="BH13" s="8"/>
      <c r="BI13" s="8"/>
      <c r="BN13" s="550"/>
      <c r="BO13" s="514">
        <f>AnalysisChart2[[#This Row],[Kosten]]</f>
        <v>0</v>
      </c>
      <c r="BP13" s="540">
        <f>AnalysisChart2[[#This Row],[Kosten]]</f>
        <v>0</v>
      </c>
      <c r="BQ13" s="540">
        <f>AnalysisChart2[[#This Row],[Kosten]]</f>
        <v>0</v>
      </c>
      <c r="BR13" s="540">
        <f>AnalysisChart2[[#This Row],[Kosten]]</f>
        <v>0</v>
      </c>
      <c r="BS13" s="540">
        <f>AnalysisChart2[[#This Row],[Kosten]]</f>
        <v>0</v>
      </c>
      <c r="BT13" s="534"/>
      <c r="BU13" s="540"/>
      <c r="BV13" s="540"/>
      <c r="BW13" s="540"/>
      <c r="BX13" s="540"/>
      <c r="BZ13" s="540"/>
      <c r="CA13" s="545"/>
      <c r="CB13" s="540"/>
      <c r="CC13" s="540"/>
      <c r="CD13" s="540"/>
      <c r="CE13" s="540"/>
      <c r="CF13" s="543"/>
    </row>
    <row r="14" spans="2:85">
      <c r="B14" s="575">
        <v>12</v>
      </c>
      <c r="C14" s="581" t="s">
        <v>1402</v>
      </c>
      <c r="D14" s="570"/>
      <c r="E14" s="595" t="s">
        <v>142</v>
      </c>
      <c r="F14" s="209"/>
      <c r="G14" s="536"/>
      <c r="H14" s="537"/>
      <c r="I14" s="497" t="s">
        <v>208</v>
      </c>
      <c r="J14" s="911">
        <f>$D$12</f>
        <v>0</v>
      </c>
      <c r="K14" s="496">
        <v>4</v>
      </c>
      <c r="L14" s="548">
        <f t="shared" si="0"/>
        <v>12</v>
      </c>
      <c r="M14" s="8"/>
      <c r="N14" s="8"/>
      <c r="O14" s="8"/>
      <c r="P14" s="8"/>
      <c r="U14" s="550"/>
      <c r="V14" s="550"/>
      <c r="W14" s="550"/>
      <c r="X14" s="514">
        <f>AnalysisChart1[[#This Row],[Kosten]]</f>
        <v>0</v>
      </c>
      <c r="Y14" s="540">
        <f>AnalysisChart1[[#This Row],[Kosten]]</f>
        <v>0</v>
      </c>
      <c r="Z14" s="540">
        <f>AnalysisChart1[[#This Row],[Kosten]]</f>
        <v>0</v>
      </c>
      <c r="AA14" s="540">
        <f>AnalysisChart1[[#This Row],[Kosten]]</f>
        <v>0</v>
      </c>
      <c r="AB14" s="540">
        <f>AnalysisChart1[[#This Row],[Kosten]]</f>
        <v>0</v>
      </c>
      <c r="AC14" s="540">
        <f>AnalysisChart1[[#This Row],[Kosten]]</f>
        <v>0</v>
      </c>
      <c r="AD14" s="540">
        <f>AnalysisChart1[[#This Row],[Kosten]]</f>
        <v>0</v>
      </c>
      <c r="AE14" s="543"/>
      <c r="AF14" s="540"/>
      <c r="AG14" s="540"/>
      <c r="AH14" s="540"/>
      <c r="AI14" s="540"/>
      <c r="AJ14" s="540"/>
      <c r="AK14" s="540"/>
      <c r="AL14" s="544"/>
      <c r="AM14" s="540"/>
      <c r="AN14" s="540"/>
      <c r="AO14" s="540"/>
      <c r="AP14" s="540"/>
      <c r="AQ14" s="540"/>
      <c r="AR14" s="540"/>
      <c r="AS14" s="540"/>
      <c r="AT14" s="540"/>
      <c r="AU14" s="540"/>
      <c r="AV14" s="540"/>
      <c r="AW14" s="543"/>
      <c r="AY14" s="536"/>
      <c r="AZ14" s="537"/>
      <c r="BA14" s="495" t="s">
        <v>1406</v>
      </c>
      <c r="BB14" s="493">
        <f>$D$8</f>
        <v>0</v>
      </c>
      <c r="BC14" s="496">
        <v>4</v>
      </c>
      <c r="BD14" s="548">
        <f t="shared" si="1"/>
        <v>12</v>
      </c>
      <c r="BE14" s="8"/>
      <c r="BF14" s="8"/>
      <c r="BG14" s="8"/>
      <c r="BH14" s="8"/>
      <c r="BI14" s="8"/>
      <c r="BN14" s="550"/>
      <c r="BO14" s="550"/>
      <c r="BP14" s="514">
        <f>AnalysisChart2[[#This Row],[Kosten]]</f>
        <v>0</v>
      </c>
      <c r="BQ14" s="540">
        <f>AnalysisChart2[[#This Row],[Kosten]]</f>
        <v>0</v>
      </c>
      <c r="BR14" s="540">
        <f>AnalysisChart2[[#This Row],[Kosten]]</f>
        <v>0</v>
      </c>
      <c r="BS14" s="540">
        <f>AnalysisChart2[[#This Row],[Kosten]]</f>
        <v>0</v>
      </c>
      <c r="BT14" s="545"/>
      <c r="BU14" s="540"/>
      <c r="BV14" s="540"/>
      <c r="BW14" s="540"/>
      <c r="BX14" s="540"/>
      <c r="BZ14" s="540"/>
      <c r="CA14" s="545"/>
      <c r="CB14" s="540"/>
      <c r="CC14" s="540"/>
      <c r="CD14" s="540"/>
      <c r="CE14" s="540"/>
      <c r="CF14" s="543"/>
    </row>
    <row r="15" spans="2:85">
      <c r="B15" s="575">
        <v>13</v>
      </c>
      <c r="C15" s="582" t="s">
        <v>1397</v>
      </c>
      <c r="D15" s="570"/>
      <c r="E15" s="596" t="s">
        <v>334</v>
      </c>
      <c r="F15" s="209"/>
      <c r="G15" s="536" t="s">
        <v>142</v>
      </c>
      <c r="H15" s="537" t="s">
        <v>142</v>
      </c>
      <c r="I15" s="538" t="s">
        <v>1401</v>
      </c>
      <c r="J15" s="911">
        <f>$D$13</f>
        <v>0</v>
      </c>
      <c r="K15" s="496">
        <v>5</v>
      </c>
      <c r="L15" s="539">
        <f>ROW()-ROW($L$2)</f>
        <v>13</v>
      </c>
      <c r="M15" s="8"/>
      <c r="N15" s="8"/>
      <c r="O15" s="8"/>
      <c r="P15" s="8"/>
      <c r="Y15" s="514">
        <f>AnalysisChart1[[#This Row],[Kosten]]</f>
        <v>0</v>
      </c>
      <c r="Z15" s="540">
        <f>AnalysisChart1[[#This Row],[Kosten]]</f>
        <v>0</v>
      </c>
      <c r="AA15" s="540">
        <f>AnalysisChart1[[#This Row],[Kosten]]</f>
        <v>0</v>
      </c>
      <c r="AB15" s="530"/>
      <c r="AE15" s="543"/>
      <c r="AL15" s="543"/>
      <c r="AR15" s="540"/>
      <c r="AS15" s="540"/>
      <c r="AT15" s="540"/>
      <c r="AU15" s="540"/>
      <c r="AV15" s="540"/>
      <c r="AW15" s="543"/>
      <c r="AY15" s="536"/>
      <c r="AZ15" s="537"/>
      <c r="BA15" s="495" t="s">
        <v>1402</v>
      </c>
      <c r="BB15" s="493">
        <f>$D$14</f>
        <v>0</v>
      </c>
      <c r="BC15" s="496">
        <v>4</v>
      </c>
      <c r="BD15" s="548">
        <f t="shared" si="1"/>
        <v>13</v>
      </c>
      <c r="BE15" s="8"/>
      <c r="BF15" s="8"/>
      <c r="BG15" s="8"/>
      <c r="BH15" s="8"/>
      <c r="BI15" s="8"/>
      <c r="BN15" s="550"/>
      <c r="BO15" s="550"/>
      <c r="BP15" s="550"/>
      <c r="BQ15" s="514">
        <f>AnalysisChart2[[#This Row],[Kosten]]</f>
        <v>0</v>
      </c>
      <c r="BR15" s="540">
        <f>AnalysisChart2[[#This Row],[Kosten]]</f>
        <v>0</v>
      </c>
      <c r="BS15" s="540">
        <f>AnalysisChart2[[#This Row],[Kosten]]</f>
        <v>0</v>
      </c>
      <c r="BT15" s="545"/>
      <c r="BU15" s="540"/>
      <c r="BV15" s="540"/>
      <c r="BW15" s="540"/>
      <c r="BX15" s="540"/>
      <c r="BZ15" s="540"/>
      <c r="CA15" s="545"/>
      <c r="CB15" s="551"/>
      <c r="CC15" s="540"/>
      <c r="CD15" s="540"/>
      <c r="CE15" s="552"/>
      <c r="CF15" s="543"/>
    </row>
    <row r="16" spans="2:85">
      <c r="B16" s="575">
        <v>14</v>
      </c>
      <c r="C16" s="583" t="s">
        <v>1403</v>
      </c>
      <c r="D16" s="570"/>
      <c r="E16" s="595" t="s">
        <v>142</v>
      </c>
      <c r="F16" s="209"/>
      <c r="G16" s="536" t="s">
        <v>142</v>
      </c>
      <c r="H16" s="537" t="s">
        <v>142</v>
      </c>
      <c r="I16" s="538" t="s">
        <v>1402</v>
      </c>
      <c r="J16" s="911">
        <f>$D$14</f>
        <v>0</v>
      </c>
      <c r="K16" s="496">
        <v>5</v>
      </c>
      <c r="L16" s="539">
        <f>ROW()-ROW($L$2)</f>
        <v>14</v>
      </c>
      <c r="M16" s="8"/>
      <c r="N16" s="8"/>
      <c r="O16" s="8"/>
      <c r="P16" s="8"/>
      <c r="Z16" s="514">
        <f>AnalysisChart1[[#This Row],[Kosten]]</f>
        <v>0</v>
      </c>
      <c r="AA16" s="540">
        <f>AnalysisChart1[[#This Row],[Kosten]]</f>
        <v>0</v>
      </c>
      <c r="AB16" s="541"/>
      <c r="AE16" s="543"/>
      <c r="AL16" s="543"/>
      <c r="AR16" s="540"/>
      <c r="AS16" s="540"/>
      <c r="AT16" s="540"/>
      <c r="AU16" s="540"/>
      <c r="AV16" s="540"/>
      <c r="AW16" s="543"/>
      <c r="AY16" s="536"/>
      <c r="AZ16" s="537"/>
      <c r="BA16" s="497" t="s">
        <v>1404</v>
      </c>
      <c r="BB16" s="493">
        <f>$D$17</f>
        <v>0</v>
      </c>
      <c r="BC16" s="496">
        <v>4</v>
      </c>
      <c r="BD16" s="539">
        <f>ROW()-ROW($L$2)</f>
        <v>14</v>
      </c>
      <c r="BE16" s="8"/>
      <c r="BF16" s="8"/>
      <c r="BG16" s="8"/>
      <c r="BH16" s="8"/>
      <c r="BI16" s="8"/>
      <c r="BR16" s="514">
        <f>AnalysisChart2[[#This Row],[Kosten]]</f>
        <v>0</v>
      </c>
      <c r="BS16" s="540">
        <f>AnalysisChart2[[#This Row],[Kosten]]</f>
        <v>0</v>
      </c>
      <c r="BT16" s="545"/>
      <c r="BU16" s="540"/>
      <c r="BZ16" s="514"/>
      <c r="CA16" s="545"/>
      <c r="CB16" s="551"/>
      <c r="CC16" s="540"/>
      <c r="CD16" s="550"/>
      <c r="CE16" s="553"/>
      <c r="CF16" s="543"/>
    </row>
    <row r="17" spans="2:84">
      <c r="B17" s="575">
        <v>15</v>
      </c>
      <c r="C17" s="581" t="s">
        <v>1404</v>
      </c>
      <c r="D17" s="570"/>
      <c r="E17" s="595" t="s">
        <v>142</v>
      </c>
      <c r="F17" s="209"/>
      <c r="G17" s="536" t="str">
        <f>IF(AND(ROUND(AnalysisChart1[[#This Row],[Kosten]],4)&gt;0,COUNTIF(H15:H16,"+")&gt;0),"x","-")</f>
        <v>-</v>
      </c>
      <c r="H17" s="537" t="str">
        <f>IF(AnalysisChart1[[#This Row],[ ]]&lt;&gt;"",AnalysisChart1[[#This Row],[ ]],"")</f>
        <v>-</v>
      </c>
      <c r="I17" s="546" t="s">
        <v>682</v>
      </c>
      <c r="J17" s="911" cm="1">
        <f t="array" ref="J17">J18-SUMPRODUCT((H15:H16="+")*1,J15:J16)</f>
        <v>0</v>
      </c>
      <c r="K17" s="496">
        <v>5</v>
      </c>
      <c r="L17" s="539">
        <f>ROW()-ROW($L$2)</f>
        <v>15</v>
      </c>
      <c r="M17" s="8"/>
      <c r="N17" s="8"/>
      <c r="O17" s="8"/>
      <c r="P17" s="8"/>
      <c r="AA17" s="514">
        <f>AnalysisChart1[[#This Row],[Kosten]]</f>
        <v>0</v>
      </c>
      <c r="AB17" s="543"/>
      <c r="AE17" s="543"/>
      <c r="AL17" s="543"/>
      <c r="AR17" s="540"/>
      <c r="AS17" s="540"/>
      <c r="AT17" s="540"/>
      <c r="AU17" s="540"/>
      <c r="AV17" s="540"/>
      <c r="AW17" s="543"/>
      <c r="AY17" s="536" t="str">
        <f>IF(AND(ROUND(AnalysisChart2[[#This Row],[Kosten]],4)&gt;0,COUNTIF(AZ13:AZ16,"+")&gt;0),"x","-")</f>
        <v>-</v>
      </c>
      <c r="AZ17" s="537" t="str">
        <f>IF(AnalysisChart2[[#This Row],[ ]]&lt;&gt;"",AnalysisChart2[[#This Row],[ ]],"")</f>
        <v>-</v>
      </c>
      <c r="BA17" s="500" t="s">
        <v>682</v>
      </c>
      <c r="BB17" s="493">
        <f>BB18-SUM(BB13:BB16)</f>
        <v>0</v>
      </c>
      <c r="BC17" s="496">
        <v>4</v>
      </c>
      <c r="BD17" s="539">
        <f>ROW()-ROW($L$2)</f>
        <v>15</v>
      </c>
      <c r="BE17" s="8"/>
      <c r="BF17" s="8"/>
      <c r="BG17" s="8"/>
      <c r="BH17" s="8"/>
      <c r="BI17" s="8"/>
      <c r="BS17" s="514">
        <f>AnalysisChart2[[#This Row],[Kosten]]</f>
        <v>0</v>
      </c>
      <c r="BT17" s="543"/>
      <c r="CA17" s="543"/>
      <c r="CB17" s="537"/>
      <c r="CE17" s="554"/>
      <c r="CF17" s="543"/>
    </row>
    <row r="18" spans="2:84">
      <c r="B18" s="575">
        <v>16</v>
      </c>
      <c r="C18" s="582" t="s">
        <v>1379</v>
      </c>
      <c r="D18" s="570"/>
      <c r="E18" s="596" t="s">
        <v>330</v>
      </c>
      <c r="F18" s="209"/>
      <c r="G18" s="536" t="str">
        <f>IF(COUNTIF(H15:H16,"+")&gt;0,"S","+")</f>
        <v>+</v>
      </c>
      <c r="H18" s="537" t="s">
        <v>131</v>
      </c>
      <c r="I18" s="547" t="s">
        <v>1397</v>
      </c>
      <c r="J18" s="917">
        <f>IF(AnalysisChart1[[#This Row],[  ]]="+",$D$15,0)</f>
        <v>0</v>
      </c>
      <c r="K18" s="498">
        <v>4</v>
      </c>
      <c r="L18" s="548">
        <f t="shared" si="0"/>
        <v>16</v>
      </c>
      <c r="M18" s="8"/>
      <c r="N18" s="8"/>
      <c r="O18" s="8"/>
      <c r="P18" s="8"/>
      <c r="Q18" s="5"/>
      <c r="R18" s="5"/>
      <c r="S18" s="5"/>
      <c r="T18" s="5"/>
      <c r="U18" s="550"/>
      <c r="V18" s="550"/>
      <c r="W18" s="550"/>
      <c r="X18" s="550"/>
      <c r="Y18" s="550"/>
      <c r="Z18" s="550"/>
      <c r="AA18" s="550"/>
      <c r="AB18" s="549">
        <f>AnalysisChart1[[#This Row],[Kosten]]</f>
        <v>0</v>
      </c>
      <c r="AC18" s="540">
        <f>AnalysisChart1[[#This Row],[Kosten]]</f>
        <v>0</v>
      </c>
      <c r="AD18" s="540">
        <f>AnalysisChart1[[#This Row],[Kosten]]</f>
        <v>0</v>
      </c>
      <c r="AE18" s="543"/>
      <c r="AF18" s="540"/>
      <c r="AG18" s="540"/>
      <c r="AH18" s="540"/>
      <c r="AI18" s="540"/>
      <c r="AJ18" s="540"/>
      <c r="AK18" s="540"/>
      <c r="AL18" s="544"/>
      <c r="AM18" s="540"/>
      <c r="AN18" s="540"/>
      <c r="AO18" s="540"/>
      <c r="AP18" s="540"/>
      <c r="AQ18" s="540"/>
      <c r="AR18" s="540"/>
      <c r="AS18" s="540"/>
      <c r="AT18" s="540"/>
      <c r="AU18" s="540"/>
      <c r="AV18" s="540"/>
      <c r="AW18" s="543"/>
      <c r="AY18" s="536" t="str">
        <f>IF(COUNTIF(AZ13:AZ16,"+")&gt;0,"S","+")</f>
        <v>+</v>
      </c>
      <c r="AZ18" s="537" t="s">
        <v>131</v>
      </c>
      <c r="BA18" s="501" t="s">
        <v>440</v>
      </c>
      <c r="BB18" s="493">
        <f>$D$8+$D$10+$D$14+$D$17</f>
        <v>0</v>
      </c>
      <c r="BC18" s="496">
        <v>3</v>
      </c>
      <c r="BD18" s="539">
        <f>ROW()-ROW($L$2)</f>
        <v>16</v>
      </c>
      <c r="BE18" s="8"/>
      <c r="BF18" s="8"/>
      <c r="BG18" s="8"/>
      <c r="BH18" s="8"/>
      <c r="BI18" s="8"/>
      <c r="BT18" s="555">
        <f>AnalysisChart2[[#This Row],[Kosten]]</f>
        <v>0</v>
      </c>
      <c r="BU18" s="540">
        <f>AnalysisChart2[[#This Row],[Kosten]]</f>
        <v>0</v>
      </c>
      <c r="BV18" s="540">
        <f>AnalysisChart2[[#This Row],[Kosten]]</f>
        <v>0</v>
      </c>
      <c r="BW18" s="540">
        <f>AnalysisChart2[[#This Row],[Kosten]]</f>
        <v>0</v>
      </c>
      <c r="BX18" s="540">
        <f>AnalysisChart2[[#This Row],[Kosten]]</f>
        <v>0</v>
      </c>
      <c r="BY18" s="540">
        <f>AnalysisChart2[[#This Row],[Kosten]]</f>
        <v>0</v>
      </c>
      <c r="BZ18" s="540">
        <f>AnalysisChart2[[#This Row],[Kosten]]</f>
        <v>0</v>
      </c>
      <c r="CA18" s="543"/>
      <c r="CB18" s="537"/>
      <c r="CE18" s="554"/>
      <c r="CF18" s="543"/>
    </row>
    <row r="19" spans="2:84">
      <c r="B19" s="575">
        <v>17</v>
      </c>
      <c r="C19" s="582" t="s">
        <v>155</v>
      </c>
      <c r="D19" s="570"/>
      <c r="E19" s="596" t="s">
        <v>329</v>
      </c>
      <c r="F19" s="209"/>
      <c r="G19" s="536" t="s">
        <v>131</v>
      </c>
      <c r="H19" s="537" t="s">
        <v>131</v>
      </c>
      <c r="I19" s="497" t="s">
        <v>1379</v>
      </c>
      <c r="J19" s="912">
        <f>$D$18</f>
        <v>0</v>
      </c>
      <c r="K19" s="496">
        <v>4</v>
      </c>
      <c r="L19" s="548">
        <f t="shared" si="0"/>
        <v>17</v>
      </c>
      <c r="M19" s="8"/>
      <c r="N19" s="8"/>
      <c r="O19" s="8"/>
      <c r="P19" s="8"/>
      <c r="Q19" s="5"/>
      <c r="R19" s="5"/>
      <c r="S19" s="5"/>
      <c r="T19" s="5"/>
      <c r="U19" s="550"/>
      <c r="V19" s="550"/>
      <c r="W19" s="550"/>
      <c r="X19" s="550"/>
      <c r="Y19" s="550"/>
      <c r="Z19" s="550"/>
      <c r="AA19" s="550"/>
      <c r="AB19" s="550"/>
      <c r="AC19" s="514">
        <f>AnalysisChart1[[#This Row],[Kosten]]</f>
        <v>0</v>
      </c>
      <c r="AD19" s="540">
        <f>AnalysisChart1[[#This Row],[Kosten]]</f>
        <v>0</v>
      </c>
      <c r="AE19" s="543"/>
      <c r="AF19" s="540"/>
      <c r="AG19" s="540"/>
      <c r="AH19" s="540"/>
      <c r="AI19" s="540"/>
      <c r="AJ19" s="540"/>
      <c r="AK19" s="540"/>
      <c r="AL19" s="544"/>
      <c r="AM19" s="540"/>
      <c r="AN19" s="540"/>
      <c r="AO19" s="540"/>
      <c r="AP19" s="540"/>
      <c r="AQ19" s="540"/>
      <c r="AR19" s="540"/>
      <c r="AS19" s="540"/>
      <c r="AT19" s="540"/>
      <c r="AU19" s="540"/>
      <c r="AV19" s="540"/>
      <c r="AW19" s="543"/>
      <c r="AY19" s="536"/>
      <c r="AZ19" s="537"/>
      <c r="BA19" s="495" t="s">
        <v>168</v>
      </c>
      <c r="BB19" s="499">
        <f>$D$20</f>
        <v>0</v>
      </c>
      <c r="BC19" s="496">
        <v>4</v>
      </c>
      <c r="BD19" s="556">
        <f t="shared" si="1"/>
        <v>17</v>
      </c>
      <c r="BE19" s="8"/>
      <c r="BF19" s="8"/>
      <c r="BG19" s="8"/>
      <c r="BH19" s="8"/>
      <c r="BI19" s="8"/>
      <c r="BU19" s="514">
        <f>AnalysisChart2[[#This Row],[Kosten]]</f>
        <v>0</v>
      </c>
      <c r="BV19" s="540">
        <f>AnalysisChart2[[#This Row],[Kosten]]</f>
        <v>0</v>
      </c>
      <c r="BW19" s="540">
        <f>AnalysisChart2[[#This Row],[Kosten]]</f>
        <v>0</v>
      </c>
      <c r="BX19" s="540">
        <f>AnalysisChart2[[#This Row],[Kosten]]</f>
        <v>0</v>
      </c>
      <c r="BY19" s="532"/>
      <c r="CA19" s="543"/>
      <c r="CB19" s="537"/>
      <c r="CE19" s="554"/>
      <c r="CF19" s="543"/>
    </row>
    <row r="20" spans="2:84">
      <c r="B20" s="575">
        <v>18</v>
      </c>
      <c r="C20" s="582" t="s">
        <v>168</v>
      </c>
      <c r="D20" s="570"/>
      <c r="E20" s="597" t="s">
        <v>324</v>
      </c>
      <c r="F20" s="209"/>
      <c r="G20" s="536" t="str">
        <f>IF(AND(ROUND(AnalysisChart1[[#This Row],[Kosten]],4)&gt;0,COUNTA(H19,H18,H14,H13,H12,H11,H7)&gt;0),"x","-")</f>
        <v>-</v>
      </c>
      <c r="H20" s="537" t="str">
        <f>IF(AnalysisChart1[[#This Row],[ ]]&lt;&gt;"",AnalysisChart1[[#This Row],[ ]],"")</f>
        <v>-</v>
      </c>
      <c r="I20" s="546" t="s">
        <v>682</v>
      </c>
      <c r="J20" s="911">
        <f>J21-SUMIF($K$2:INDEX($K:$K,ROW()-1),AnalysisChart1[[#This Row],[+]],$J$2:INDEX($J:$J,ROW()-1))</f>
        <v>0</v>
      </c>
      <c r="K20" s="496">
        <v>4</v>
      </c>
      <c r="L20" s="539">
        <f>ROW()-ROW($L$2)</f>
        <v>18</v>
      </c>
      <c r="M20" s="8"/>
      <c r="N20" s="8"/>
      <c r="O20" s="8"/>
      <c r="P20" s="8"/>
      <c r="AD20" s="514">
        <f>AnalysisChart1[[#This Row],[Kosten]]</f>
        <v>0</v>
      </c>
      <c r="AE20" s="543"/>
      <c r="AL20" s="543"/>
      <c r="AR20" s="540"/>
      <c r="AS20" s="540"/>
      <c r="AT20" s="540"/>
      <c r="AU20" s="540"/>
      <c r="AV20" s="540"/>
      <c r="AW20" s="543"/>
      <c r="AY20" s="536"/>
      <c r="AZ20" s="537"/>
      <c r="BA20" s="502" t="s">
        <v>168</v>
      </c>
      <c r="BB20" s="499">
        <f>$D$21</f>
        <v>5.5660995337293304</v>
      </c>
      <c r="BC20" s="496">
        <v>4</v>
      </c>
      <c r="BD20" s="556">
        <f>BD19</f>
        <v>17</v>
      </c>
      <c r="BE20" s="8"/>
      <c r="BF20" s="8"/>
      <c r="BG20" s="8"/>
      <c r="BH20" s="8"/>
      <c r="BI20" s="8"/>
      <c r="BU20" s="514">
        <f>AnalysisChart2[[#This Row],[Kosten]]</f>
        <v>5.5660995337293304</v>
      </c>
      <c r="BV20" s="540">
        <f>AnalysisChart2[[#This Row],[Kosten]]</f>
        <v>5.5660995337293304</v>
      </c>
      <c r="BW20" s="540">
        <f>AnalysisChart2[[#This Row],[Kosten]]</f>
        <v>5.5660995337293304</v>
      </c>
      <c r="BX20" s="540">
        <f>AnalysisChart2[[#This Row],[Kosten]]</f>
        <v>5.5660995337293304</v>
      </c>
      <c r="BY20" s="543"/>
      <c r="CA20" s="543"/>
      <c r="CB20" s="537"/>
      <c r="CE20" s="554"/>
      <c r="CF20" s="543"/>
    </row>
    <row r="21" spans="2:84">
      <c r="B21" s="575">
        <v>19</v>
      </c>
      <c r="C21" s="581" t="s">
        <v>168</v>
      </c>
      <c r="D21" s="570">
        <f>5.56609953372933/1*1</f>
        <v>5.5660995337293304</v>
      </c>
      <c r="E21" s="595" t="s">
        <v>142</v>
      </c>
      <c r="F21" s="209"/>
      <c r="G21" s="536" t="str">
        <f>IF(COUNTA(H19,H18,H14,H13,H12,H11,H7)&gt;0,"S","+")</f>
        <v>S</v>
      </c>
      <c r="H21" s="537" t="s">
        <v>131</v>
      </c>
      <c r="I21" s="557" t="s">
        <v>155</v>
      </c>
      <c r="J21" s="916">
        <f>$D$19</f>
        <v>0</v>
      </c>
      <c r="K21" s="498">
        <v>3</v>
      </c>
      <c r="L21" s="548">
        <f t="shared" si="0"/>
        <v>19</v>
      </c>
      <c r="M21" s="8"/>
      <c r="N21" s="8"/>
      <c r="O21" s="8"/>
      <c r="P21" s="8"/>
      <c r="AE21" s="549">
        <f>AnalysisChart1[[#This Row],[Kosten]]</f>
        <v>0</v>
      </c>
      <c r="AF21" s="540">
        <f>AnalysisChart1[[#This Row],[Kosten]]</f>
        <v>0</v>
      </c>
      <c r="AG21" s="540">
        <f>AnalysisChart1[[#This Row],[Kosten]]</f>
        <v>0</v>
      </c>
      <c r="AH21" s="540">
        <f>AnalysisChart1[[#This Row],[Kosten]]</f>
        <v>0</v>
      </c>
      <c r="AI21" s="540">
        <f>AnalysisChart1[[#This Row],[Kosten]]</f>
        <v>0</v>
      </c>
      <c r="AJ21" s="540">
        <f>AnalysisChart1[[#This Row],[Kosten]]</f>
        <v>0</v>
      </c>
      <c r="AK21" s="540">
        <f>AnalysisChart1[[#This Row],[Kosten]]</f>
        <v>0</v>
      </c>
      <c r="AL21" s="544"/>
      <c r="AM21" s="540"/>
      <c r="AN21" s="540"/>
      <c r="AO21" s="540"/>
      <c r="AP21" s="540"/>
      <c r="AQ21" s="540"/>
      <c r="AR21" s="540"/>
      <c r="AS21" s="540"/>
      <c r="AT21" s="540"/>
      <c r="AU21" s="540"/>
      <c r="AV21" s="540"/>
      <c r="AW21" s="543"/>
      <c r="AY21" s="536"/>
      <c r="AZ21" s="537"/>
      <c r="BA21" s="495" t="s">
        <v>173</v>
      </c>
      <c r="BB21" s="499">
        <f>$D$22</f>
        <v>0.11132199067458701</v>
      </c>
      <c r="BC21" s="496">
        <v>4</v>
      </c>
      <c r="BD21" s="539">
        <f t="shared" si="1"/>
        <v>19</v>
      </c>
      <c r="BE21" s="8"/>
      <c r="BF21" s="8"/>
      <c r="BG21" s="8"/>
      <c r="BH21" s="8"/>
      <c r="BI21" s="8"/>
      <c r="BV21" s="514">
        <f>AnalysisChart2[[#This Row],[Kosten]]</f>
        <v>0.11132199067458701</v>
      </c>
      <c r="BW21" s="540">
        <f>AnalysisChart2[[#This Row],[Kosten]]</f>
        <v>0.11132199067458701</v>
      </c>
      <c r="BX21" s="540">
        <f>AnalysisChart2[[#This Row],[Kosten]]</f>
        <v>0.11132199067458701</v>
      </c>
      <c r="BY21" s="543"/>
      <c r="CA21" s="543"/>
      <c r="CB21" s="537"/>
      <c r="CE21" s="554"/>
      <c r="CF21" s="543"/>
    </row>
    <row r="22" spans="2:84">
      <c r="B22" s="575">
        <v>20</v>
      </c>
      <c r="C22" s="582" t="s">
        <v>1393</v>
      </c>
      <c r="D22" s="570">
        <f>0.111321990674587/1*1</f>
        <v>0.11132199067458701</v>
      </c>
      <c r="E22" s="596" t="s">
        <v>321</v>
      </c>
      <c r="F22" s="209"/>
      <c r="G22" s="536" t="s">
        <v>131</v>
      </c>
      <c r="H22" s="537" t="s">
        <v>131</v>
      </c>
      <c r="I22" s="497" t="s">
        <v>168</v>
      </c>
      <c r="J22" s="912">
        <f>$D$20</f>
        <v>0</v>
      </c>
      <c r="K22" s="496">
        <v>4</v>
      </c>
      <c r="L22" s="558">
        <f t="shared" si="0"/>
        <v>20</v>
      </c>
      <c r="M22" s="8"/>
      <c r="N22" s="8"/>
      <c r="O22" s="8"/>
      <c r="P22" s="8"/>
      <c r="AF22" s="514">
        <f>AnalysisChart1[[#This Row],[Kosten]]</f>
        <v>0</v>
      </c>
      <c r="AG22" s="540">
        <f>AnalysisChart1[[#This Row],[Kosten]]</f>
        <v>0</v>
      </c>
      <c r="AH22" s="540">
        <f>AnalysisChart1[[#This Row],[Kosten]]</f>
        <v>0</v>
      </c>
      <c r="AI22" s="540">
        <f>AnalysisChart1[[#This Row],[Kosten]]</f>
        <v>0</v>
      </c>
      <c r="AJ22" s="533"/>
      <c r="AK22" s="544"/>
      <c r="AL22" s="544"/>
      <c r="AM22" s="540"/>
      <c r="AN22" s="540"/>
      <c r="AO22" s="540"/>
      <c r="AP22" s="540"/>
      <c r="AQ22" s="540"/>
      <c r="AR22" s="540"/>
      <c r="AS22" s="540"/>
      <c r="AT22" s="540"/>
      <c r="AU22" s="540"/>
      <c r="AV22" s="540"/>
      <c r="AW22" s="543"/>
      <c r="AY22" s="536"/>
      <c r="AZ22" s="537"/>
      <c r="BA22" s="495" t="s">
        <v>283</v>
      </c>
      <c r="BB22" s="499">
        <f>$D$23</f>
        <v>4.5198565207434503E-2</v>
      </c>
      <c r="BC22" s="496">
        <v>4</v>
      </c>
      <c r="BD22" s="539">
        <f>ROW()-ROW($L$2)</f>
        <v>20</v>
      </c>
      <c r="BE22" s="8"/>
      <c r="BF22" s="8"/>
      <c r="BG22" s="8"/>
      <c r="BH22" s="8"/>
      <c r="BI22" s="8"/>
      <c r="BW22" s="514">
        <f>AnalysisChart2[[#This Row],[Kosten]]</f>
        <v>4.5198565207434503E-2</v>
      </c>
      <c r="BX22" s="540">
        <f>AnalysisChart2[[#This Row],[Kosten]]</f>
        <v>4.5198565207434503E-2</v>
      </c>
      <c r="BY22" s="543"/>
      <c r="CA22" s="543"/>
      <c r="CB22" s="537"/>
      <c r="CE22" s="554"/>
      <c r="CF22" s="543"/>
    </row>
    <row r="23" spans="2:84">
      <c r="B23" s="575">
        <v>21</v>
      </c>
      <c r="C23" s="582" t="s">
        <v>283</v>
      </c>
      <c r="D23" s="570">
        <f>0.0451985652074345/1*1</f>
        <v>4.5198565207434503E-2</v>
      </c>
      <c r="E23" s="596" t="s">
        <v>319</v>
      </c>
      <c r="F23" s="209"/>
      <c r="G23" s="536" t="s">
        <v>131</v>
      </c>
      <c r="H23" s="537" t="s">
        <v>131</v>
      </c>
      <c r="I23" s="559" t="s">
        <v>168</v>
      </c>
      <c r="J23" s="914">
        <f>$D$21</f>
        <v>5.5660995337293304</v>
      </c>
      <c r="K23" s="496">
        <v>4</v>
      </c>
      <c r="L23" s="556">
        <f>L22</f>
        <v>20</v>
      </c>
      <c r="M23" s="8"/>
      <c r="N23" s="8"/>
      <c r="O23" s="8"/>
      <c r="P23" s="8"/>
      <c r="AF23" s="514">
        <f>AnalysisChart1[[#This Row],[Kosten]]</f>
        <v>5.5660995337293304</v>
      </c>
      <c r="AG23" s="540">
        <f>AnalysisChart1[[#This Row],[Kosten]]</f>
        <v>5.5660995337293304</v>
      </c>
      <c r="AH23" s="540">
        <f>AnalysisChart1[[#This Row],[Kosten]]</f>
        <v>5.5660995337293304</v>
      </c>
      <c r="AI23" s="540">
        <f>AnalysisChart1[[#This Row],[Kosten]]</f>
        <v>5.5660995337293304</v>
      </c>
      <c r="AJ23" s="544"/>
      <c r="AK23" s="544"/>
      <c r="AL23" s="544"/>
      <c r="AR23" s="540"/>
      <c r="AS23" s="540"/>
      <c r="AT23" s="540"/>
      <c r="AU23" s="540"/>
      <c r="AV23" s="540"/>
      <c r="AW23" s="543"/>
      <c r="AY23" s="536" t="str">
        <f>IF(AND(ROUND(AnalysisChart2[[#This Row],[Kosten]],4)&gt;0,COUNTIF(AZ19:AZ22,"+")&gt;0),"x","-")</f>
        <v>-</v>
      </c>
      <c r="AZ23" s="537" t="str">
        <f>IF(AnalysisChart2[[#This Row],[ ]]&lt;&gt;"",AnalysisChart2[[#This Row],[ ]],"")</f>
        <v>-</v>
      </c>
      <c r="BA23" s="500" t="s">
        <v>682</v>
      </c>
      <c r="BB23" s="493">
        <f>BB24-SUM(BB19:BB22)</f>
        <v>0</v>
      </c>
      <c r="BC23" s="496">
        <v>4</v>
      </c>
      <c r="BD23" s="539">
        <f t="shared" si="1"/>
        <v>21</v>
      </c>
      <c r="BE23" s="8"/>
      <c r="BF23" s="8"/>
      <c r="BG23" s="8"/>
      <c r="BH23" s="8"/>
      <c r="BI23" s="8"/>
      <c r="BX23" s="514">
        <f>AnalysisChart2[[#This Row],[Kosten]]</f>
        <v>0</v>
      </c>
      <c r="BY23" s="543"/>
      <c r="CA23" s="543"/>
      <c r="CB23" s="537"/>
      <c r="CE23" s="554"/>
      <c r="CF23" s="543"/>
    </row>
    <row r="24" spans="2:84">
      <c r="B24" s="575">
        <v>22</v>
      </c>
      <c r="C24" s="582" t="s">
        <v>152</v>
      </c>
      <c r="D24" s="570">
        <f>5.72262008961135/1*1</f>
        <v>5.7226200896113504</v>
      </c>
      <c r="E24" s="596" t="s">
        <v>318</v>
      </c>
      <c r="F24" s="209"/>
      <c r="G24" s="536" t="s">
        <v>131</v>
      </c>
      <c r="H24" s="537" t="s">
        <v>131</v>
      </c>
      <c r="I24" s="497" t="s">
        <v>1393</v>
      </c>
      <c r="J24" s="912">
        <f>$D$22</f>
        <v>0.11132199067458701</v>
      </c>
      <c r="K24" s="496">
        <v>4</v>
      </c>
      <c r="L24" s="548">
        <f t="shared" si="0"/>
        <v>22</v>
      </c>
      <c r="M24" s="8"/>
      <c r="N24" s="8"/>
      <c r="O24" s="8"/>
      <c r="P24" s="8"/>
      <c r="AG24" s="514">
        <f>AnalysisChart1[[#This Row],[Kosten]]</f>
        <v>0.11132199067458701</v>
      </c>
      <c r="AH24" s="540">
        <f>AnalysisChart1[[#This Row],[Kosten]]</f>
        <v>0.11132199067458701</v>
      </c>
      <c r="AI24" s="540">
        <f>AnalysisChart1[[#This Row],[Kosten]]</f>
        <v>0.11132199067458701</v>
      </c>
      <c r="AJ24" s="544"/>
      <c r="AK24" s="544"/>
      <c r="AL24" s="544"/>
      <c r="AM24" s="540"/>
      <c r="AN24" s="540"/>
      <c r="AO24" s="540"/>
      <c r="AP24" s="540"/>
      <c r="AQ24" s="540"/>
      <c r="AR24" s="540"/>
      <c r="AS24" s="540"/>
      <c r="AT24" s="540"/>
      <c r="AU24" s="540"/>
      <c r="AV24" s="540"/>
      <c r="AW24" s="543"/>
      <c r="AY24" s="536" t="str">
        <f>IF(COUNTIF(AZ19:AZ22,"+")&gt;0,"S","+")</f>
        <v>+</v>
      </c>
      <c r="AZ24" s="537" t="s">
        <v>131</v>
      </c>
      <c r="BA24" s="501" t="s">
        <v>694</v>
      </c>
      <c r="BB24" s="493">
        <f>SUM($D$20:$D$23)</f>
        <v>5.7226200896113522</v>
      </c>
      <c r="BC24" s="496">
        <v>3</v>
      </c>
      <c r="BD24" s="539">
        <f>ROW()-ROW($L$2)</f>
        <v>22</v>
      </c>
      <c r="BE24" s="8"/>
      <c r="BF24" s="8"/>
      <c r="BG24" s="8"/>
      <c r="BH24" s="8"/>
      <c r="BI24" s="8"/>
      <c r="BY24" s="549">
        <f>AnalysisChart2[[#This Row],[Kosten]]</f>
        <v>5.7226200896113522</v>
      </c>
      <c r="BZ24" s="540">
        <f>AnalysisChart2[[#This Row],[Kosten]]</f>
        <v>5.7226200896113522</v>
      </c>
      <c r="CA24" s="543"/>
      <c r="CB24" s="537"/>
      <c r="CE24" s="554"/>
      <c r="CF24" s="543"/>
    </row>
    <row r="25" spans="2:84">
      <c r="B25" s="575">
        <v>23</v>
      </c>
      <c r="C25" s="582" t="s">
        <v>169</v>
      </c>
      <c r="D25" s="570">
        <f>5.72262008961135/1*1</f>
        <v>5.7226200896113504</v>
      </c>
      <c r="E25" s="596" t="s">
        <v>317</v>
      </c>
      <c r="F25" s="209"/>
      <c r="G25" s="536" t="s">
        <v>131</v>
      </c>
      <c r="H25" s="537" t="s">
        <v>131</v>
      </c>
      <c r="I25" s="497" t="s">
        <v>283</v>
      </c>
      <c r="J25" s="912">
        <f>$D$23</f>
        <v>4.5198565207434503E-2</v>
      </c>
      <c r="K25" s="496">
        <v>4</v>
      </c>
      <c r="L25" s="548">
        <f t="shared" si="0"/>
        <v>23</v>
      </c>
      <c r="M25" s="8"/>
      <c r="N25" s="8"/>
      <c r="O25" s="8"/>
      <c r="P25" s="8"/>
      <c r="AH25" s="514">
        <f>AnalysisChart1[[#This Row],[Kosten]]</f>
        <v>4.5198565207434503E-2</v>
      </c>
      <c r="AI25" s="540">
        <f>AnalysisChart1[[#This Row],[Kosten]]</f>
        <v>4.5198565207434503E-2</v>
      </c>
      <c r="AJ25" s="544"/>
      <c r="AK25" s="544"/>
      <c r="AL25" s="544"/>
      <c r="AM25" s="540"/>
      <c r="AN25" s="540"/>
      <c r="AO25" s="540"/>
      <c r="AP25" s="540"/>
      <c r="AQ25" s="540"/>
      <c r="AR25" s="540"/>
      <c r="AS25" s="540"/>
      <c r="AT25" s="540"/>
      <c r="AU25" s="540"/>
      <c r="AV25" s="540"/>
      <c r="AW25" s="543"/>
      <c r="AY25" s="536" t="str">
        <f>IF(AND(ROUND(AnalysisChart2[[#This Row],[Kosten]],4)&gt;0,COUNTA(AZ12,AZ18,AZ24)&gt;0),"x","-")</f>
        <v>-</v>
      </c>
      <c r="AZ25" s="537" t="str">
        <f>IF(AnalysisChart2[[#This Row],[ ]]&lt;&gt;"",AnalysisChart2[[#This Row],[ ]],"")</f>
        <v>-</v>
      </c>
      <c r="BA25" s="503" t="s">
        <v>682</v>
      </c>
      <c r="BB25" s="493">
        <f>BB26-SUMIF(BC$2:INDEX(BC:BC,ROW()-1),AnalysisChart2[[#This Row],[+]],BB$2:INDEX(BB:BB,ROW()-1))</f>
        <v>0</v>
      </c>
      <c r="BC25" s="496">
        <v>3</v>
      </c>
      <c r="BD25" s="539">
        <f t="shared" si="1"/>
        <v>23</v>
      </c>
      <c r="BE25" s="8"/>
      <c r="BF25" s="8"/>
      <c r="BG25" s="8"/>
      <c r="BH25" s="8"/>
      <c r="BI25" s="8"/>
      <c r="BZ25" s="514">
        <f>AnalysisChart2[[#This Row],[Kosten]]</f>
        <v>0</v>
      </c>
      <c r="CA25" s="543"/>
      <c r="CB25" s="537"/>
      <c r="CE25" s="554"/>
      <c r="CF25" s="543"/>
    </row>
    <row r="26" spans="2:84">
      <c r="B26" s="575">
        <v>24</v>
      </c>
      <c r="C26" s="582" t="s">
        <v>174</v>
      </c>
      <c r="D26" s="570"/>
      <c r="E26" s="596" t="s">
        <v>315</v>
      </c>
      <c r="F26" s="209"/>
      <c r="G26" s="536" t="str">
        <f>IF(AND(ROUND(AnalysisChart1[[#This Row],[Kosten]],4)&gt;0,COUNTIF(H22:H25,"+")&gt;0),"x","-")</f>
        <v>-</v>
      </c>
      <c r="H26" s="537" t="str">
        <f>IF(AnalysisChart1[[#This Row],[ ]]&lt;&gt;"",AnalysisChart1[[#This Row],[ ]],"")</f>
        <v>-</v>
      </c>
      <c r="I26" s="500" t="s">
        <v>682</v>
      </c>
      <c r="J26" s="911" cm="1">
        <f t="array" ref="J26">J27-SUMPRODUCT((H22:H25="+")*1,J22:J25)</f>
        <v>0</v>
      </c>
      <c r="K26" s="496">
        <v>4</v>
      </c>
      <c r="L26" s="539">
        <f>ROW()-ROW($L$2)</f>
        <v>24</v>
      </c>
      <c r="M26" s="8"/>
      <c r="N26" s="8"/>
      <c r="O26" s="8"/>
      <c r="P26" s="8"/>
      <c r="AI26" s="514">
        <f>AnalysisChart1[[#This Row],[Kosten]]</f>
        <v>0</v>
      </c>
      <c r="AJ26" s="543"/>
      <c r="AK26" s="543"/>
      <c r="AL26" s="543"/>
      <c r="AR26" s="540"/>
      <c r="AS26" s="540"/>
      <c r="AT26" s="540"/>
      <c r="AU26" s="540"/>
      <c r="AV26" s="540"/>
      <c r="AW26" s="543"/>
      <c r="AY26" s="536" t="str">
        <f>IF(COUNTA(AZ12,AZ18,AZ24)&gt;0,"S","+")</f>
        <v>S</v>
      </c>
      <c r="AZ26" s="537" t="s">
        <v>131</v>
      </c>
      <c r="BA26" s="504" t="s">
        <v>693</v>
      </c>
      <c r="BB26" s="493">
        <f>SUM(BB12,BB18,BB24)</f>
        <v>5.7226200896113522</v>
      </c>
      <c r="BC26" s="496">
        <v>2</v>
      </c>
      <c r="BD26" s="539">
        <f t="shared" si="1"/>
        <v>24</v>
      </c>
      <c r="BE26" s="8"/>
      <c r="BF26" s="8"/>
      <c r="BG26" s="8"/>
      <c r="BH26" s="8"/>
      <c r="BI26" s="8"/>
      <c r="CA26" s="549">
        <f>AnalysisChart2[[#This Row],[Kosten]]</f>
        <v>5.7226200896113522</v>
      </c>
      <c r="CB26" s="540">
        <f>AnalysisChart2[[#This Row],[Kosten]]</f>
        <v>5.7226200896113522</v>
      </c>
      <c r="CC26" s="540">
        <f>AnalysisChart2[[#This Row],[Kosten]]</f>
        <v>5.7226200896113522</v>
      </c>
      <c r="CD26" s="540">
        <f>AnalysisChart2[[#This Row],[Kosten]]</f>
        <v>5.7226200896113522</v>
      </c>
      <c r="CE26" s="540">
        <f>AnalysisChart2[[#This Row],[Kosten]]</f>
        <v>5.7226200896113522</v>
      </c>
      <c r="CF26" s="543"/>
    </row>
    <row r="27" spans="2:84">
      <c r="B27" s="575">
        <v>25</v>
      </c>
      <c r="C27" s="582" t="s">
        <v>175</v>
      </c>
      <c r="D27" s="570"/>
      <c r="E27" s="596" t="s">
        <v>313</v>
      </c>
      <c r="F27" s="209"/>
      <c r="G27" s="536" t="str">
        <f>IF(COUNTIF(H22:H25,"+")&gt;0,"S","+")</f>
        <v>S</v>
      </c>
      <c r="H27" s="537" t="s">
        <v>131</v>
      </c>
      <c r="I27" s="557" t="s">
        <v>152</v>
      </c>
      <c r="J27" s="915">
        <f>$D$24</f>
        <v>5.7226200896113504</v>
      </c>
      <c r="K27" s="498">
        <v>3</v>
      </c>
      <c r="L27" s="548">
        <f t="shared" si="0"/>
        <v>25</v>
      </c>
      <c r="M27" s="8"/>
      <c r="N27" s="8"/>
      <c r="O27" s="8"/>
      <c r="P27" s="8"/>
      <c r="AJ27" s="549">
        <f>AnalysisChart1[[#This Row],[Kosten]]</f>
        <v>5.7226200896113504</v>
      </c>
      <c r="AK27" s="540">
        <f>AnalysisChart1[[#This Row],[Kosten]]</f>
        <v>5.7226200896113504</v>
      </c>
      <c r="AL27" s="544"/>
      <c r="AM27" s="540"/>
      <c r="AN27" s="540"/>
      <c r="AO27" s="540"/>
      <c r="AP27" s="540"/>
      <c r="AQ27" s="540"/>
      <c r="AR27" s="540"/>
      <c r="AS27" s="540"/>
      <c r="AT27" s="540"/>
      <c r="AU27" s="540"/>
      <c r="AV27" s="540"/>
      <c r="AW27" s="543"/>
      <c r="AY27" s="536" t="s">
        <v>131</v>
      </c>
      <c r="AZ27" s="537"/>
      <c r="BA27" s="505" t="s">
        <v>210</v>
      </c>
      <c r="BB27" s="493">
        <f>SUM($D$26:$D$28)</f>
        <v>0.228904803584454</v>
      </c>
      <c r="BC27" s="496">
        <v>2</v>
      </c>
      <c r="BD27" s="539">
        <f t="shared" si="1"/>
        <v>25</v>
      </c>
      <c r="BE27" s="8"/>
      <c r="BF27" s="8"/>
      <c r="BG27" s="8"/>
      <c r="BH27" s="8"/>
      <c r="BI27" s="8"/>
      <c r="CB27" s="514">
        <f>AnalysisChart2[[#This Row],[Kosten]]</f>
        <v>0.228904803584454</v>
      </c>
      <c r="CC27" s="540">
        <f>AnalysisChart2[[#This Row],[Kosten]]</f>
        <v>0.228904803584454</v>
      </c>
      <c r="CD27" s="540">
        <f>AnalysisChart2[[#This Row],[Kosten]]</f>
        <v>0.228904803584454</v>
      </c>
      <c r="CE27" s="540">
        <f>AnalysisChart2[[#This Row],[Kosten]]</f>
        <v>0.228904803584454</v>
      </c>
      <c r="CF27" s="543"/>
    </row>
    <row r="28" spans="2:84">
      <c r="B28" s="575">
        <v>26</v>
      </c>
      <c r="C28" s="582" t="s">
        <v>210</v>
      </c>
      <c r="D28" s="570">
        <f>0.228904803584454/1*1</f>
        <v>0.228904803584454</v>
      </c>
      <c r="E28" s="596" t="s">
        <v>311</v>
      </c>
      <c r="F28" s="209"/>
      <c r="G28" s="536" t="str">
        <f>IF(AND(ROUND(AnalysisChart1[[#This Row],[Kosten]],4)&gt;0,COUNTA(H27,H21)&gt;0),"x","-")</f>
        <v>-</v>
      </c>
      <c r="H28" s="537" t="str">
        <f>IF(AnalysisChart1[[#This Row],[ ]]&lt;&gt;"",AnalysisChart1[[#This Row],[ ]],"")</f>
        <v>-</v>
      </c>
      <c r="I28" s="500" t="s">
        <v>682</v>
      </c>
      <c r="J28" s="911">
        <f>J29-SUMIF(K$2:INDEX(K:K,ROW()-1),AnalysisChart1[[#This Row],[+]],J$2:INDEX(J:J,ROW()-1))</f>
        <v>0</v>
      </c>
      <c r="K28" s="496">
        <v>3</v>
      </c>
      <c r="L28" s="539">
        <f>ROW()-ROW($L$2)</f>
        <v>26</v>
      </c>
      <c r="M28" s="8"/>
      <c r="N28" s="8"/>
      <c r="O28" s="8"/>
      <c r="P28" s="8"/>
      <c r="AK28" s="514">
        <f>AnalysisChart1[[#This Row],[Kosten]]</f>
        <v>0</v>
      </c>
      <c r="AL28" s="543"/>
      <c r="AR28" s="540"/>
      <c r="AS28" s="540"/>
      <c r="AT28" s="540"/>
      <c r="AU28" s="540"/>
      <c r="AV28" s="540"/>
      <c r="AW28" s="543"/>
      <c r="AY28" s="536" t="s">
        <v>131</v>
      </c>
      <c r="AZ28" s="537"/>
      <c r="BA28" s="505" t="s">
        <v>209</v>
      </c>
      <c r="BB28" s="493">
        <f>SUM($D$29:$D$31)</f>
        <v>0.33396597202375999</v>
      </c>
      <c r="BC28" s="496">
        <v>2</v>
      </c>
      <c r="BD28" s="539">
        <f>ROW()-ROW($L$2)</f>
        <v>26</v>
      </c>
      <c r="BE28" s="8"/>
      <c r="BF28" s="8"/>
      <c r="BG28" s="8"/>
      <c r="BH28" s="8"/>
      <c r="BI28" s="8"/>
      <c r="CC28" s="514">
        <f>AnalysisChart2[[#This Row],[Kosten]]</f>
        <v>0.33396597202375999</v>
      </c>
      <c r="CD28" s="540">
        <f>AnalysisChart2[[#This Row],[Kosten]]</f>
        <v>0.33396597202375999</v>
      </c>
      <c r="CE28" s="540">
        <f>AnalysisChart2[[#This Row],[Kosten]]</f>
        <v>0.33396597202375999</v>
      </c>
      <c r="CF28" s="543"/>
    </row>
    <row r="29" spans="2:84">
      <c r="B29" s="575">
        <v>27</v>
      </c>
      <c r="C29" s="582" t="s">
        <v>177</v>
      </c>
      <c r="D29" s="570"/>
      <c r="E29" s="596" t="s">
        <v>308</v>
      </c>
      <c r="F29" s="209"/>
      <c r="G29" s="536" t="str">
        <f>IF(COUNTA(H27,H21)&gt;0,"S","+")</f>
        <v>S</v>
      </c>
      <c r="H29" s="537" t="s">
        <v>131</v>
      </c>
      <c r="I29" s="560" t="s">
        <v>169</v>
      </c>
      <c r="J29" s="561">
        <f>$D$25</f>
        <v>5.7226200896113504</v>
      </c>
      <c r="K29" s="498">
        <v>2</v>
      </c>
      <c r="L29" s="548">
        <f t="shared" si="0"/>
        <v>27</v>
      </c>
      <c r="M29" s="8"/>
      <c r="N29" s="8"/>
      <c r="O29" s="8"/>
      <c r="P29" s="8"/>
      <c r="AL29" s="549">
        <f>AnalysisChart1[[#This Row],[Kosten]]</f>
        <v>5.7226200896113504</v>
      </c>
      <c r="AM29" s="540">
        <f>AnalysisChart1[[#This Row],[Kosten]]</f>
        <v>5.7226200896113504</v>
      </c>
      <c r="AN29" s="540">
        <f>AnalysisChart1[[#This Row],[Kosten]]</f>
        <v>5.7226200896113504</v>
      </c>
      <c r="AO29" s="540">
        <f>AnalysisChart1[[#This Row],[Kosten]]</f>
        <v>5.7226200896113504</v>
      </c>
      <c r="AP29" s="540">
        <f>AnalysisChart1[[#This Row],[Kosten]]</f>
        <v>5.7226200896113504</v>
      </c>
      <c r="AQ29" s="540">
        <f>AnalysisChart1[[#This Row],[Kosten]]</f>
        <v>5.7226200896113504</v>
      </c>
      <c r="AR29" s="540">
        <f>AnalysisChart1[[#This Row],[Kosten]]</f>
        <v>5.7226200896113504</v>
      </c>
      <c r="AS29" s="540">
        <f>AnalysisChart1[[#This Row],[Kosten]]</f>
        <v>5.7226200896113504</v>
      </c>
      <c r="AT29" s="540">
        <f>AnalysisChart1[[#This Row],[Kosten]]</f>
        <v>5.7226200896113504</v>
      </c>
      <c r="AU29" s="540">
        <f>AnalysisChart1[[#This Row],[Kosten]]</f>
        <v>5.7226200896113504</v>
      </c>
      <c r="AV29" s="540">
        <f>AnalysisChart1[[#This Row],[Kosten]]</f>
        <v>5.7226200896113504</v>
      </c>
      <c r="AW29" s="543"/>
      <c r="AY29" s="536"/>
      <c r="AZ29" s="537"/>
      <c r="BA29" s="505" t="s">
        <v>667</v>
      </c>
      <c r="BB29" s="499">
        <f>$D$32</f>
        <v>0</v>
      </c>
      <c r="BC29" s="496">
        <v>2</v>
      </c>
      <c r="BD29" s="539">
        <f t="shared" si="1"/>
        <v>27</v>
      </c>
      <c r="BE29" s="8"/>
      <c r="BF29" s="8"/>
      <c r="BG29" s="8"/>
      <c r="BH29" s="8"/>
      <c r="BI29" s="8"/>
      <c r="CD29" s="514">
        <f>AnalysisChart2[[#This Row],[Kosten]]</f>
        <v>0</v>
      </c>
      <c r="CE29" s="540">
        <f>AnalysisChart2[[#This Row],[Kosten]]</f>
        <v>0</v>
      </c>
      <c r="CF29" s="543"/>
    </row>
    <row r="30" spans="2:84">
      <c r="B30" s="575">
        <v>28</v>
      </c>
      <c r="C30" s="582" t="s">
        <v>176</v>
      </c>
      <c r="D30" s="570"/>
      <c r="E30" s="596" t="s">
        <v>306</v>
      </c>
      <c r="F30" s="209"/>
      <c r="G30" s="536">
        <f>Calculation!$BD$2</f>
        <v>-1</v>
      </c>
      <c r="H30" s="537" t="s">
        <v>131</v>
      </c>
      <c r="I30" s="562" t="s">
        <v>174</v>
      </c>
      <c r="J30" s="912">
        <f>$D$26</f>
        <v>0</v>
      </c>
      <c r="K30" s="496">
        <v>3</v>
      </c>
      <c r="L30" s="548">
        <f t="shared" si="0"/>
        <v>28</v>
      </c>
      <c r="M30" s="8"/>
      <c r="N30" s="8"/>
      <c r="O30" s="8"/>
      <c r="P30" s="8"/>
      <c r="AM30" s="514">
        <f>AnalysisChart1[[#This Row],[Kosten]]</f>
        <v>0</v>
      </c>
      <c r="AN30" s="540">
        <f>AnalysisChart1[[#This Row],[Kosten]]</f>
        <v>0</v>
      </c>
      <c r="AO30" s="540">
        <f>AnalysisChart1[[#This Row],[Kosten]]</f>
        <v>0</v>
      </c>
      <c r="AP30" s="540">
        <f>AnalysisChart1[[#This Row],[Kosten]]</f>
        <v>0</v>
      </c>
      <c r="AQ30" s="540">
        <f>AnalysisChart1[[#This Row],[Kosten]]</f>
        <v>0</v>
      </c>
      <c r="AR30" s="540">
        <f>AnalysisChart1[[#This Row],[Kosten]]</f>
        <v>0</v>
      </c>
      <c r="AS30" s="540">
        <f>AnalysisChart1[[#This Row],[Kosten]]</f>
        <v>0</v>
      </c>
      <c r="AT30" s="534"/>
      <c r="AU30" s="540"/>
      <c r="AV30" s="540"/>
      <c r="AW30" s="543"/>
      <c r="AY30" s="536" t="str">
        <f>IF(ROUND(AnalysisChart2[[#This Row],[Kosten]],4)&gt;0,"x","-")</f>
        <v>-</v>
      </c>
      <c r="AZ30" s="537" t="str">
        <f>IF(AnalysisChart2[[#This Row],[ ]]&lt;&gt;"",AnalysisChart2[[#This Row],[ ]],"")</f>
        <v>-</v>
      </c>
      <c r="BA30" s="506" t="s">
        <v>682</v>
      </c>
      <c r="BB30" s="493">
        <f>BB32-SUMIF(BC$2:INDEX(BC:BC,ROW()-1),AnalysisChart2[[#This Row],[+]],BB$2:INDEX(BB:BB,ROW()-1))</f>
        <v>0</v>
      </c>
      <c r="BC30" s="496">
        <v>2</v>
      </c>
      <c r="BD30" s="539">
        <f>ROW()-ROW($L$2)</f>
        <v>28</v>
      </c>
      <c r="BE30" s="8"/>
      <c r="BF30" s="8"/>
      <c r="BG30" s="8"/>
      <c r="BH30" s="8"/>
      <c r="BI30" s="8"/>
      <c r="CE30" s="514">
        <f>AnalysisChart2[[#This Row],[Kosten]]</f>
        <v>0</v>
      </c>
      <c r="CF30" s="543"/>
    </row>
    <row r="31" spans="2:84">
      <c r="B31" s="575">
        <v>29</v>
      </c>
      <c r="C31" s="582" t="s">
        <v>209</v>
      </c>
      <c r="D31" s="570">
        <f>0.33396597202376/1*1</f>
        <v>0.33396597202375999</v>
      </c>
      <c r="E31" s="596" t="s">
        <v>304</v>
      </c>
      <c r="F31" s="209"/>
      <c r="G31" s="536">
        <f>Calculation!$BD$2</f>
        <v>-1</v>
      </c>
      <c r="H31" s="537" t="s">
        <v>131</v>
      </c>
      <c r="I31" s="562" t="s">
        <v>175</v>
      </c>
      <c r="J31" s="912">
        <f>$D$27</f>
        <v>0</v>
      </c>
      <c r="K31" s="496">
        <v>3</v>
      </c>
      <c r="L31" s="548">
        <f t="shared" si="0"/>
        <v>29</v>
      </c>
      <c r="M31" s="8"/>
      <c r="N31" s="8"/>
      <c r="O31" s="8"/>
      <c r="P31" s="8"/>
      <c r="AN31" s="514">
        <f>AnalysisChart1[[#This Row],[Kosten]]</f>
        <v>0</v>
      </c>
      <c r="AO31" s="540">
        <f>AnalysisChart1[[#This Row],[Kosten]]</f>
        <v>0</v>
      </c>
      <c r="AP31" s="540">
        <f>AnalysisChart1[[#This Row],[Kosten]]</f>
        <v>0</v>
      </c>
      <c r="AQ31" s="540">
        <f>AnalysisChart1[[#This Row],[Kosten]]</f>
        <v>0</v>
      </c>
      <c r="AR31" s="540">
        <f>AnalysisChart1[[#This Row],[Kosten]]</f>
        <v>0</v>
      </c>
      <c r="AS31" s="540">
        <f>AnalysisChart1[[#This Row],[Kosten]]</f>
        <v>0</v>
      </c>
      <c r="AT31" s="545"/>
      <c r="AU31" s="540"/>
      <c r="AV31" s="540"/>
      <c r="AW31" s="543"/>
      <c r="AY31" s="536" t="s">
        <v>38</v>
      </c>
      <c r="AZ31" s="537" t="s">
        <v>38</v>
      </c>
      <c r="BA31" s="507" t="s">
        <v>699</v>
      </c>
      <c r="BB31" s="508">
        <v>0</v>
      </c>
      <c r="BC31" s="496">
        <v>1</v>
      </c>
      <c r="BD31" s="556">
        <f>ROW()-ROW($L$2)</f>
        <v>29</v>
      </c>
      <c r="BE31" s="8"/>
      <c r="BF31" s="8"/>
      <c r="BG31" s="8"/>
      <c r="BH31" s="8"/>
      <c r="BI31" s="8"/>
      <c r="CF31" s="563">
        <f>AnalysisChart2[[#This Row],[Kosten]]</f>
        <v>0</v>
      </c>
    </row>
    <row r="32" spans="2:84">
      <c r="B32" s="575">
        <v>30</v>
      </c>
      <c r="C32" s="582" t="s">
        <v>667</v>
      </c>
      <c r="D32" s="570">
        <v>0</v>
      </c>
      <c r="E32" s="596" t="s">
        <v>301</v>
      </c>
      <c r="F32" s="209"/>
      <c r="G32" s="536" t="str">
        <f>Calculation!$BH$2</f>
        <v>B0</v>
      </c>
      <c r="H32" s="537" t="s">
        <v>131</v>
      </c>
      <c r="I32" s="562" t="s">
        <v>210</v>
      </c>
      <c r="J32" s="912">
        <f>$D$28</f>
        <v>0.228904803584454</v>
      </c>
      <c r="K32" s="496">
        <v>3</v>
      </c>
      <c r="L32" s="548">
        <f t="shared" si="0"/>
        <v>30</v>
      </c>
      <c r="M32" s="8"/>
      <c r="N32" s="8"/>
      <c r="O32" s="8"/>
      <c r="P32" s="8"/>
      <c r="AO32" s="514">
        <f>AnalysisChart1[[#This Row],[Kosten]]</f>
        <v>0.228904803584454</v>
      </c>
      <c r="AP32" s="540">
        <f>AnalysisChart1[[#This Row],[Kosten]]</f>
        <v>0.228904803584454</v>
      </c>
      <c r="AQ32" s="540">
        <f>AnalysisChart1[[#This Row],[Kosten]]</f>
        <v>0.228904803584454</v>
      </c>
      <c r="AR32" s="540">
        <f>AnalysisChart1[[#This Row],[Kosten]]</f>
        <v>0.228904803584454</v>
      </c>
      <c r="AS32" s="540">
        <f>AnalysisChart1[[#This Row],[Kosten]]</f>
        <v>0.228904803584454</v>
      </c>
      <c r="AT32" s="545"/>
      <c r="AU32" s="540"/>
      <c r="AV32" s="540"/>
      <c r="AW32" s="543"/>
      <c r="AY32" s="564" t="s">
        <v>273</v>
      </c>
      <c r="AZ32" s="565" t="s">
        <v>131</v>
      </c>
      <c r="BA32" s="509" t="s">
        <v>692</v>
      </c>
      <c r="BB32" s="510">
        <f>SUM(BB26:BB29)-$BB$31</f>
        <v>6.2854908652195665</v>
      </c>
      <c r="BC32" s="511">
        <v>1</v>
      </c>
      <c r="BD32" s="566">
        <f>BD31</f>
        <v>29</v>
      </c>
      <c r="BE32" s="567"/>
      <c r="BF32" s="567"/>
      <c r="BG32" s="567"/>
      <c r="BH32" s="567"/>
      <c r="BI32" s="567"/>
      <c r="BJ32" s="568"/>
      <c r="BK32" s="568"/>
      <c r="BL32" s="568"/>
      <c r="BM32" s="568"/>
      <c r="BN32" s="568"/>
      <c r="BO32" s="568"/>
      <c r="BP32" s="568"/>
      <c r="BQ32" s="568"/>
      <c r="BR32" s="568"/>
      <c r="BS32" s="568"/>
      <c r="BT32" s="568"/>
      <c r="BU32" s="568"/>
      <c r="BV32" s="568"/>
      <c r="BW32" s="568"/>
      <c r="BX32" s="568"/>
      <c r="BY32" s="568"/>
      <c r="BZ32" s="568"/>
      <c r="CA32" s="568"/>
      <c r="CB32" s="568"/>
      <c r="CC32" s="568"/>
      <c r="CD32" s="568"/>
      <c r="CE32" s="568"/>
      <c r="CF32" s="555">
        <f>AnalysisChart2[[#This Row],[Kosten]]</f>
        <v>6.2854908652195665</v>
      </c>
    </row>
    <row r="33" spans="2:53">
      <c r="B33" s="576">
        <v>31</v>
      </c>
      <c r="C33" s="584" t="s">
        <v>157</v>
      </c>
      <c r="D33" s="591">
        <f>6.28549086521956/1*1</f>
        <v>6.2854908652195602</v>
      </c>
      <c r="E33" s="598" t="s">
        <v>299</v>
      </c>
      <c r="F33" s="209"/>
      <c r="G33" s="536">
        <f>Calculation!$BK$2</f>
        <v>-1</v>
      </c>
      <c r="H33" s="537" t="s">
        <v>131</v>
      </c>
      <c r="I33" s="562" t="s">
        <v>177</v>
      </c>
      <c r="J33" s="912">
        <f>$D$29</f>
        <v>0</v>
      </c>
      <c r="K33" s="496">
        <v>3</v>
      </c>
      <c r="L33" s="548">
        <f t="shared" si="0"/>
        <v>31</v>
      </c>
      <c r="M33" s="8"/>
      <c r="N33" s="8"/>
      <c r="O33" s="8"/>
      <c r="P33" s="8"/>
      <c r="AP33" s="514">
        <f>AnalysisChart1[[#This Row],[Kosten]]</f>
        <v>0</v>
      </c>
      <c r="AQ33" s="540">
        <f>AnalysisChart1[[#This Row],[Kosten]]</f>
        <v>0</v>
      </c>
      <c r="AR33" s="540">
        <f>AnalysisChart1[[#This Row],[Kosten]]</f>
        <v>0</v>
      </c>
      <c r="AS33" s="540">
        <f>AnalysisChart1[[#This Row],[Kosten]]</f>
        <v>0</v>
      </c>
      <c r="AT33" s="545"/>
      <c r="AU33" s="540"/>
      <c r="AV33" s="540"/>
      <c r="AW33" s="543"/>
    </row>
    <row r="34" spans="2:53">
      <c r="B34" s="577"/>
      <c r="C34" s="585"/>
      <c r="D34" s="592"/>
      <c r="E34" s="209"/>
      <c r="F34" s="209"/>
      <c r="G34" s="536">
        <f>Calculation!$BK$2</f>
        <v>-1</v>
      </c>
      <c r="H34" s="537" t="s">
        <v>131</v>
      </c>
      <c r="I34" s="562" t="s">
        <v>176</v>
      </c>
      <c r="J34" s="912">
        <f>$D$30</f>
        <v>0</v>
      </c>
      <c r="K34" s="496">
        <v>3</v>
      </c>
      <c r="L34" s="548">
        <f t="shared" si="0"/>
        <v>32</v>
      </c>
      <c r="M34" s="8"/>
      <c r="N34" s="8"/>
      <c r="O34" s="8"/>
      <c r="P34" s="8"/>
      <c r="AQ34" s="514">
        <f>AnalysisChart1[[#This Row],[Kosten]]</f>
        <v>0</v>
      </c>
      <c r="AR34" s="540">
        <f>AnalysisChart1[[#This Row],[Kosten]]</f>
        <v>0</v>
      </c>
      <c r="AS34" s="540">
        <f>AnalysisChart1[[#This Row],[Kosten]]</f>
        <v>0</v>
      </c>
      <c r="AT34" s="545"/>
      <c r="AU34" s="540"/>
      <c r="AV34" s="540"/>
      <c r="AW34" s="543"/>
    </row>
    <row r="35" spans="2:53">
      <c r="B35" s="578" t="s">
        <v>230</v>
      </c>
      <c r="C35" s="586" t="s">
        <v>905</v>
      </c>
      <c r="D35" s="171" t="s">
        <v>397</v>
      </c>
      <c r="E35" s="599" t="s">
        <v>36</v>
      </c>
      <c r="F35" s="209"/>
      <c r="G35" s="536" t="str">
        <f>Calculation!$BO$2</f>
        <v>B0</v>
      </c>
      <c r="H35" s="537" t="s">
        <v>131</v>
      </c>
      <c r="I35" s="562" t="s">
        <v>209</v>
      </c>
      <c r="J35" s="912">
        <f>$D$31</f>
        <v>0.33396597202375999</v>
      </c>
      <c r="K35" s="496">
        <v>3</v>
      </c>
      <c r="L35" s="548">
        <f t="shared" si="0"/>
        <v>33</v>
      </c>
      <c r="M35" s="8"/>
      <c r="N35" s="8"/>
      <c r="O35" s="8"/>
      <c r="P35" s="8"/>
      <c r="AR35" s="514">
        <f>AnalysisChart1[[#This Row],[Kosten]]</f>
        <v>0.33396597202375999</v>
      </c>
      <c r="AS35" s="540">
        <f>AnalysisChart1[[#This Row],[Kosten]]</f>
        <v>0.33396597202375999</v>
      </c>
      <c r="AT35" s="569"/>
      <c r="AU35" s="540"/>
      <c r="AV35" s="540"/>
      <c r="AW35" s="543"/>
    </row>
    <row r="36" spans="2:53">
      <c r="B36" s="1059">
        <f t="shared" ref="B36:B41" si="2">ROW()-35</f>
        <v>1</v>
      </c>
      <c r="C36" s="1060" t="s">
        <v>3223</v>
      </c>
      <c r="D36" s="1061">
        <v>6.3698484999999999E-2</v>
      </c>
      <c r="E36" s="1062"/>
      <c r="F36" s="209"/>
      <c r="G36" s="536" t="str">
        <f>IF(AND(ROUND(AnalysisChart1[[#This Row],[Kosten]],4)&gt;0,COUNTIF(H30:H35,"+")&gt;0),"x","-")</f>
        <v>-</v>
      </c>
      <c r="H36" s="537" t="str">
        <f>IF(AnalysisChart1[[#This Row],[ ]]&lt;&gt;"",AnalysisChart1[[#This Row],[ ]],"")</f>
        <v>-</v>
      </c>
      <c r="I36" s="503" t="s">
        <v>682</v>
      </c>
      <c r="J36" s="911" cm="1">
        <f t="array" ref="J36">J37-SUMPRODUCT((H30:H35="+")*1,J30:J35)</f>
        <v>0</v>
      </c>
      <c r="K36" s="496">
        <v>3</v>
      </c>
      <c r="L36" s="539">
        <f>ROW()-ROW($L$2)</f>
        <v>34</v>
      </c>
      <c r="M36" s="8"/>
      <c r="N36" s="8"/>
      <c r="O36" s="8"/>
      <c r="P36" s="8"/>
      <c r="AR36" s="514"/>
      <c r="AS36" s="514">
        <f>AnalysisChart1[[#This Row],[Kosten]]</f>
        <v>0</v>
      </c>
      <c r="AT36" s="569"/>
      <c r="AU36" s="540"/>
      <c r="AV36" s="540"/>
      <c r="AW36" s="543"/>
    </row>
    <row r="37" spans="2:53">
      <c r="B37" s="1059">
        <f t="shared" si="2"/>
        <v>2</v>
      </c>
      <c r="C37" s="1060" t="s">
        <v>3224</v>
      </c>
      <c r="D37" s="1061">
        <v>1.2677347992000001</v>
      </c>
      <c r="E37" s="1062"/>
      <c r="F37" s="209"/>
      <c r="G37" s="536" t="str">
        <f>IF(COUNTIF(H30:H35,"+")&gt;0,"S","+")</f>
        <v>S</v>
      </c>
      <c r="H37" s="537" t="s">
        <v>131</v>
      </c>
      <c r="I37" s="504" t="s">
        <v>675</v>
      </c>
      <c r="J37" s="570">
        <f>SUM($D$26:$D$31)</f>
        <v>0.56287077560821397</v>
      </c>
      <c r="K37" s="498">
        <v>2</v>
      </c>
      <c r="L37" s="539">
        <f>ROW()-ROW($L$2)</f>
        <v>35</v>
      </c>
      <c r="M37" s="8"/>
      <c r="N37" s="8"/>
      <c r="O37" s="8"/>
      <c r="P37" s="8"/>
      <c r="AR37" s="514"/>
      <c r="AS37" s="514"/>
      <c r="AT37" s="549">
        <f>AnalysisChart1[[#This Row],[Kosten]]</f>
        <v>0.56287077560821397</v>
      </c>
      <c r="AU37" s="540">
        <f>AnalysisChart1[[#This Row],[Kosten]]</f>
        <v>0.56287077560821397</v>
      </c>
      <c r="AV37" s="540">
        <f>AnalysisChart1[[#This Row],[Kosten]]</f>
        <v>0.56287077560821397</v>
      </c>
      <c r="AW37" s="543"/>
    </row>
    <row r="38" spans="2:53">
      <c r="B38" s="1059">
        <f t="shared" si="2"/>
        <v>3</v>
      </c>
      <c r="C38" s="1060" t="s">
        <v>3225</v>
      </c>
      <c r="D38" s="1061">
        <v>1.0135494478</v>
      </c>
      <c r="E38" s="1062"/>
      <c r="F38" s="209"/>
      <c r="G38" s="536"/>
      <c r="H38" s="537" t="s">
        <v>131</v>
      </c>
      <c r="I38" s="571" t="s">
        <v>667</v>
      </c>
      <c r="J38" s="912">
        <f>$D$32</f>
        <v>0</v>
      </c>
      <c r="K38" s="496">
        <v>2</v>
      </c>
      <c r="L38" s="548">
        <f t="shared" si="0"/>
        <v>36</v>
      </c>
      <c r="M38" s="8"/>
      <c r="N38" s="8"/>
      <c r="O38" s="8"/>
      <c r="P38" s="8"/>
      <c r="AU38" s="514">
        <f>AnalysisChart1[[#This Row],[Kosten]]</f>
        <v>0</v>
      </c>
      <c r="AV38" s="540">
        <f>AnalysisChart1[[#This Row],[Kosten]]</f>
        <v>0</v>
      </c>
      <c r="AW38" s="543"/>
    </row>
    <row r="39" spans="2:53">
      <c r="B39" s="1059">
        <f t="shared" si="2"/>
        <v>4</v>
      </c>
      <c r="C39" s="1060" t="s">
        <v>682</v>
      </c>
      <c r="D39" s="1061">
        <f>$D$41-SUM($D$36:$D$38)-$D$40</f>
        <v>0.19170325589999992</v>
      </c>
      <c r="E39" s="1062"/>
      <c r="F39" s="209"/>
      <c r="G39" s="536" t="str">
        <f>IF(ROUND(AnalysisChart1[[#This Row],[Kosten]],4)&gt;0,"x","-")</f>
        <v>-</v>
      </c>
      <c r="H39" s="537" t="str">
        <f>IF(AnalysisChart1[[#This Row],[ ]]&lt;&gt;"",AnalysisChart1[[#This Row],[ ]],"")</f>
        <v>-</v>
      </c>
      <c r="I39" s="506" t="s">
        <v>682</v>
      </c>
      <c r="J39" s="911">
        <f>J41+J40-SUMIF($K$2:INDEX($K:$K,ROW()-1),AnalysisChart1[[#This Row],[+]],$J$2:INDEX($J:$J,ROW()-1))</f>
        <v>0</v>
      </c>
      <c r="K39" s="496">
        <v>2</v>
      </c>
      <c r="L39" s="539">
        <f>ROW()-ROW($L$2)</f>
        <v>37</v>
      </c>
      <c r="M39" s="8"/>
      <c r="N39" s="8"/>
      <c r="O39" s="8"/>
      <c r="P39" s="8"/>
      <c r="AS39" s="514"/>
      <c r="AU39" s="540"/>
      <c r="AV39" s="514">
        <f>AnalysisChart1[[#This Row],[Kosten]]</f>
        <v>0</v>
      </c>
      <c r="AW39" s="543"/>
    </row>
    <row r="40" spans="2:53">
      <c r="B40" s="1059">
        <f t="shared" si="2"/>
        <v>5</v>
      </c>
      <c r="C40" s="1060" t="s">
        <v>2110</v>
      </c>
      <c r="D40" s="1061">
        <f>0.5661362292</f>
        <v>0.56613622919999995</v>
      </c>
      <c r="E40" s="1062"/>
      <c r="F40" s="209"/>
      <c r="G40" s="536" t="s">
        <v>38</v>
      </c>
      <c r="H40" s="537" t="s">
        <v>38</v>
      </c>
      <c r="I40" s="572" t="s">
        <v>699</v>
      </c>
      <c r="J40" s="508">
        <v>0</v>
      </c>
      <c r="K40" s="496">
        <v>1</v>
      </c>
      <c r="L40" s="556">
        <f>ROW()-ROW($L$2)</f>
        <v>38</v>
      </c>
      <c r="M40" s="8"/>
      <c r="N40" s="8"/>
      <c r="O40" s="8"/>
      <c r="P40" s="8"/>
      <c r="AS40" s="514"/>
      <c r="AU40" s="540"/>
      <c r="AV40" s="540"/>
      <c r="AW40" s="569">
        <f>AnalysisChart1[[#This Row],[Kosten]]</f>
        <v>0</v>
      </c>
    </row>
    <row r="41" spans="2:53">
      <c r="B41" s="1059">
        <f t="shared" si="2"/>
        <v>6</v>
      </c>
      <c r="C41" s="1060" t="s">
        <v>2082</v>
      </c>
      <c r="D41" s="1061">
        <v>3.1028222170999999</v>
      </c>
      <c r="E41" s="1062"/>
      <c r="F41" s="209"/>
      <c r="G41" s="564" t="s">
        <v>273</v>
      </c>
      <c r="H41" s="565" t="s">
        <v>131</v>
      </c>
      <c r="I41" s="509" t="s">
        <v>157</v>
      </c>
      <c r="J41" s="913">
        <f>$D$33-J40</f>
        <v>6.2854908652195602</v>
      </c>
      <c r="K41" s="511">
        <v>1</v>
      </c>
      <c r="L41" s="573">
        <f>L40</f>
        <v>38</v>
      </c>
      <c r="M41" s="567"/>
      <c r="N41" s="567"/>
      <c r="O41" s="567"/>
      <c r="P41" s="567"/>
      <c r="Q41" s="568"/>
      <c r="R41" s="568"/>
      <c r="S41" s="568"/>
      <c r="T41" s="568"/>
      <c r="U41" s="568"/>
      <c r="V41" s="568"/>
      <c r="W41" s="568"/>
      <c r="X41" s="568"/>
      <c r="Y41" s="568"/>
      <c r="Z41" s="568"/>
      <c r="AA41" s="568"/>
      <c r="AB41" s="568"/>
      <c r="AC41" s="568"/>
      <c r="AD41" s="568"/>
      <c r="AE41" s="568"/>
      <c r="AF41" s="568"/>
      <c r="AG41" s="568"/>
      <c r="AH41" s="568"/>
      <c r="AI41" s="568"/>
      <c r="AJ41" s="568"/>
      <c r="AK41" s="568"/>
      <c r="AL41" s="568"/>
      <c r="AM41" s="568"/>
      <c r="AN41" s="568"/>
      <c r="AO41" s="568"/>
      <c r="AP41" s="568"/>
      <c r="AQ41" s="568"/>
      <c r="AR41" s="568"/>
      <c r="AS41" s="568"/>
      <c r="AT41" s="568"/>
      <c r="AU41" s="568"/>
      <c r="AV41" s="568"/>
      <c r="AW41" s="549">
        <f>AnalysisChart1[[#This Row],[Kosten]]</f>
        <v>6.2854908652195602</v>
      </c>
    </row>
    <row r="42" spans="2:53">
      <c r="B42" s="579"/>
      <c r="C42" s="587"/>
      <c r="D42" s="593"/>
      <c r="E42" s="600"/>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BA42" s="5"/>
    </row>
  </sheetData>
  <phoneticPr fontId="41" type="noConversion"/>
  <pageMargins left="0.7" right="0.7" top="0.78740157499999996" bottom="0.78740157499999996" header="0.3" footer="0.3"/>
  <pageSetup paperSize="9" orientation="portrait" r:id="rId1"/>
  <ignoredErrors>
    <ignoredError sqref="L23" calculatedColumn="1"/>
  </ignoredErrors>
  <tableParts count="4">
    <tablePart r:id="rId2"/>
    <tablePart r:id="rId3"/>
    <tablePart r:id="rId4"/>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14C56-4A37-4D69-A01E-87D45E0C4937}">
  <sheetPr codeName="TabDocumentation">
    <tabColor theme="9"/>
    <outlinePr summaryBelow="0" summaryRight="0"/>
  </sheetPr>
  <dimension ref="A1:L556"/>
  <sheetViews>
    <sheetView showGridLines="0" topLeftCell="A86" zoomScale="70" zoomScaleNormal="70" workbookViewId="0">
      <pane xSplit="2" topLeftCell="C1" activePane="topRight" state="frozen"/>
      <selection activeCell="C12" sqref="C12"/>
      <selection pane="topRight" activeCell="A87" sqref="A87:XFD87"/>
    </sheetView>
  </sheetViews>
  <sheetFormatPr baseColWidth="10" defaultColWidth="11.42578125" defaultRowHeight="12.75" outlineLevelRow="1"/>
  <cols>
    <col min="1" max="1" width="2.7109375" style="19" customWidth="1"/>
    <col min="2" max="2" width="15.7109375" style="6" customWidth="1"/>
    <col min="3" max="3" width="15.7109375" style="869" customWidth="1"/>
    <col min="4" max="4" width="75.7109375" style="466" customWidth="1"/>
    <col min="5" max="5" width="15.7109375" style="869" customWidth="1"/>
    <col min="6" max="6" width="85" style="19" customWidth="1"/>
    <col min="7" max="10" width="15.7109375" style="6" customWidth="1"/>
    <col min="11" max="12" width="15.7109375" style="19" customWidth="1"/>
    <col min="13" max="13" width="2.7109375" style="19" customWidth="1"/>
    <col min="14" max="16384" width="11.42578125" style="19"/>
  </cols>
  <sheetData>
    <row r="1" spans="1:12">
      <c r="B1" s="468" cm="1">
        <f t="array" ref="B1">SUM(LEN(2:391))</f>
        <v>177660</v>
      </c>
      <c r="C1" s="868">
        <f>B1/1600</f>
        <v>111.03749999999999</v>
      </c>
    </row>
    <row r="3" spans="1:12" collapsed="1">
      <c r="A3" s="475"/>
      <c r="B3" s="476" t="s">
        <v>749</v>
      </c>
    </row>
    <row r="4" spans="1:12" hidden="1" outlineLevel="1">
      <c r="A4" s="278"/>
      <c r="B4" s="277"/>
    </row>
    <row r="5" spans="1:12" s="6" customFormat="1" ht="30" hidden="1" customHeight="1" outlineLevel="1">
      <c r="B5" s="6" t="s">
        <v>359</v>
      </c>
      <c r="C5" s="869" t="s">
        <v>360</v>
      </c>
      <c r="D5" s="466" t="s">
        <v>361</v>
      </c>
      <c r="E5" s="869" t="s">
        <v>362</v>
      </c>
      <c r="F5" s="19" t="s">
        <v>363</v>
      </c>
      <c r="G5" s="6" t="s">
        <v>367</v>
      </c>
      <c r="H5" s="6" t="s">
        <v>368</v>
      </c>
      <c r="I5" s="6" t="s">
        <v>366</v>
      </c>
      <c r="J5" s="6" t="s">
        <v>369</v>
      </c>
      <c r="K5" s="6" t="s">
        <v>59</v>
      </c>
      <c r="L5" s="6" t="s">
        <v>720</v>
      </c>
    </row>
    <row r="6" spans="1:12" s="6" customFormat="1" ht="76.5" hidden="1" outlineLevel="1">
      <c r="B6" s="6" t="s">
        <v>1782</v>
      </c>
      <c r="C6" s="869" t="str">
        <f>DocCalculation[[#This Row],[Category EN]]&amp;IF(LEN(DocCalculation[[#This Row],[Subcategory EN]])&gt;0," 
" &amp;DocCalculation[[#This Row],[Subcategory EN]],)</f>
        <v>Tier 1 Supplier 
Designation</v>
      </c>
      <c r="D6" s="466" t="s">
        <v>1794</v>
      </c>
      <c r="E6" s="869" t="str">
        <f>DocCalculation[[#This Row],[Category DE]]&amp;IF(LEN(DocCalculation[[#This Row],[Subcategory DE]])&gt;0," 
" &amp;DocCalculation[[#This Row],[Subcategory DE]],)</f>
        <v>Tier 1 Lieferant 
Benennung</v>
      </c>
      <c r="F6" s="19" t="s">
        <v>1792</v>
      </c>
      <c r="G6" s="6" t="s">
        <v>1785</v>
      </c>
      <c r="H6" s="6" t="s">
        <v>492</v>
      </c>
      <c r="I6" s="6" t="s">
        <v>1784</v>
      </c>
      <c r="J6" s="6" t="s">
        <v>33</v>
      </c>
    </row>
    <row r="7" spans="1:12" s="6" customFormat="1" ht="51" hidden="1" outlineLevel="1">
      <c r="B7" s="6" t="s">
        <v>1786</v>
      </c>
      <c r="C7" s="869" t="str">
        <f>DocCalculation[[#This Row],[Category EN]]&amp;IF(LEN(DocCalculation[[#This Row],[Subcategory EN]])&gt;0," 
" &amp;DocCalculation[[#This Row],[Subcategory EN]],)</f>
        <v>Total price</v>
      </c>
      <c r="D7" s="466" t="s">
        <v>1791</v>
      </c>
      <c r="E7" s="869" t="str">
        <f>DocCalculation[[#This Row],[Category DE]]&amp;IF(LEN(DocCalculation[[#This Row],[Subcategory DE]])&gt;0," 
" &amp;DocCalculation[[#This Row],[Subcategory DE]],)</f>
        <v>Gesamtpreis</v>
      </c>
      <c r="F7" s="19" t="s">
        <v>1790</v>
      </c>
      <c r="G7" s="6" t="s">
        <v>1788</v>
      </c>
      <c r="I7" s="6" t="s">
        <v>1787</v>
      </c>
    </row>
    <row r="8" spans="1:12" s="6" customFormat="1" ht="51" hidden="1" outlineLevel="1">
      <c r="B8" s="6" t="s">
        <v>1789</v>
      </c>
      <c r="C8" s="869" t="str">
        <f>DocCalculation[[#This Row],[Category EN]]&amp;IF(LEN(DocCalculation[[#This Row],[Subcategory EN]])&gt;0," 
" &amp;DocCalculation[[#This Row],[Subcategory EN]],)</f>
        <v>Customer cycle time</v>
      </c>
      <c r="D8" s="466" t="str">
        <f>D184</f>
        <v>The customer cycle is calculated from the premises and results in the available time per piece.
It serves as an orientation as to how much time is available for a component to reach the desired production quantity.</v>
      </c>
      <c r="E8" s="869" t="str">
        <f>DocCalculation[[#This Row],[Category DE]]&amp;IF(LEN(DocCalculation[[#This Row],[Subcategory DE]])&gt;0," 
" &amp;DocCalculation[[#This Row],[Subcategory DE]],)</f>
        <v>Kundentakt</v>
      </c>
      <c r="F8" s="19" t="str">
        <f>F184</f>
        <v>Der Kundentakt errechnet sich aus den Prämissen und ergibt die verfügbare Zeit pro Stück.
Er dient als Orientierung, wie viel Zeit für ein Bauteil zur Verfügung steht, um die gewünschte Produktionsmenge zu erreichen.</v>
      </c>
      <c r="G8" s="6" t="str">
        <f>H184</f>
        <v>Customer cycle time</v>
      </c>
      <c r="I8" s="6" t="str">
        <f>J184</f>
        <v>Kundentakt</v>
      </c>
    </row>
    <row r="9" spans="1:12" s="6" customFormat="1" ht="99" hidden="1" customHeight="1" outlineLevel="1">
      <c r="B9" s="6" t="s">
        <v>1783</v>
      </c>
      <c r="C9" s="869" t="str">
        <f>DocCalculation[[#This Row],[Category EN]]&amp;IF(LEN(DocCalculation[[#This Row],[Subcategory EN]])&gt;0," 
" &amp;DocCalculation[[#This Row],[Subcategory EN]],)</f>
        <v>Tier 1 Supplier 
ID</v>
      </c>
      <c r="D9" s="466" t="s">
        <v>1795</v>
      </c>
      <c r="E9" s="869" t="str">
        <f>DocCalculation[[#This Row],[Category DE]]&amp;IF(LEN(DocCalculation[[#This Row],[Subcategory DE]])&gt;0," 
" &amp;DocCalculation[[#This Row],[Subcategory DE]],)</f>
        <v>Tier 1 Lieferant 
ID</v>
      </c>
      <c r="F9" s="19" t="s">
        <v>1793</v>
      </c>
      <c r="G9" s="6" t="s">
        <v>1785</v>
      </c>
      <c r="H9" s="6" t="s">
        <v>148</v>
      </c>
      <c r="I9" s="6" t="s">
        <v>1784</v>
      </c>
      <c r="J9" s="6" t="s">
        <v>148</v>
      </c>
    </row>
    <row r="10" spans="1:12" ht="165.75" hidden="1" outlineLevel="1">
      <c r="B10" s="6" t="s">
        <v>84</v>
      </c>
      <c r="C10" s="869" t="str">
        <f>DocCalculation[[#This Row],[Category EN]]&amp;IF(LEN(DocCalculation[[#This Row],[Subcategory EN]])&gt;0," 
" &amp;DocCalculation[[#This Row],[Subcategory EN]],)</f>
        <v>Adding blocks and rows</v>
      </c>
      <c r="D10" s="466" t="s">
        <v>1519</v>
      </c>
      <c r="E10" s="869" t="str">
        <f>DocCalculation[[#This Row],[Category DE]]&amp;IF(LEN(DocCalculation[[#This Row],[Subcategory DE]])&gt;0," 
" &amp;DocCalculation[[#This Row],[Subcategory DE]],)</f>
        <v>Blöcke und Zeilen hinzufügen</v>
      </c>
      <c r="F10" s="19" t="s">
        <v>1796</v>
      </c>
      <c r="G10" s="6" t="s">
        <v>1518</v>
      </c>
      <c r="I10" s="6" t="s">
        <v>1517</v>
      </c>
      <c r="K10" s="6"/>
      <c r="L10" s="6">
        <v>1</v>
      </c>
    </row>
    <row r="11" spans="1:12" ht="114.75" hidden="1" outlineLevel="1">
      <c r="B11" s="6" t="s">
        <v>256</v>
      </c>
      <c r="C11" s="869" t="str">
        <f>DocCalculation[[#This Row],[Category EN]]&amp;IF(LEN(DocCalculation[[#This Row],[Subcategory EN]])&gt;0," 
" &amp;DocCalculation[[#This Row],[Subcategory EN]],)</f>
        <v>Blocks and rows</v>
      </c>
      <c r="D11" s="466" t="s">
        <v>1700</v>
      </c>
      <c r="E11" s="869" t="str">
        <f>DocCalculation[[#This Row],[Category DE]]&amp;IF(LEN(DocCalculation[[#This Row],[Subcategory DE]])&gt;0," 
" &amp;DocCalculation[[#This Row],[Subcategory DE]],)</f>
        <v>Blöcke und Zeilen</v>
      </c>
      <c r="F11" s="19" t="s">
        <v>1516</v>
      </c>
      <c r="G11" s="6" t="s">
        <v>1515</v>
      </c>
      <c r="I11" s="6" t="s">
        <v>1514</v>
      </c>
      <c r="K11" s="6"/>
      <c r="L11" s="6">
        <v>1</v>
      </c>
    </row>
    <row r="12" spans="1:12" hidden="1" outlineLevel="1">
      <c r="B12" s="6" t="s">
        <v>261</v>
      </c>
      <c r="C12" s="869" t="str">
        <f>DocCalculation[[#This Row],[Category EN]]&amp;IF(LEN(DocCalculation[[#This Row],[Subcategory EN]])&gt;0," 
" &amp;DocCalculation[[#This Row],[Subcategory EN]],)</f>
        <v/>
      </c>
      <c r="E12" s="869" t="str">
        <f>DocCalculation[[#This Row],[Category DE]]&amp;IF(LEN(DocCalculation[[#This Row],[Subcategory DE]])&gt;0," 
" &amp;DocCalculation[[#This Row],[Subcategory DE]],)</f>
        <v/>
      </c>
      <c r="K12" s="6"/>
      <c r="L12" s="6">
        <v>1</v>
      </c>
    </row>
    <row r="13" spans="1:12" ht="38.25" hidden="1" outlineLevel="1">
      <c r="B13" s="6" t="s">
        <v>262</v>
      </c>
      <c r="C13" s="869" t="str">
        <f>DocCalculation[[#This Row],[Category EN]]&amp;IF(LEN(DocCalculation[[#This Row],[Subcategory EN]])&gt;0," 
" &amp;DocCalculation[[#This Row],[Subcategory EN]],)</f>
        <v>Quantity</v>
      </c>
      <c r="D13" s="466" t="s">
        <v>1781</v>
      </c>
      <c r="E13" s="869" t="str">
        <f>DocCalculation[[#This Row],[Category DE]]&amp;IF(LEN(DocCalculation[[#This Row],[Subcategory DE]])&gt;0," 
" &amp;DocCalculation[[#This Row],[Subcategory DE]],)</f>
        <v>Anzahl</v>
      </c>
      <c r="F13" s="19" t="s">
        <v>1780</v>
      </c>
      <c r="G13" s="6" t="s">
        <v>476</v>
      </c>
      <c r="I13" s="6" t="s">
        <v>35</v>
      </c>
      <c r="K13" s="6"/>
      <c r="L13" s="6">
        <v>1</v>
      </c>
    </row>
    <row r="14" spans="1:12" ht="178.5" hidden="1" outlineLevel="1">
      <c r="B14" s="6" t="s">
        <v>263</v>
      </c>
      <c r="C14" s="870" t="str">
        <f>DocCalculation[[#This Row],[Category EN]]&amp;IF(LEN(DocCalculation[[#This Row],[Subcategory EN]])&gt;0," 
" &amp;DocCalculation[[#This Row],[Subcategory EN]],)</f>
        <v>Machine 
Description</v>
      </c>
      <c r="D14" s="466" t="s">
        <v>1989</v>
      </c>
      <c r="E14" s="870" t="str">
        <f>DocCalculation[[#This Row],[Category DE]]&amp;IF(LEN(DocCalculation[[#This Row],[Subcategory DE]])&gt;0," 
" &amp;DocCalculation[[#This Row],[Subcategory DE]],)</f>
        <v>Maschinen 
Bezeichnung</v>
      </c>
      <c r="F14" s="19" t="s">
        <v>1985</v>
      </c>
      <c r="G14" s="477" t="s">
        <v>364</v>
      </c>
      <c r="H14" s="477" t="s">
        <v>69</v>
      </c>
      <c r="I14" s="6" t="s">
        <v>162</v>
      </c>
      <c r="J14" s="477" t="s">
        <v>2</v>
      </c>
      <c r="K14" s="477"/>
      <c r="L14" s="6">
        <v>1</v>
      </c>
    </row>
    <row r="15" spans="1:12" ht="191.25" hidden="1" outlineLevel="1">
      <c r="B15" s="6" t="s">
        <v>264</v>
      </c>
      <c r="C15" s="869" t="str">
        <f>DocCalculation[[#This Row],[Category EN]]&amp;IF(LEN(DocCalculation[[#This Row],[Subcategory EN]])&gt;0," 
" &amp;DocCalculation[[#This Row],[Subcategory EN]],)</f>
        <v>Machine 
Cycle time</v>
      </c>
      <c r="D15" s="466" t="s">
        <v>1990</v>
      </c>
      <c r="E15" s="870" t="str">
        <f>DocCalculation[[#This Row],[Category DE]]&amp;IF(LEN(DocCalculation[[#This Row],[Subcategory DE]])&gt;0," 
" &amp;DocCalculation[[#This Row],[Subcategory DE]],)</f>
        <v>Maschinen 
Zykluszeit</v>
      </c>
      <c r="F15" s="19" t="s">
        <v>1986</v>
      </c>
      <c r="G15" s="477" t="s">
        <v>364</v>
      </c>
      <c r="H15" s="477" t="s">
        <v>151</v>
      </c>
      <c r="I15" s="6" t="s">
        <v>162</v>
      </c>
      <c r="J15" s="477" t="s">
        <v>357</v>
      </c>
      <c r="K15" s="477"/>
      <c r="L15" s="6">
        <v>1</v>
      </c>
    </row>
    <row r="16" spans="1:12" ht="38.25" hidden="1" outlineLevel="1">
      <c r="B16" s="6" t="s">
        <v>265</v>
      </c>
      <c r="C16" s="869" t="str">
        <f>DocCalculation[[#This Row],[Category EN]]&amp;IF(LEN(DocCalculation[[#This Row],[Subcategory EN]])&gt;0," 
" &amp;DocCalculation[[#This Row],[Subcategory EN]],)</f>
        <v>Machine 
Time unit</v>
      </c>
      <c r="D16" s="466" t="s">
        <v>1776</v>
      </c>
      <c r="E16" s="870" t="str">
        <f>DocCalculation[[#This Row],[Category DE]]&amp;IF(LEN(DocCalculation[[#This Row],[Subcategory DE]])&gt;0," 
" &amp;DocCalculation[[#This Row],[Subcategory DE]],)</f>
        <v>Maschinen 
Zeiteinheit</v>
      </c>
      <c r="F16" s="19" t="s">
        <v>1956</v>
      </c>
      <c r="G16" s="477" t="s">
        <v>364</v>
      </c>
      <c r="H16" s="477" t="s">
        <v>55</v>
      </c>
      <c r="I16" s="6" t="s">
        <v>162</v>
      </c>
      <c r="J16" s="477" t="s">
        <v>356</v>
      </c>
      <c r="K16" s="477"/>
      <c r="L16" s="6">
        <v>1</v>
      </c>
    </row>
    <row r="17" spans="2:12" ht="25.5" hidden="1" outlineLevel="1">
      <c r="B17" s="6" t="s">
        <v>266</v>
      </c>
      <c r="C17" s="869" t="str">
        <f>DocCalculation[[#This Row],[Category EN]]&amp;IF(LEN(DocCalculation[[#This Row],[Subcategory EN]])&gt;0," 
" &amp;DocCalculation[[#This Row],[Subcategory EN]],)</f>
        <v>Machine 
Parts per Cycle</v>
      </c>
      <c r="D17" s="466" t="s">
        <v>456</v>
      </c>
      <c r="E17" s="870" t="str">
        <f>DocCalculation[[#This Row],[Category DE]]&amp;IF(LEN(DocCalculation[[#This Row],[Subcategory DE]])&gt;0," 
" &amp;DocCalculation[[#This Row],[Subcategory DE]],)</f>
        <v>Maschinen 
Teile pro Zyklus</v>
      </c>
      <c r="F17" s="19" t="s">
        <v>1955</v>
      </c>
      <c r="G17" s="477" t="s">
        <v>364</v>
      </c>
      <c r="H17" s="477" t="s">
        <v>1953</v>
      </c>
      <c r="I17" s="6" t="s">
        <v>162</v>
      </c>
      <c r="J17" s="477" t="s">
        <v>1954</v>
      </c>
      <c r="K17" s="477"/>
      <c r="L17" s="6">
        <v>1</v>
      </c>
    </row>
    <row r="18" spans="2:12" ht="25.5" hidden="1" outlineLevel="1">
      <c r="B18" s="6" t="s">
        <v>267</v>
      </c>
      <c r="C18" s="869" t="str">
        <f>DocCalculation[[#This Row],[Category EN]]&amp;IF(LEN(DocCalculation[[#This Row],[Subcategory EN]])&gt;0," 
" &amp;DocCalculation[[#This Row],[Subcategory EN]],)</f>
        <v>Machine 
MHR</v>
      </c>
      <c r="D18" s="466" t="s">
        <v>1775</v>
      </c>
      <c r="E18" s="870" t="str">
        <f>DocCalculation[[#This Row],[Category DE]]&amp;IF(LEN(DocCalculation[[#This Row],[Subcategory DE]])&gt;0," 
" &amp;DocCalculation[[#This Row],[Subcategory DE]],)</f>
        <v>Maschinen 
MSS</v>
      </c>
      <c r="F18" s="19" t="s">
        <v>2387</v>
      </c>
      <c r="G18" s="477" t="s">
        <v>364</v>
      </c>
      <c r="H18" s="477" t="s">
        <v>58</v>
      </c>
      <c r="I18" s="6" t="s">
        <v>162</v>
      </c>
      <c r="J18" s="477" t="s">
        <v>39</v>
      </c>
      <c r="K18" s="477" t="s">
        <v>119</v>
      </c>
      <c r="L18" s="6">
        <v>1</v>
      </c>
    </row>
    <row r="19" spans="2:12" ht="38.25" hidden="1" outlineLevel="1">
      <c r="B19" s="6" t="s">
        <v>268</v>
      </c>
      <c r="C19" s="869" t="str">
        <f>DocCalculation[[#This Row],[Category EN]]&amp;IF(LEN(DocCalculation[[#This Row],[Subcategory EN]])&gt;0," 
" &amp;DocCalculation[[#This Row],[Subcategory EN]],)</f>
        <v>Machine 
Total</v>
      </c>
      <c r="D19" s="466" t="s">
        <v>457</v>
      </c>
      <c r="E19" s="870" t="str">
        <f>DocCalculation[[#This Row],[Category DE]]&amp;IF(LEN(DocCalculation[[#This Row],[Subcategory DE]])&gt;0," 
" &amp;DocCalculation[[#This Row],[Subcategory DE]],)</f>
        <v>Maschinen 
Total</v>
      </c>
      <c r="F19" s="19" t="s">
        <v>416</v>
      </c>
      <c r="G19" s="477" t="s">
        <v>364</v>
      </c>
      <c r="H19" s="477" t="s">
        <v>70</v>
      </c>
      <c r="I19" s="6" t="s">
        <v>162</v>
      </c>
      <c r="J19" s="477" t="s">
        <v>70</v>
      </c>
      <c r="K19" s="477" t="s">
        <v>300</v>
      </c>
      <c r="L19" s="6">
        <v>1</v>
      </c>
    </row>
    <row r="20" spans="2:12" ht="114.75" hidden="1" outlineLevel="1">
      <c r="B20" s="6" t="s">
        <v>83</v>
      </c>
      <c r="C20" s="869" t="str">
        <f>DocCalculation[[#This Row],[Category EN]]&amp;IF(LEN(DocCalculation[[#This Row],[Subcategory EN]])&gt;0," 
" &amp;DocCalculation[[#This Row],[Subcategory EN]],)</f>
        <v>Setup 
Lot size</v>
      </c>
      <c r="D20" s="478" t="s">
        <v>1959</v>
      </c>
      <c r="E20" s="869" t="str">
        <f>DocCalculation[[#This Row],[Category DE]]&amp;IF(LEN(DocCalculation[[#This Row],[Subcategory DE]])&gt;0," 
" &amp;DocCalculation[[#This Row],[Subcategory DE]],)</f>
        <v>Rüsten 
Losgröße</v>
      </c>
      <c r="F20" s="479" t="s">
        <v>1957</v>
      </c>
      <c r="G20" s="6" t="s">
        <v>458</v>
      </c>
      <c r="H20" s="6" t="s">
        <v>1958</v>
      </c>
      <c r="I20" s="6" t="s">
        <v>161</v>
      </c>
      <c r="J20" s="6" t="s">
        <v>53</v>
      </c>
      <c r="K20" s="6" t="s">
        <v>60</v>
      </c>
      <c r="L20" s="6">
        <v>1</v>
      </c>
    </row>
    <row r="21" spans="2:12" ht="25.5" hidden="1" outlineLevel="1">
      <c r="B21" s="6" t="s">
        <v>269</v>
      </c>
      <c r="C21" s="869" t="str">
        <f>DocCalculation[[#This Row],[Category EN]]&amp;IF(LEN(DocCalculation[[#This Row],[Subcategory EN]])&gt;0," 
" &amp;DocCalculation[[#This Row],[Subcategory EN]],)</f>
        <v>Setup 
time</v>
      </c>
      <c r="D21" s="466" t="s">
        <v>1774</v>
      </c>
      <c r="E21" s="869" t="str">
        <f>DocCalculation[[#This Row],[Category DE]]&amp;IF(LEN(DocCalculation[[#This Row],[Subcategory DE]])&gt;0," 
" &amp;DocCalculation[[#This Row],[Subcategory DE]],)</f>
        <v>Rüsten 
Zeit</v>
      </c>
      <c r="F21" s="19" t="s">
        <v>371</v>
      </c>
      <c r="G21" s="6" t="s">
        <v>458</v>
      </c>
      <c r="H21" s="6" t="s">
        <v>459</v>
      </c>
      <c r="I21" s="6" t="s">
        <v>161</v>
      </c>
      <c r="J21" s="6" t="s">
        <v>8</v>
      </c>
      <c r="K21" s="6" t="s">
        <v>126</v>
      </c>
      <c r="L21" s="6">
        <v>1</v>
      </c>
    </row>
    <row r="22" spans="2:12" ht="38.25" hidden="1" outlineLevel="1">
      <c r="B22" s="6" t="s">
        <v>49</v>
      </c>
      <c r="C22" s="869" t="str">
        <f>DocCalculation[[#This Row],[Category EN]]&amp;IF(LEN(DocCalculation[[#This Row],[Subcategory EN]])&gt;0," 
" &amp;DocCalculation[[#This Row],[Subcategory EN]],)</f>
        <v>Setup 
workers</v>
      </c>
      <c r="D22" s="466" t="s">
        <v>1773</v>
      </c>
      <c r="E22" s="869" t="str">
        <f>DocCalculation[[#This Row],[Category DE]]&amp;IF(LEN(DocCalculation[[#This Row],[Subcategory DE]])&gt;0," 
" &amp;DocCalculation[[#This Row],[Subcategory DE]],)</f>
        <v>Rüsten 
Mitarbeiter</v>
      </c>
      <c r="F22" s="19" t="s">
        <v>1772</v>
      </c>
      <c r="G22" s="6" t="s">
        <v>458</v>
      </c>
      <c r="H22" s="6" t="s">
        <v>460</v>
      </c>
      <c r="I22" s="6" t="s">
        <v>161</v>
      </c>
      <c r="J22" s="6" t="s">
        <v>354</v>
      </c>
      <c r="K22" s="6" t="s">
        <v>35</v>
      </c>
      <c r="L22" s="6">
        <v>1</v>
      </c>
    </row>
    <row r="23" spans="2:12" ht="25.5" hidden="1" outlineLevel="1">
      <c r="B23" s="6" t="s">
        <v>270</v>
      </c>
      <c r="C23" s="869" t="str">
        <f>DocCalculation[[#This Row],[Category EN]]&amp;IF(LEN(DocCalculation[[#This Row],[Subcategory EN]])&gt;0," 
" &amp;DocCalculation[[#This Row],[Subcategory EN]],)</f>
        <v>Ext. Setup 
Time</v>
      </c>
      <c r="D23" s="466" t="s">
        <v>1960</v>
      </c>
      <c r="E23" s="869" t="str">
        <f>DocCalculation[[#This Row],[Category DE]]&amp;IF(LEN(DocCalculation[[#This Row],[Subcategory DE]])&gt;0," 
" &amp;DocCalculation[[#This Row],[Subcategory DE]],)</f>
        <v>Ext. Rüsten 
Zeit</v>
      </c>
      <c r="F23" s="19" t="s">
        <v>372</v>
      </c>
      <c r="G23" s="6" t="s">
        <v>1961</v>
      </c>
      <c r="H23" s="6" t="s">
        <v>74</v>
      </c>
      <c r="I23" s="6" t="s">
        <v>365</v>
      </c>
      <c r="J23" s="6" t="s">
        <v>8</v>
      </c>
      <c r="K23" s="6" t="s">
        <v>126</v>
      </c>
      <c r="L23" s="6">
        <v>1</v>
      </c>
    </row>
    <row r="24" spans="2:12" ht="38.25" hidden="1" outlineLevel="1">
      <c r="B24" s="6" t="s">
        <v>271</v>
      </c>
      <c r="C24" s="869" t="str">
        <f>DocCalculation[[#This Row],[Category EN]]&amp;IF(LEN(DocCalculation[[#This Row],[Subcategory EN]])&gt;0," 
" &amp;DocCalculation[[#This Row],[Subcategory EN]],)</f>
        <v>Ext. Setup 
Workers</v>
      </c>
      <c r="D24" s="466" t="s">
        <v>1771</v>
      </c>
      <c r="E24" s="869" t="str">
        <f>DocCalculation[[#This Row],[Category DE]]&amp;IF(LEN(DocCalculation[[#This Row],[Subcategory DE]])&gt;0," 
" &amp;DocCalculation[[#This Row],[Subcategory DE]],)</f>
        <v>Ext. Rüsten 
Mitarbeiter</v>
      </c>
      <c r="F24" s="19" t="s">
        <v>1770</v>
      </c>
      <c r="G24" s="6" t="s">
        <v>1961</v>
      </c>
      <c r="H24" s="6" t="s">
        <v>464</v>
      </c>
      <c r="I24" s="6" t="s">
        <v>365</v>
      </c>
      <c r="J24" s="6" t="s">
        <v>354</v>
      </c>
      <c r="K24" s="6" t="s">
        <v>35</v>
      </c>
      <c r="L24" s="6">
        <v>1</v>
      </c>
    </row>
    <row r="25" spans="2:12" ht="25.5" hidden="1" outlineLevel="1">
      <c r="B25" s="6" t="s">
        <v>240</v>
      </c>
      <c r="C25" s="869" t="str">
        <f>DocCalculation[[#This Row],[Category EN]]&amp;IF(LEN(DocCalculation[[#This Row],[Subcategory EN]])&gt;0," 
" &amp;DocCalculation[[#This Row],[Subcategory EN]],)</f>
        <v>Setup 
Lot size</v>
      </c>
      <c r="D25" s="478" t="s">
        <v>461</v>
      </c>
      <c r="E25" s="869" t="str">
        <f>DocCalculation[[#This Row],[Category DE]]&amp;IF(LEN(DocCalculation[[#This Row],[Subcategory DE]])&gt;0," 
" &amp;DocCalculation[[#This Row],[Subcategory DE]],)</f>
        <v>Rüsten 
Losgröße</v>
      </c>
      <c r="F25" s="479" t="s">
        <v>373</v>
      </c>
      <c r="G25" s="6" t="s">
        <v>458</v>
      </c>
      <c r="H25" s="6" t="s">
        <v>1958</v>
      </c>
      <c r="I25" s="6" t="s">
        <v>161</v>
      </c>
      <c r="J25" s="6" t="s">
        <v>53</v>
      </c>
      <c r="K25" s="6" t="s">
        <v>125</v>
      </c>
      <c r="L25" s="6">
        <v>1</v>
      </c>
    </row>
    <row r="26" spans="2:12" ht="63.75" hidden="1" outlineLevel="1">
      <c r="B26" s="6" t="s">
        <v>272</v>
      </c>
      <c r="C26" s="869" t="str">
        <f>DocCalculation[[#This Row],[Category EN]]&amp;IF(LEN(DocCalculation[[#This Row],[Subcategory EN]])&gt;0," 
" &amp;DocCalculation[[#This Row],[Subcategory EN]],)</f>
        <v>Setup 
Labor costs</v>
      </c>
      <c r="D26" s="466" t="s">
        <v>2085</v>
      </c>
      <c r="E26" s="870" t="str">
        <f>DocCalculation[[#This Row],[Category DE]]&amp;IF(LEN(DocCalculation[[#This Row],[Subcategory DE]])&gt;0," 
" &amp;DocCalculation[[#This Row],[Subcategory DE]],)</f>
        <v>Rüsten 
Arbeitskosten</v>
      </c>
      <c r="F26" s="19" t="s">
        <v>2086</v>
      </c>
      <c r="G26" s="6" t="s">
        <v>458</v>
      </c>
      <c r="H26" s="6" t="s">
        <v>1962</v>
      </c>
      <c r="I26" s="6" t="s">
        <v>161</v>
      </c>
      <c r="J26" s="6" t="s">
        <v>374</v>
      </c>
      <c r="K26" s="477" t="s">
        <v>119</v>
      </c>
      <c r="L26" s="6">
        <v>1</v>
      </c>
    </row>
    <row r="27" spans="2:12" ht="25.5" hidden="1" outlineLevel="1">
      <c r="B27" s="6" t="s">
        <v>40</v>
      </c>
      <c r="C27" s="869" t="str">
        <f>DocCalculation[[#This Row],[Category EN]]&amp;IF(LEN(DocCalculation[[#This Row],[Subcategory EN]])&gt;0," 
" &amp;DocCalculation[[#This Row],[Subcategory EN]],)</f>
        <v>Setup 
Total</v>
      </c>
      <c r="D27" s="466" t="s">
        <v>462</v>
      </c>
      <c r="E27" s="870" t="str">
        <f>DocCalculation[[#This Row],[Category DE]]&amp;IF(LEN(DocCalculation[[#This Row],[Subcategory DE]])&gt;0," 
" &amp;DocCalculation[[#This Row],[Subcategory DE]],)</f>
        <v>Rüsten 
Total</v>
      </c>
      <c r="F27" s="19" t="s">
        <v>375</v>
      </c>
      <c r="G27" s="6" t="s">
        <v>458</v>
      </c>
      <c r="H27" s="6" t="s">
        <v>70</v>
      </c>
      <c r="I27" s="6" t="s">
        <v>161</v>
      </c>
      <c r="J27" s="6" t="s">
        <v>70</v>
      </c>
      <c r="K27" s="477" t="s">
        <v>300</v>
      </c>
      <c r="L27" s="6">
        <v>1</v>
      </c>
    </row>
    <row r="28" spans="2:12" ht="25.5" hidden="1" outlineLevel="1">
      <c r="B28" s="6" t="s">
        <v>273</v>
      </c>
      <c r="C28" s="869" t="str">
        <f>DocCalculation[[#This Row],[Category EN]]&amp;IF(LEN(DocCalculation[[#This Row],[Subcategory EN]])&gt;0," 
" &amp;DocCalculation[[#This Row],[Subcategory EN]],)</f>
        <v>Workers 
Workers</v>
      </c>
      <c r="D28" s="466" t="s">
        <v>463</v>
      </c>
      <c r="E28" s="869" t="str">
        <f>DocCalculation[[#This Row],[Category DE]]&amp;IF(LEN(DocCalculation[[#This Row],[Subcategory DE]])&gt;0," 
" &amp;DocCalculation[[#This Row],[Subcategory DE]],)</f>
        <v>Mitarbeiter 
MA</v>
      </c>
      <c r="F28" s="19" t="s">
        <v>355</v>
      </c>
      <c r="G28" s="6" t="s">
        <v>464</v>
      </c>
      <c r="H28" s="6" t="s">
        <v>464</v>
      </c>
      <c r="I28" s="6" t="s">
        <v>354</v>
      </c>
      <c r="J28" s="6" t="s">
        <v>62</v>
      </c>
      <c r="K28" s="6" t="s">
        <v>35</v>
      </c>
      <c r="L28" s="6">
        <v>1</v>
      </c>
    </row>
    <row r="29" spans="2:12" ht="38.25" hidden="1" outlineLevel="1">
      <c r="B29" s="6" t="s">
        <v>274</v>
      </c>
      <c r="C29" s="869" t="str">
        <f>DocCalculation[[#This Row],[Category EN]]&amp;IF(LEN(DocCalculation[[#This Row],[Subcategory EN]])&gt;0," 
" &amp;DocCalculation[[#This Row],[Subcategory EN]],)</f>
        <v>Workers 
Skill level</v>
      </c>
      <c r="D29" s="466" t="s">
        <v>1769</v>
      </c>
      <c r="E29" s="869" t="str">
        <f>DocCalculation[[#This Row],[Category DE]]&amp;IF(LEN(DocCalculation[[#This Row],[Subcategory DE]])&gt;0," 
" &amp;DocCalculation[[#This Row],[Subcategory DE]],)</f>
        <v>Mitarbeiter 
Qualifikation</v>
      </c>
      <c r="F29" s="19" t="s">
        <v>1768</v>
      </c>
      <c r="G29" s="6" t="s">
        <v>464</v>
      </c>
      <c r="H29" s="6" t="s">
        <v>1963</v>
      </c>
      <c r="I29" s="6" t="s">
        <v>354</v>
      </c>
      <c r="J29" s="6" t="s">
        <v>376</v>
      </c>
      <c r="K29" s="6" t="s">
        <v>153</v>
      </c>
      <c r="L29" s="6">
        <v>1</v>
      </c>
    </row>
    <row r="30" spans="2:12" ht="114.75" hidden="1" outlineLevel="1">
      <c r="B30" s="6" t="s">
        <v>275</v>
      </c>
      <c r="C30" s="869" t="str">
        <f>DocCalculation[[#This Row],[Category EN]]&amp;IF(LEN(DocCalculation[[#This Row],[Subcategory EN]])&gt;0," 
" &amp;DocCalculation[[#This Row],[Subcategory EN]],)</f>
        <v>Workers 
Labor costs</v>
      </c>
      <c r="D30" s="466" t="s">
        <v>2434</v>
      </c>
      <c r="E30" s="870" t="str">
        <f>DocCalculation[[#This Row],[Category DE]]&amp;IF(LEN(DocCalculation[[#This Row],[Subcategory DE]])&gt;0," 
" &amp;DocCalculation[[#This Row],[Subcategory DE]],)</f>
        <v>Mitarbeiter 
Arbeitskosten</v>
      </c>
      <c r="F30" s="19" t="s">
        <v>2433</v>
      </c>
      <c r="G30" s="6" t="s">
        <v>464</v>
      </c>
      <c r="H30" s="6" t="s">
        <v>1962</v>
      </c>
      <c r="I30" s="6" t="s">
        <v>354</v>
      </c>
      <c r="J30" s="6" t="s">
        <v>374</v>
      </c>
      <c r="K30" s="477" t="s">
        <v>119</v>
      </c>
      <c r="L30" s="6">
        <v>1</v>
      </c>
    </row>
    <row r="31" spans="2:12" ht="38.25" hidden="1" outlineLevel="1">
      <c r="B31" s="6" t="s">
        <v>276</v>
      </c>
      <c r="C31" s="869" t="str">
        <f>DocCalculation[[#This Row],[Category EN]]&amp;IF(LEN(DocCalculation[[#This Row],[Subcategory EN]])&gt;0," 
" &amp;DocCalculation[[#This Row],[Subcategory EN]],)</f>
        <v>Workers 
Total</v>
      </c>
      <c r="D31" s="466" t="s">
        <v>1243</v>
      </c>
      <c r="E31" s="870" t="str">
        <f>DocCalculation[[#This Row],[Category DE]]&amp;IF(LEN(DocCalculation[[#This Row],[Subcategory DE]])&gt;0," 
" &amp;DocCalculation[[#This Row],[Subcategory DE]],)</f>
        <v>Mitarbeiter 
Total</v>
      </c>
      <c r="F31" s="19" t="s">
        <v>1242</v>
      </c>
      <c r="G31" s="6" t="s">
        <v>464</v>
      </c>
      <c r="H31" s="6" t="s">
        <v>70</v>
      </c>
      <c r="I31" s="6" t="s">
        <v>354</v>
      </c>
      <c r="J31" s="6" t="s">
        <v>70</v>
      </c>
      <c r="K31" s="477" t="s">
        <v>300</v>
      </c>
      <c r="L31" s="6">
        <v>1</v>
      </c>
    </row>
    <row r="32" spans="2:12" ht="38.25" hidden="1" outlineLevel="1">
      <c r="B32" s="6" t="s">
        <v>51</v>
      </c>
      <c r="C32" s="869" t="str">
        <f>DocCalculation[[#This Row],[Category EN]]&amp;IF(LEN(DocCalculation[[#This Row],[Subcategory EN]])&gt;0," 
" &amp;DocCalculation[[#This Row],[Subcategory EN]],)</f>
        <v>Tools/Jigs 
Description</v>
      </c>
      <c r="D32" s="466" t="s">
        <v>465</v>
      </c>
      <c r="E32" s="869" t="str">
        <f>DocCalculation[[#This Row],[Category DE]]&amp;IF(LEN(DocCalculation[[#This Row],[Subcategory DE]])&gt;0," 
" &amp;DocCalculation[[#This Row],[Subcategory DE]],)</f>
        <v>Werkzeuge/ Vorrichtungen 
Bezeichnung</v>
      </c>
      <c r="F32" s="19" t="s">
        <v>417</v>
      </c>
      <c r="G32" s="6" t="s">
        <v>466</v>
      </c>
      <c r="H32" s="6" t="s">
        <v>69</v>
      </c>
      <c r="I32" s="6" t="s">
        <v>377</v>
      </c>
      <c r="J32" s="6" t="s">
        <v>2</v>
      </c>
      <c r="K32" s="6"/>
      <c r="L32" s="6">
        <v>1</v>
      </c>
    </row>
    <row r="33" spans="2:12" ht="38.25" hidden="1" outlineLevel="1">
      <c r="B33" s="6" t="s">
        <v>277</v>
      </c>
      <c r="C33" s="869" t="str">
        <f>DocCalculation[[#This Row],[Category EN]]&amp;IF(LEN(DocCalculation[[#This Row],[Subcategory EN]])&gt;0," 
" &amp;DocCalculation[[#This Row],[Subcategory EN]],)</f>
        <v>Tools/Jigs 
Quantitiy</v>
      </c>
      <c r="D33" s="466" t="s">
        <v>467</v>
      </c>
      <c r="E33" s="869" t="str">
        <f>DocCalculation[[#This Row],[Category DE]]&amp;IF(LEN(DocCalculation[[#This Row],[Subcategory DE]])&gt;0," 
" &amp;DocCalculation[[#This Row],[Subcategory DE]],)</f>
        <v>Werkzeuge/ Vorrichtungen 
Anzahl</v>
      </c>
      <c r="F33" s="19" t="s">
        <v>378</v>
      </c>
      <c r="G33" s="6" t="s">
        <v>466</v>
      </c>
      <c r="H33" s="6" t="s">
        <v>1964</v>
      </c>
      <c r="I33" s="6" t="s">
        <v>377</v>
      </c>
      <c r="J33" s="6" t="s">
        <v>35</v>
      </c>
      <c r="K33" s="6"/>
      <c r="L33" s="6">
        <v>1</v>
      </c>
    </row>
    <row r="34" spans="2:12" ht="38.25" hidden="1" outlineLevel="1">
      <c r="B34" s="6" t="s">
        <v>278</v>
      </c>
      <c r="C34" s="869" t="str">
        <f>DocCalculation[[#This Row],[Category EN]]&amp;IF(LEN(DocCalculation[[#This Row],[Subcategory EN]])&gt;0," 
" &amp;DocCalculation[[#This Row],[Subcategory EN]],)</f>
        <v>Tools/Jigs 
Lifetime</v>
      </c>
      <c r="D34" s="480" t="s">
        <v>468</v>
      </c>
      <c r="E34" s="869" t="str">
        <f>DocCalculation[[#This Row],[Category DE]]&amp;IF(LEN(DocCalculation[[#This Row],[Subcategory DE]])&gt;0," 
" &amp;DocCalculation[[#This Row],[Subcategory DE]],)</f>
        <v>Werkzeuge/ Vorrichtungen 
Standzeit</v>
      </c>
      <c r="F34" s="19" t="s">
        <v>2379</v>
      </c>
      <c r="G34" s="6" t="s">
        <v>466</v>
      </c>
      <c r="H34" s="6" t="s">
        <v>2378</v>
      </c>
      <c r="I34" s="6" t="s">
        <v>377</v>
      </c>
      <c r="J34" s="6" t="s">
        <v>348</v>
      </c>
      <c r="K34" s="6"/>
      <c r="L34" s="6">
        <v>1</v>
      </c>
    </row>
    <row r="35" spans="2:12" ht="38.25" hidden="1" outlineLevel="1">
      <c r="B35" s="6" t="s">
        <v>279</v>
      </c>
      <c r="C35" s="869" t="str">
        <f>DocCalculation[[#This Row],[Category EN]]&amp;IF(LEN(DocCalculation[[#This Row],[Subcategory EN]])&gt;0," 
" &amp;DocCalculation[[#This Row],[Subcategory EN]],)</f>
        <v>Tools/Jigs 
Price</v>
      </c>
      <c r="D35" s="466" t="s">
        <v>470</v>
      </c>
      <c r="E35" s="869" t="str">
        <f>DocCalculation[[#This Row],[Category DE]]&amp;IF(LEN(DocCalculation[[#This Row],[Subcategory DE]])&gt;0," 
" &amp;DocCalculation[[#This Row],[Subcategory DE]],)</f>
        <v>Werkzeuge/ Vorrichtungen 
Preis</v>
      </c>
      <c r="F35" s="19" t="s">
        <v>379</v>
      </c>
      <c r="G35" s="6" t="s">
        <v>466</v>
      </c>
      <c r="H35" s="6" t="s">
        <v>157</v>
      </c>
      <c r="I35" s="6" t="s">
        <v>377</v>
      </c>
      <c r="J35" s="6" t="s">
        <v>11</v>
      </c>
      <c r="K35" s="6" t="s">
        <v>61</v>
      </c>
      <c r="L35" s="6">
        <v>1</v>
      </c>
    </row>
    <row r="36" spans="2:12" ht="38.25" hidden="1" outlineLevel="1">
      <c r="B36" s="6" t="s">
        <v>353</v>
      </c>
      <c r="C36" s="869" t="str">
        <f>DocCalculation[[#This Row],[Category EN]]&amp;IF(LEN(DocCalculation[[#This Row],[Subcategory EN]])&gt;0," 
" &amp;DocCalculation[[#This Row],[Subcategory EN]],)</f>
        <v>Tools / Jigs 
Price per piece</v>
      </c>
      <c r="D36" s="466" t="s">
        <v>471</v>
      </c>
      <c r="E36" s="869" t="str">
        <f>DocCalculation[[#This Row],[Category DE]]&amp;IF(LEN(DocCalculation[[#This Row],[Subcategory DE]])&gt;0," 
" &amp;DocCalculation[[#This Row],[Subcategory DE]],)</f>
        <v>Werkzeuge/ Vorrichtungen 
Preis pro Stück</v>
      </c>
      <c r="F36" s="19" t="s">
        <v>418</v>
      </c>
      <c r="G36" s="6" t="s">
        <v>472</v>
      </c>
      <c r="H36" s="6" t="s">
        <v>473</v>
      </c>
      <c r="I36" s="6" t="s">
        <v>377</v>
      </c>
      <c r="J36" s="6" t="s">
        <v>380</v>
      </c>
      <c r="K36" s="6" t="s">
        <v>300</v>
      </c>
      <c r="L36" s="6">
        <v>1</v>
      </c>
    </row>
    <row r="37" spans="2:12" ht="38.25" hidden="1" outlineLevel="1">
      <c r="B37" s="6" t="s">
        <v>352</v>
      </c>
      <c r="C37" s="869" t="str">
        <f>DocCalculation[[#This Row],[Category EN]]&amp;IF(LEN(DocCalculation[[#This Row],[Subcategory EN]])&gt;0," 
" &amp;DocCalculation[[#This Row],[Subcategory EN]],)</f>
        <v>Wear Tools 
Description</v>
      </c>
      <c r="D37" s="466" t="s">
        <v>474</v>
      </c>
      <c r="E37" s="869" t="str">
        <f>DocCalculation[[#This Row],[Category DE]]&amp;IF(LEN(DocCalculation[[#This Row],[Subcategory DE]])&gt;0," 
" &amp;DocCalculation[[#This Row],[Subcategory DE]],)</f>
        <v>Verschleißwerkzeuge 
Bezeichnung</v>
      </c>
      <c r="F37" s="19" t="s">
        <v>351</v>
      </c>
      <c r="G37" s="6" t="s">
        <v>208</v>
      </c>
      <c r="H37" s="6" t="s">
        <v>69</v>
      </c>
      <c r="I37" s="6" t="s">
        <v>86</v>
      </c>
      <c r="J37" s="6" t="s">
        <v>2</v>
      </c>
      <c r="K37" s="6"/>
      <c r="L37" s="6">
        <v>1</v>
      </c>
    </row>
    <row r="38" spans="2:12" ht="38.25" hidden="1" outlineLevel="1">
      <c r="B38" s="6" t="s">
        <v>350</v>
      </c>
      <c r="C38" s="869" t="str">
        <f>DocCalculation[[#This Row],[Category EN]]&amp;IF(LEN(DocCalculation[[#This Row],[Subcategory EN]])&gt;0," 
" &amp;DocCalculation[[#This Row],[Subcategory EN]],)</f>
        <v>Wear Tools 
Quantity</v>
      </c>
      <c r="D38" s="466" t="s">
        <v>475</v>
      </c>
      <c r="E38" s="869" t="str">
        <f>DocCalculation[[#This Row],[Category DE]]&amp;IF(LEN(DocCalculation[[#This Row],[Subcategory DE]])&gt;0," 
" &amp;DocCalculation[[#This Row],[Subcategory DE]],)</f>
        <v>Verschleißwerkzeuge 
Anzahl</v>
      </c>
      <c r="F38" s="19" t="s">
        <v>1486</v>
      </c>
      <c r="G38" s="6" t="s">
        <v>208</v>
      </c>
      <c r="H38" s="6" t="s">
        <v>476</v>
      </c>
      <c r="I38" s="6" t="s">
        <v>86</v>
      </c>
      <c r="J38" s="6" t="s">
        <v>35</v>
      </c>
      <c r="K38" s="6"/>
      <c r="L38" s="6">
        <v>1</v>
      </c>
    </row>
    <row r="39" spans="2:12" ht="38.25" hidden="1" outlineLevel="1">
      <c r="B39" s="6" t="s">
        <v>349</v>
      </c>
      <c r="C39" s="869" t="str">
        <f>DocCalculation[[#This Row],[Category EN]]&amp;IF(LEN(DocCalculation[[#This Row],[Subcategory EN]])&gt;0," 
" &amp;DocCalculation[[#This Row],[Subcategory EN]],)</f>
        <v>Wear Tools 
Service life</v>
      </c>
      <c r="D39" s="466" t="s">
        <v>1767</v>
      </c>
      <c r="E39" s="869" t="str">
        <f>DocCalculation[[#This Row],[Category DE]]&amp;IF(LEN(DocCalculation[[#This Row],[Subcategory DE]])&gt;0," 
" &amp;DocCalculation[[#This Row],[Subcategory DE]],)</f>
        <v>Verschleißwerkzeuge 
Standzeit</v>
      </c>
      <c r="F39" s="19" t="s">
        <v>1766</v>
      </c>
      <c r="G39" s="6" t="s">
        <v>208</v>
      </c>
      <c r="H39" s="6" t="s">
        <v>469</v>
      </c>
      <c r="I39" s="6" t="s">
        <v>86</v>
      </c>
      <c r="J39" s="6" t="s">
        <v>348</v>
      </c>
      <c r="K39" s="6"/>
      <c r="L39" s="6">
        <v>1</v>
      </c>
    </row>
    <row r="40" spans="2:12" ht="38.25" hidden="1" outlineLevel="1">
      <c r="B40" s="6" t="s">
        <v>347</v>
      </c>
      <c r="C40" s="869" t="str">
        <f>DocCalculation[[#This Row],[Category EN]]&amp;IF(LEN(DocCalculation[[#This Row],[Subcategory EN]])&gt;0," 
" &amp;DocCalculation[[#This Row],[Subcategory EN]],)</f>
        <v>Wear Tools 
Price</v>
      </c>
      <c r="D40" s="466" t="s">
        <v>477</v>
      </c>
      <c r="E40" s="869" t="str">
        <f>DocCalculation[[#This Row],[Category DE]]&amp;IF(LEN(DocCalculation[[#This Row],[Subcategory DE]])&gt;0," 
" &amp;DocCalculation[[#This Row],[Subcategory DE]],)</f>
        <v>Verschleißwerkzeuge 
Preis</v>
      </c>
      <c r="F40" s="19" t="s">
        <v>381</v>
      </c>
      <c r="G40" s="6" t="s">
        <v>208</v>
      </c>
      <c r="H40" s="6" t="s">
        <v>157</v>
      </c>
      <c r="I40" s="6" t="s">
        <v>86</v>
      </c>
      <c r="J40" s="6" t="s">
        <v>11</v>
      </c>
      <c r="K40" s="6" t="s">
        <v>61</v>
      </c>
      <c r="L40" s="6">
        <v>1</v>
      </c>
    </row>
    <row r="41" spans="2:12" ht="38.25" hidden="1" outlineLevel="1">
      <c r="B41" s="6" t="s">
        <v>346</v>
      </c>
      <c r="C41" s="869" t="str">
        <f>DocCalculation[[#This Row],[Category EN]]&amp;IF(LEN(DocCalculation[[#This Row],[Subcategory EN]])&gt;0," 
" &amp;DocCalculation[[#This Row],[Subcategory EN]],)</f>
        <v>Wear Tools 
Price per piece</v>
      </c>
      <c r="D41" s="466" t="s">
        <v>478</v>
      </c>
      <c r="E41" s="869" t="str">
        <f>DocCalculation[[#This Row],[Category DE]]&amp;IF(LEN(DocCalculation[[#This Row],[Subcategory DE]])&gt;0," 
" &amp;DocCalculation[[#This Row],[Subcategory DE]],)</f>
        <v>Verschleißwerkzeuge 
Preis pro Stück</v>
      </c>
      <c r="F41" s="19" t="s">
        <v>419</v>
      </c>
      <c r="G41" s="6" t="s">
        <v>208</v>
      </c>
      <c r="H41" s="6" t="s">
        <v>473</v>
      </c>
      <c r="I41" s="6" t="s">
        <v>86</v>
      </c>
      <c r="J41" s="6" t="s">
        <v>380</v>
      </c>
      <c r="K41" s="6" t="s">
        <v>300</v>
      </c>
      <c r="L41" s="6">
        <v>1</v>
      </c>
    </row>
    <row r="42" spans="2:12" ht="25.5" hidden="1" outlineLevel="1">
      <c r="B42" s="6" t="s">
        <v>345</v>
      </c>
      <c r="C42" s="869" t="str">
        <f>DocCalculation[[#This Row],[Category EN]]&amp;IF(LEN(DocCalculation[[#This Row],[Subcategory EN]])&gt;0," 
" &amp;DocCalculation[[#This Row],[Subcategory EN]],)</f>
        <v>Production scrap 
Scrap rate</v>
      </c>
      <c r="D42" s="466" t="s">
        <v>479</v>
      </c>
      <c r="E42" s="869" t="str">
        <f>DocCalculation[[#This Row],[Category DE]]&amp;IF(LEN(DocCalculation[[#This Row],[Subcategory DE]])&gt;0," 
" &amp;DocCalculation[[#This Row],[Subcategory DE]],)</f>
        <v>Fertigungsausschuss 
Ausschussrate</v>
      </c>
      <c r="F42" s="19" t="s">
        <v>344</v>
      </c>
      <c r="G42" s="6" t="s">
        <v>480</v>
      </c>
      <c r="H42" s="6" t="s">
        <v>481</v>
      </c>
      <c r="I42" s="6" t="s">
        <v>333</v>
      </c>
      <c r="J42" s="6" t="s">
        <v>77</v>
      </c>
      <c r="K42" s="6" t="s">
        <v>3</v>
      </c>
      <c r="L42" s="6">
        <v>1</v>
      </c>
    </row>
    <row r="43" spans="2:12" ht="25.5" hidden="1" outlineLevel="1">
      <c r="B43" s="6" t="s">
        <v>343</v>
      </c>
      <c r="C43" s="869" t="str">
        <f>DocCalculation[[#This Row],[Category EN]]&amp;IF(LEN(DocCalculation[[#This Row],[Subcategory EN]])&gt;0," 
" &amp;DocCalculation[[#This Row],[Subcategory EN]],)</f>
        <v>Production scrap 
Rework share</v>
      </c>
      <c r="D43" s="466" t="s">
        <v>482</v>
      </c>
      <c r="E43" s="869" t="str">
        <f>DocCalculation[[#This Row],[Category DE]]&amp;IF(LEN(DocCalculation[[#This Row],[Subcategory DE]])&gt;0," 
" &amp;DocCalculation[[#This Row],[Subcategory DE]],)</f>
        <v>Fertigungsausschuss 
Nacharbeitanteil</v>
      </c>
      <c r="F43" s="19" t="s">
        <v>341</v>
      </c>
      <c r="G43" s="6" t="s">
        <v>480</v>
      </c>
      <c r="H43" s="6" t="s">
        <v>483</v>
      </c>
      <c r="I43" s="6" t="s">
        <v>333</v>
      </c>
      <c r="J43" s="6" t="s">
        <v>342</v>
      </c>
      <c r="K43" s="6" t="s">
        <v>3</v>
      </c>
      <c r="L43" s="6">
        <v>1</v>
      </c>
    </row>
    <row r="44" spans="2:12" ht="25.5" hidden="1" outlineLevel="1">
      <c r="B44" s="6" t="s">
        <v>340</v>
      </c>
      <c r="C44" s="869" t="str">
        <f>DocCalculation[[#This Row],[Category EN]]&amp;IF(LEN(DocCalculation[[#This Row],[Subcategory EN]])&gt;0," 
" &amp;DocCalculation[[#This Row],[Subcategory EN]],)</f>
        <v>Production scrap 
Rework costs</v>
      </c>
      <c r="D44" s="466" t="s">
        <v>484</v>
      </c>
      <c r="E44" s="869" t="str">
        <f>DocCalculation[[#This Row],[Category DE]]&amp;IF(LEN(DocCalculation[[#This Row],[Subcategory DE]])&gt;0," 
" &amp;DocCalculation[[#This Row],[Subcategory DE]],)</f>
        <v>Fertigungsausschuss 
Nacharbeitskosten</v>
      </c>
      <c r="F44" s="19" t="s">
        <v>338</v>
      </c>
      <c r="G44" s="6" t="s">
        <v>480</v>
      </c>
      <c r="H44" s="6" t="s">
        <v>485</v>
      </c>
      <c r="I44" s="6" t="s">
        <v>333</v>
      </c>
      <c r="J44" s="6" t="s">
        <v>339</v>
      </c>
      <c r="K44" s="6" t="s">
        <v>300</v>
      </c>
      <c r="L44" s="6">
        <v>1</v>
      </c>
    </row>
    <row r="45" spans="2:12" ht="38.25" hidden="1" outlineLevel="1">
      <c r="B45" s="6" t="s">
        <v>337</v>
      </c>
      <c r="C45" s="869" t="str">
        <f>DocCalculation[[#This Row],[Category EN]]&amp;IF(LEN(DocCalculation[[#This Row],[Subcategory EN]])&gt;0," 
" &amp;DocCalculation[[#This Row],[Subcategory EN]],)</f>
        <v>Production scrap 
Scrap before this production stage</v>
      </c>
      <c r="D45" s="466" t="s">
        <v>486</v>
      </c>
      <c r="E45" s="869" t="str">
        <f>DocCalculation[[#This Row],[Category DE]]&amp;IF(LEN(DocCalculation[[#This Row],[Subcategory DE]])&gt;0," 
" &amp;DocCalculation[[#This Row],[Subcategory DE]],)</f>
        <v>Fertigungsausschuss 
Ausschuss vor dieser Fertigungsstufe</v>
      </c>
      <c r="F45" s="19" t="s">
        <v>382</v>
      </c>
      <c r="G45" s="6" t="s">
        <v>480</v>
      </c>
      <c r="H45" s="6" t="s">
        <v>1240</v>
      </c>
      <c r="I45" s="6" t="s">
        <v>333</v>
      </c>
      <c r="J45" s="6" t="s">
        <v>336</v>
      </c>
      <c r="K45" s="6" t="s">
        <v>300</v>
      </c>
      <c r="L45" s="6">
        <v>1</v>
      </c>
    </row>
    <row r="46" spans="2:12" ht="38.25" hidden="1" outlineLevel="1">
      <c r="B46" s="6" t="s">
        <v>335</v>
      </c>
      <c r="C46" s="869" t="str">
        <f>DocCalculation[[#This Row],[Category EN]]&amp;IF(LEN(DocCalculation[[#This Row],[Subcategory EN]])&gt;0," 
" &amp;DocCalculation[[#This Row],[Subcategory EN]],)</f>
        <v>Production scrap 
Average rework costs</v>
      </c>
      <c r="D46" s="466" t="s">
        <v>487</v>
      </c>
      <c r="E46" s="869" t="str">
        <f>DocCalculation[[#This Row],[Category DE]]&amp;IF(LEN(DocCalculation[[#This Row],[Subcategory DE]])&gt;0," 
" &amp;DocCalculation[[#This Row],[Subcategory DE]],)</f>
        <v>Fertigungsausschuss 
durchschnittliche Nacharbeitskosten</v>
      </c>
      <c r="F46" s="19" t="s">
        <v>420</v>
      </c>
      <c r="G46" s="6" t="s">
        <v>480</v>
      </c>
      <c r="H46" s="6" t="s">
        <v>1965</v>
      </c>
      <c r="I46" s="6" t="s">
        <v>333</v>
      </c>
      <c r="J46" s="6" t="s">
        <v>383</v>
      </c>
      <c r="K46" s="6" t="s">
        <v>300</v>
      </c>
      <c r="L46" s="6">
        <v>1</v>
      </c>
    </row>
    <row r="47" spans="2:12" ht="89.25" hidden="1" outlineLevel="1">
      <c r="B47" s="6" t="s">
        <v>334</v>
      </c>
      <c r="C47" s="869" t="str">
        <f>DocCalculation[[#This Row],[Category EN]]&amp;IF(LEN(DocCalculation[[#This Row],[Subcategory EN]])&gt;0," 
" &amp;DocCalculation[[#This Row],[Subcategory EN]],)</f>
        <v>Production scrap 
Total</v>
      </c>
      <c r="D47" s="466" t="s">
        <v>1498</v>
      </c>
      <c r="E47" s="869" t="str">
        <f>DocCalculation[[#This Row],[Category DE]]&amp;IF(LEN(DocCalculation[[#This Row],[Subcategory DE]])&gt;0," 
" &amp;DocCalculation[[#This Row],[Subcategory DE]],)</f>
        <v>Fertigungsausschuss 
Total</v>
      </c>
      <c r="F47" s="19" t="s">
        <v>421</v>
      </c>
      <c r="G47" s="6" t="s">
        <v>480</v>
      </c>
      <c r="H47" s="6" t="s">
        <v>70</v>
      </c>
      <c r="I47" s="6" t="s">
        <v>333</v>
      </c>
      <c r="J47" s="6" t="s">
        <v>70</v>
      </c>
      <c r="K47" s="6" t="s">
        <v>300</v>
      </c>
      <c r="L47" s="6">
        <v>1</v>
      </c>
    </row>
    <row r="48" spans="2:12" ht="25.5" hidden="1" outlineLevel="1">
      <c r="B48" s="6" t="s">
        <v>332</v>
      </c>
      <c r="C48" s="869" t="str">
        <f>DocCalculation[[#This Row],[Category EN]]&amp;IF(LEN(DocCalculation[[#This Row],[Subcategory EN]])&gt;0," 
" &amp;DocCalculation[[#This Row],[Subcategory EN]],)</f>
        <v>Indirect Mfg. 
IMHR</v>
      </c>
      <c r="D48" s="466" t="s">
        <v>1226</v>
      </c>
      <c r="E48" s="869" t="str">
        <f>DocCalculation[[#This Row],[Category DE]]&amp;IF(LEN(DocCalculation[[#This Row],[Subcategory DE]])&gt;0," 
" &amp;DocCalculation[[#This Row],[Subcategory DE]],)</f>
        <v>RFGK 
RSS</v>
      </c>
      <c r="F48" s="19" t="s">
        <v>1565</v>
      </c>
      <c r="G48" s="6" t="s">
        <v>167</v>
      </c>
      <c r="H48" s="6" t="s">
        <v>1224</v>
      </c>
      <c r="I48" s="6" t="s">
        <v>98</v>
      </c>
      <c r="J48" s="6" t="s">
        <v>63</v>
      </c>
      <c r="K48" s="6" t="s">
        <v>119</v>
      </c>
      <c r="L48" s="6">
        <v>1</v>
      </c>
    </row>
    <row r="49" spans="2:12" ht="63.75" hidden="1" outlineLevel="1">
      <c r="B49" s="6" t="s">
        <v>331</v>
      </c>
      <c r="C49" s="869" t="str">
        <f>DocCalculation[[#This Row],[Category EN]]&amp;IF(LEN(DocCalculation[[#This Row],[Subcategory EN]])&gt;0," 
" &amp;DocCalculation[[#This Row],[Subcategory EN]],)</f>
        <v>Indirect Mfg. 
Indirect Mfg. Rate</v>
      </c>
      <c r="D49" s="466" t="s">
        <v>1778</v>
      </c>
      <c r="E49" s="869" t="str">
        <f>DocCalculation[[#This Row],[Category DE]]&amp;IF(LEN(DocCalculation[[#This Row],[Subcategory DE]])&gt;0," 
" &amp;DocCalculation[[#This Row],[Subcategory DE]],)</f>
        <v>RFGK 
RFGK-Satz</v>
      </c>
      <c r="F49" s="19" t="s">
        <v>1777</v>
      </c>
      <c r="G49" s="6" t="s">
        <v>167</v>
      </c>
      <c r="H49" s="6" t="s">
        <v>488</v>
      </c>
      <c r="I49" s="6" t="s">
        <v>98</v>
      </c>
      <c r="J49" s="6" t="s">
        <v>64</v>
      </c>
      <c r="K49" s="6" t="s">
        <v>3</v>
      </c>
      <c r="L49" s="6">
        <v>1</v>
      </c>
    </row>
    <row r="50" spans="2:12" ht="38.25" hidden="1" outlineLevel="1">
      <c r="B50" s="6" t="s">
        <v>330</v>
      </c>
      <c r="C50" s="869" t="str">
        <f>DocCalculation[[#This Row],[Category EN]]&amp;IF(LEN(DocCalculation[[#This Row],[Subcategory EN]])&gt;0," 
" &amp;DocCalculation[[#This Row],[Subcategory EN]],)</f>
        <v>Indirect Mfg. 
Total</v>
      </c>
      <c r="D50" s="466" t="s">
        <v>1225</v>
      </c>
      <c r="E50" s="869" t="str">
        <f>DocCalculation[[#This Row],[Category DE]]&amp;IF(LEN(DocCalculation[[#This Row],[Subcategory DE]])&gt;0," 
" &amp;DocCalculation[[#This Row],[Subcategory DE]],)</f>
        <v>RFGK 
Total</v>
      </c>
      <c r="F50" s="19" t="s">
        <v>422</v>
      </c>
      <c r="G50" s="6" t="s">
        <v>167</v>
      </c>
      <c r="H50" s="6" t="s">
        <v>70</v>
      </c>
      <c r="I50" s="6" t="s">
        <v>98</v>
      </c>
      <c r="J50" s="6" t="s">
        <v>70</v>
      </c>
      <c r="K50" s="6" t="s">
        <v>300</v>
      </c>
      <c r="L50" s="6">
        <v>1</v>
      </c>
    </row>
    <row r="51" spans="2:12" ht="63.75" hidden="1" outlineLevel="1">
      <c r="B51" s="6" t="s">
        <v>329</v>
      </c>
      <c r="C51" s="869" t="str">
        <f>DocCalculation[[#This Row],[Category EN]]&amp;IF(LEN(DocCalculation[[#This Row],[Subcategory EN]])&gt;0," 
" &amp;DocCalculation[[#This Row],[Subcategory EN]],)</f>
        <v>Production costs</v>
      </c>
      <c r="D51" s="466" t="s">
        <v>490</v>
      </c>
      <c r="E51" s="869" t="str">
        <f>DocCalculation[[#This Row],[Category DE]]&amp;IF(LEN(DocCalculation[[#This Row],[Subcategory DE]])&gt;0," 
" &amp;DocCalculation[[#This Row],[Subcategory DE]],)</f>
        <v>Fertigungskosten</v>
      </c>
      <c r="F51" s="19" t="s">
        <v>423</v>
      </c>
      <c r="G51" s="6" t="s">
        <v>489</v>
      </c>
      <c r="I51" s="6" t="s">
        <v>384</v>
      </c>
      <c r="K51" s="6" t="s">
        <v>300</v>
      </c>
      <c r="L51" s="6">
        <v>1</v>
      </c>
    </row>
    <row r="52" spans="2:12" ht="191.25" hidden="1" outlineLevel="1">
      <c r="B52" s="6" t="s">
        <v>328</v>
      </c>
      <c r="C52" s="869" t="str">
        <f>DocCalculation[[#This Row],[Category EN]]&amp;IF(LEN(DocCalculation[[#This Row],[Subcategory EN]])&gt;0," 
" &amp;DocCalculation[[#This Row],[Subcategory EN]],)</f>
        <v>Material &amp; Consumables 
Designation</v>
      </c>
      <c r="D52" s="466" t="s">
        <v>1988</v>
      </c>
      <c r="E52" s="869" t="str">
        <f>DocCalculation[[#This Row],[Category DE]]&amp;IF(LEN(DocCalculation[[#This Row],[Subcategory DE]])&gt;0," 
" &amp;DocCalculation[[#This Row],[Subcategory DE]],)</f>
        <v>Material &amp; Verbrauchsstoffe 
Bezeichnung</v>
      </c>
      <c r="F52" s="19" t="s">
        <v>1987</v>
      </c>
      <c r="G52" s="6" t="s">
        <v>491</v>
      </c>
      <c r="H52" s="6" t="s">
        <v>492</v>
      </c>
      <c r="I52" s="6" t="s">
        <v>370</v>
      </c>
      <c r="J52" s="6" t="s">
        <v>2</v>
      </c>
      <c r="K52" s="6"/>
      <c r="L52" s="6">
        <v>1</v>
      </c>
    </row>
    <row r="53" spans="2:12" ht="76.5" hidden="1" outlineLevel="1">
      <c r="B53" s="6" t="s">
        <v>327</v>
      </c>
      <c r="C53" s="869" t="str">
        <f>DocCalculation[[#This Row],[Category EN]]&amp;IF(LEN(DocCalculation[[#This Row],[Subcategory EN]])&gt;0," 
" &amp;DocCalculation[[#This Row],[Subcategory EN]],)</f>
        <v>Material &amp; Consumables 
Quantity</v>
      </c>
      <c r="D53" s="466" t="s">
        <v>2388</v>
      </c>
      <c r="E53" s="869" t="str">
        <f>DocCalculation[[#This Row],[Category DE]]&amp;IF(LEN(DocCalculation[[#This Row],[Subcategory DE]])&gt;0," 
" &amp;DocCalculation[[#This Row],[Subcategory DE]],)</f>
        <v>Material &amp; Verbrauchsstoffe 
Anzahl</v>
      </c>
      <c r="F53" s="19" t="s">
        <v>1738</v>
      </c>
      <c r="G53" s="6" t="s">
        <v>491</v>
      </c>
      <c r="H53" s="6" t="s">
        <v>476</v>
      </c>
      <c r="I53" s="6" t="s">
        <v>370</v>
      </c>
      <c r="J53" s="6" t="s">
        <v>35</v>
      </c>
      <c r="K53" s="6"/>
      <c r="L53" s="6">
        <v>1</v>
      </c>
    </row>
    <row r="54" spans="2:12" ht="38.25" hidden="1" outlineLevel="1">
      <c r="B54" s="6" t="s">
        <v>326</v>
      </c>
      <c r="C54" s="869" t="str">
        <f>DocCalculation[[#This Row],[Category EN]]&amp;IF(LEN(DocCalculation[[#This Row],[Subcategory EN]])&gt;0," 
" &amp;DocCalculation[[#This Row],[Subcategory EN]],)</f>
        <v>Material &amp; Consumables 
Unit</v>
      </c>
      <c r="D54" s="466" t="s">
        <v>493</v>
      </c>
      <c r="E54" s="869" t="str">
        <f>DocCalculation[[#This Row],[Category DE]]&amp;IF(LEN(DocCalculation[[#This Row],[Subcategory DE]])&gt;0," 
" &amp;DocCalculation[[#This Row],[Subcategory DE]],)</f>
        <v>Material &amp; Verbrauchsstoffe 
Einheit</v>
      </c>
      <c r="F54" s="19" t="s">
        <v>385</v>
      </c>
      <c r="G54" s="6" t="s">
        <v>491</v>
      </c>
      <c r="H54" s="6" t="s">
        <v>71</v>
      </c>
      <c r="I54" s="6" t="s">
        <v>370</v>
      </c>
      <c r="J54" s="6" t="s">
        <v>59</v>
      </c>
      <c r="K54" s="6"/>
      <c r="L54" s="6">
        <v>1</v>
      </c>
    </row>
    <row r="55" spans="2:12" ht="38.25" hidden="1" outlineLevel="1">
      <c r="B55" s="6" t="s">
        <v>325</v>
      </c>
      <c r="C55" s="869" t="str">
        <f>DocCalculation[[#This Row],[Category EN]]&amp;IF(LEN(DocCalculation[[#This Row],[Subcategory EN]])&gt;0," 
" &amp;DocCalculation[[#This Row],[Subcategory EN]],)</f>
        <v>Material &amp; Consumables 
Price</v>
      </c>
      <c r="D55" s="466" t="s">
        <v>494</v>
      </c>
      <c r="E55" s="869" t="str">
        <f>DocCalculation[[#This Row],[Category DE]]&amp;IF(LEN(DocCalculation[[#This Row],[Subcategory DE]])&gt;0," 
" &amp;DocCalculation[[#This Row],[Subcategory DE]],)</f>
        <v>Material &amp; Verbrauchsstoffe 
Preis</v>
      </c>
      <c r="F55" s="19" t="s">
        <v>386</v>
      </c>
      <c r="G55" s="6" t="s">
        <v>491</v>
      </c>
      <c r="H55" s="6" t="s">
        <v>157</v>
      </c>
      <c r="I55" s="6" t="s">
        <v>370</v>
      </c>
      <c r="J55" s="6" t="s">
        <v>11</v>
      </c>
      <c r="K55" s="6" t="s">
        <v>61</v>
      </c>
      <c r="L55" s="6">
        <v>1</v>
      </c>
    </row>
    <row r="56" spans="2:12" ht="38.25" hidden="1" outlineLevel="1">
      <c r="B56" s="6" t="s">
        <v>324</v>
      </c>
      <c r="C56" s="869" t="str">
        <f>DocCalculation[[#This Row],[Category EN]]&amp;IF(LEN(DocCalculation[[#This Row],[Subcategory EN]])&gt;0," 
" &amp;DocCalculation[[#This Row],[Subcategory EN]],)</f>
        <v>Material &amp; Consumables 
Total</v>
      </c>
      <c r="D56" s="466" t="s">
        <v>1477</v>
      </c>
      <c r="E56" s="869" t="str">
        <f>DocCalculation[[#This Row],[Category DE]]&amp;IF(LEN(DocCalculation[[#This Row],[Subcategory DE]])&gt;0," 
" &amp;DocCalculation[[#This Row],[Subcategory DE]],)</f>
        <v>Material &amp; Verbrauchsstoffe 
Total</v>
      </c>
      <c r="F56" s="19" t="s">
        <v>1241</v>
      </c>
      <c r="G56" s="6" t="s">
        <v>491</v>
      </c>
      <c r="H56" s="6" t="s">
        <v>70</v>
      </c>
      <c r="I56" s="6" t="s">
        <v>370</v>
      </c>
      <c r="J56" s="6" t="s">
        <v>70</v>
      </c>
      <c r="K56" s="6"/>
      <c r="L56" s="6">
        <v>1</v>
      </c>
    </row>
    <row r="57" spans="2:12" ht="38.25" hidden="1" outlineLevel="1">
      <c r="B57" s="6" t="s">
        <v>323</v>
      </c>
      <c r="C57" s="869" t="str">
        <f>DocCalculation[[#This Row],[Category EN]]&amp;IF(LEN(DocCalculation[[#This Row],[Subcategory EN]])&gt;0," 
" &amp;DocCalculation[[#This Row],[Subcategory EN]],)</f>
        <v>Scrap material 
Scrap rate</v>
      </c>
      <c r="D57" s="466" t="s">
        <v>1752</v>
      </c>
      <c r="E57" s="869" t="str">
        <f>DocCalculation[[#This Row],[Category DE]]&amp;IF(LEN(DocCalculation[[#This Row],[Subcategory DE]])&gt;0," 
" &amp;DocCalculation[[#This Row],[Subcategory DE]],)</f>
        <v>Materialausschuss 
Ausschussrate</v>
      </c>
      <c r="F57" s="19" t="s">
        <v>1751</v>
      </c>
      <c r="G57" s="6" t="s">
        <v>1393</v>
      </c>
      <c r="H57" s="6" t="s">
        <v>481</v>
      </c>
      <c r="I57" s="6" t="s">
        <v>387</v>
      </c>
      <c r="J57" s="6" t="s">
        <v>77</v>
      </c>
      <c r="K57" s="6" t="s">
        <v>3</v>
      </c>
      <c r="L57" s="6">
        <v>1</v>
      </c>
    </row>
    <row r="58" spans="2:12" ht="38.25" hidden="1" outlineLevel="1">
      <c r="B58" s="6" t="s">
        <v>322</v>
      </c>
      <c r="C58" s="869" t="str">
        <f>DocCalculation[[#This Row],[Category EN]]&amp;IF(LEN(DocCalculation[[#This Row],[Subcategory EN]])&gt;0," 
" &amp;DocCalculation[[#This Row],[Subcategory EN]],)</f>
        <v>Scrap material 
Scrap before this production stage</v>
      </c>
      <c r="D58" s="466" t="s">
        <v>1739</v>
      </c>
      <c r="E58" s="869" t="str">
        <f>DocCalculation[[#This Row],[Category DE]]&amp;IF(LEN(DocCalculation[[#This Row],[Subcategory DE]])&gt;0," 
" &amp;DocCalculation[[#This Row],[Subcategory DE]],)</f>
        <v>Materialausschuss 
Ausschuss vor dieser Fertigungsstufe</v>
      </c>
      <c r="F58" s="19" t="s">
        <v>388</v>
      </c>
      <c r="G58" s="6" t="s">
        <v>1393</v>
      </c>
      <c r="H58" s="477" t="s">
        <v>1240</v>
      </c>
      <c r="I58" s="6" t="s">
        <v>387</v>
      </c>
      <c r="J58" s="481" t="s">
        <v>336</v>
      </c>
      <c r="K58" s="6" t="s">
        <v>300</v>
      </c>
      <c r="L58" s="6">
        <v>1</v>
      </c>
    </row>
    <row r="59" spans="2:12" ht="63.75" hidden="1" outlineLevel="1">
      <c r="B59" s="6" t="s">
        <v>321</v>
      </c>
      <c r="C59" s="869" t="str">
        <f>DocCalculation[[#This Row],[Category EN]]&amp;IF(LEN(DocCalculation[[#This Row],[Subcategory EN]])&gt;0," 
" &amp;DocCalculation[[#This Row],[Subcategory EN]],)</f>
        <v>Scrap material 
Total</v>
      </c>
      <c r="D59" s="466" t="s">
        <v>495</v>
      </c>
      <c r="E59" s="869" t="str">
        <f>DocCalculation[[#This Row],[Category DE]]&amp;IF(LEN(DocCalculation[[#This Row],[Subcategory DE]])&gt;0," 
" &amp;DocCalculation[[#This Row],[Subcategory DE]],)</f>
        <v>Materialausschuss 
Total</v>
      </c>
      <c r="F59" s="19" t="s">
        <v>424</v>
      </c>
      <c r="G59" s="6" t="s">
        <v>1393</v>
      </c>
      <c r="H59" s="6" t="s">
        <v>70</v>
      </c>
      <c r="I59" s="6" t="s">
        <v>387</v>
      </c>
      <c r="J59" s="6" t="s">
        <v>70</v>
      </c>
      <c r="K59" s="6" t="s">
        <v>300</v>
      </c>
      <c r="L59" s="6">
        <v>1</v>
      </c>
    </row>
    <row r="60" spans="2:12" ht="76.5" hidden="1" outlineLevel="1">
      <c r="B60" s="6" t="s">
        <v>320</v>
      </c>
      <c r="C60" s="869" t="str">
        <f>DocCalculation[[#This Row],[Category EN]]&amp;IF(LEN(DocCalculation[[#This Row],[Subcategory EN]])&gt;0," 
" &amp;DocCalculation[[#This Row],[Subcategory EN]],)</f>
        <v>Indirect material 
Indirect material rate</v>
      </c>
      <c r="D60" s="466" t="s">
        <v>1755</v>
      </c>
      <c r="E60" s="869" t="str">
        <f>DocCalculation[[#This Row],[Category DE]]&amp;IF(LEN(DocCalculation[[#This Row],[Subcategory DE]])&gt;0," 
" &amp;DocCalculation[[#This Row],[Subcategory DE]],)</f>
        <v>MGK 
MGK-Satz</v>
      </c>
      <c r="F60" s="19" t="s">
        <v>1753</v>
      </c>
      <c r="G60" s="6" t="s">
        <v>1399</v>
      </c>
      <c r="H60" s="6" t="s">
        <v>1754</v>
      </c>
      <c r="I60" s="6" t="s">
        <v>1</v>
      </c>
      <c r="J60" s="6" t="s">
        <v>99</v>
      </c>
      <c r="K60" s="6" t="s">
        <v>3</v>
      </c>
      <c r="L60" s="6">
        <v>1</v>
      </c>
    </row>
    <row r="61" spans="2:12" ht="38.25" hidden="1" outlineLevel="1">
      <c r="B61" s="6" t="s">
        <v>319</v>
      </c>
      <c r="C61" s="869" t="str">
        <f>DocCalculation[[#This Row],[Category EN]]&amp;IF(LEN(DocCalculation[[#This Row],[Subcategory EN]])&gt;0," 
" &amp;DocCalculation[[#This Row],[Subcategory EN]],)</f>
        <v>Indirect material 
Total</v>
      </c>
      <c r="D61" s="466" t="s">
        <v>1756</v>
      </c>
      <c r="E61" s="869" t="str">
        <f>DocCalculation[[#This Row],[Category DE]]&amp;IF(LEN(DocCalculation[[#This Row],[Subcategory DE]])&gt;0," 
" &amp;DocCalculation[[#This Row],[Subcategory DE]],)</f>
        <v>MGK 
Total</v>
      </c>
      <c r="F61" s="19" t="s">
        <v>1741</v>
      </c>
      <c r="G61" s="6" t="s">
        <v>1399</v>
      </c>
      <c r="H61" s="6" t="s">
        <v>70</v>
      </c>
      <c r="I61" s="6" t="s">
        <v>1</v>
      </c>
      <c r="J61" s="6" t="s">
        <v>70</v>
      </c>
      <c r="K61" s="6" t="s">
        <v>300</v>
      </c>
      <c r="L61" s="6">
        <v>1</v>
      </c>
    </row>
    <row r="62" spans="2:12" ht="38.25" hidden="1" outlineLevel="1">
      <c r="B62" s="6" t="s">
        <v>318</v>
      </c>
      <c r="C62" s="869" t="str">
        <f>DocCalculation[[#This Row],[Category EN]]&amp;IF(LEN(DocCalculation[[#This Row],[Subcategory EN]])&gt;0," 
" &amp;DocCalculation[[#This Row],[Subcategory EN]],)</f>
        <v>Material costs</v>
      </c>
      <c r="D62" s="466" t="s">
        <v>1757</v>
      </c>
      <c r="E62" s="869" t="str">
        <f>DocCalculation[[#This Row],[Category DE]]&amp;IF(LEN(DocCalculation[[#This Row],[Subcategory DE]])&gt;0," 
" &amp;DocCalculation[[#This Row],[Subcategory DE]],)</f>
        <v>Materialkosten</v>
      </c>
      <c r="F62" s="19" t="s">
        <v>1740</v>
      </c>
      <c r="G62" s="6" t="s">
        <v>496</v>
      </c>
      <c r="I62" s="6" t="s">
        <v>389</v>
      </c>
      <c r="K62" s="6" t="s">
        <v>300</v>
      </c>
      <c r="L62" s="6">
        <v>1</v>
      </c>
    </row>
    <row r="63" spans="2:12" ht="38.25" hidden="1" outlineLevel="1">
      <c r="B63" s="6" t="s">
        <v>317</v>
      </c>
      <c r="C63" s="869" t="str">
        <f>DocCalculation[[#This Row],[Category EN]]&amp;IF(LEN(DocCalculation[[#This Row],[Subcategory EN]])&gt;0," 
" &amp;DocCalculation[[#This Row],[Subcategory EN]],)</f>
        <v>Production costs</v>
      </c>
      <c r="D63" s="466" t="s">
        <v>497</v>
      </c>
      <c r="E63" s="869" t="str">
        <f>DocCalculation[[#This Row],[Category DE]]&amp;IF(LEN(DocCalculation[[#This Row],[Subcategory DE]])&gt;0," 
" &amp;DocCalculation[[#This Row],[Subcategory DE]],)</f>
        <v>Herstellkosten</v>
      </c>
      <c r="F63" s="19" t="s">
        <v>425</v>
      </c>
      <c r="G63" s="6" t="s">
        <v>489</v>
      </c>
      <c r="I63" s="6" t="s">
        <v>390</v>
      </c>
      <c r="K63" s="6" t="s">
        <v>300</v>
      </c>
      <c r="L63" s="6">
        <v>1</v>
      </c>
    </row>
    <row r="64" spans="2:12" ht="38.25" hidden="1" outlineLevel="1">
      <c r="B64" s="6" t="s">
        <v>316</v>
      </c>
      <c r="C64" s="869" t="str">
        <f>DocCalculation[[#This Row],[Category EN]]&amp;IF(LEN(DocCalculation[[#This Row],[Subcategory EN]])&gt;0," 
" &amp;DocCalculation[[#This Row],[Subcategory EN]],)</f>
        <v>SG&amp;A Added value 
SG&amp;A rate</v>
      </c>
      <c r="D64" s="466" t="s">
        <v>1758</v>
      </c>
      <c r="E64" s="869" t="str">
        <f>DocCalculation[[#This Row],[Category DE]]&amp;IF(LEN(DocCalculation[[#This Row],[Subcategory DE]])&gt;0," 
" &amp;DocCalculation[[#This Row],[Subcategory DE]],)</f>
        <v>VVGK Wertschöpfung 
VVGK-Satz</v>
      </c>
      <c r="F64" s="19" t="s">
        <v>1743</v>
      </c>
      <c r="G64" s="6" t="s">
        <v>498</v>
      </c>
      <c r="H64" s="6" t="s">
        <v>499</v>
      </c>
      <c r="I64" s="6" t="s">
        <v>41</v>
      </c>
      <c r="J64" s="6" t="s">
        <v>393</v>
      </c>
      <c r="K64" s="6" t="s">
        <v>3</v>
      </c>
      <c r="L64" s="6">
        <v>1</v>
      </c>
    </row>
    <row r="65" spans="2:12" ht="38.25" hidden="1" outlineLevel="1">
      <c r="B65" s="6" t="s">
        <v>315</v>
      </c>
      <c r="C65" s="869" t="str">
        <f>DocCalculation[[#This Row],[Category EN]]&amp;IF(LEN(DocCalculation[[#This Row],[Subcategory EN]])&gt;0," 
" &amp;DocCalculation[[#This Row],[Subcategory EN]],)</f>
        <v>SG&amp;A Added value</v>
      </c>
      <c r="D65" s="466" t="s">
        <v>1499</v>
      </c>
      <c r="E65" s="869" t="str">
        <f>DocCalculation[[#This Row],[Category DE]]&amp;IF(LEN(DocCalculation[[#This Row],[Subcategory DE]])&gt;0," 
" &amp;DocCalculation[[#This Row],[Subcategory DE]],)</f>
        <v>VVGK Wertschöpfung</v>
      </c>
      <c r="F65" s="19" t="s">
        <v>426</v>
      </c>
      <c r="G65" s="6" t="s">
        <v>498</v>
      </c>
      <c r="I65" s="6" t="s">
        <v>41</v>
      </c>
      <c r="K65" s="6" t="s">
        <v>300</v>
      </c>
      <c r="L65" s="6">
        <v>1</v>
      </c>
    </row>
    <row r="66" spans="2:12" ht="38.25" hidden="1" outlineLevel="1">
      <c r="B66" s="6" t="s">
        <v>314</v>
      </c>
      <c r="C66" s="869" t="str">
        <f>DocCalculation[[#This Row],[Category EN]]&amp;IF(LEN(DocCalculation[[#This Row],[Subcategory EN]])&gt;0," 
" &amp;DocCalculation[[#This Row],[Subcategory EN]],)</f>
        <v>SG&amp;A Material 
SG&amp;A rate</v>
      </c>
      <c r="D66" s="466" t="s">
        <v>1759</v>
      </c>
      <c r="E66" s="869" t="str">
        <f>DocCalculation[[#This Row],[Category DE]]&amp;IF(LEN(DocCalculation[[#This Row],[Subcategory DE]])&gt;0," 
" &amp;DocCalculation[[#This Row],[Subcategory DE]],)</f>
        <v>VVGK Material 
VVGK-Satz</v>
      </c>
      <c r="F66" s="19" t="s">
        <v>1742</v>
      </c>
      <c r="G66" s="6" t="s">
        <v>500</v>
      </c>
      <c r="H66" s="6" t="s">
        <v>499</v>
      </c>
      <c r="I66" s="6" t="s">
        <v>42</v>
      </c>
      <c r="J66" s="6" t="s">
        <v>393</v>
      </c>
      <c r="K66" s="6" t="s">
        <v>3</v>
      </c>
      <c r="L66" s="6">
        <v>1</v>
      </c>
    </row>
    <row r="67" spans="2:12" ht="38.25" hidden="1" outlineLevel="1">
      <c r="B67" s="6" t="s">
        <v>313</v>
      </c>
      <c r="C67" s="869" t="str">
        <f>DocCalculation[[#This Row],[Category EN]]&amp;IF(LEN(DocCalculation[[#This Row],[Subcategory EN]])&gt;0," 
" &amp;DocCalculation[[#This Row],[Subcategory EN]],)</f>
        <v>SG&amp;A Material</v>
      </c>
      <c r="D67" s="466" t="s">
        <v>1501</v>
      </c>
      <c r="E67" s="869" t="str">
        <f>DocCalculation[[#This Row],[Category DE]]&amp;IF(LEN(DocCalculation[[#This Row],[Subcategory DE]])&gt;0," 
" &amp;DocCalculation[[#This Row],[Subcategory DE]],)</f>
        <v>VVGK Material</v>
      </c>
      <c r="F67" s="19" t="s">
        <v>427</v>
      </c>
      <c r="G67" s="6" t="s">
        <v>500</v>
      </c>
      <c r="I67" s="6" t="s">
        <v>42</v>
      </c>
      <c r="K67" s="6" t="s">
        <v>300</v>
      </c>
      <c r="L67" s="6">
        <v>1</v>
      </c>
    </row>
    <row r="68" spans="2:12" ht="38.25" hidden="1" outlineLevel="1">
      <c r="B68" s="6" t="s">
        <v>312</v>
      </c>
      <c r="C68" s="869" t="str">
        <f>DocCalculation[[#This Row],[Category EN]]&amp;IF(LEN(DocCalculation[[#This Row],[Subcategory EN]])&gt;0," 
" &amp;DocCalculation[[#This Row],[Subcategory EN]],)</f>
        <v>SG&amp;A 
SG&amp;A rate</v>
      </c>
      <c r="D68" s="466" t="s">
        <v>1760</v>
      </c>
      <c r="E68" s="869" t="str">
        <f>DocCalculation[[#This Row],[Category DE]]&amp;IF(LEN(DocCalculation[[#This Row],[Subcategory DE]])&gt;0," 
" &amp;DocCalculation[[#This Row],[Subcategory DE]],)</f>
        <v>VVGK 
VVGK-Satz</v>
      </c>
      <c r="F68" s="19" t="s">
        <v>1744</v>
      </c>
      <c r="G68" s="6" t="s">
        <v>210</v>
      </c>
      <c r="H68" s="6" t="s">
        <v>499</v>
      </c>
      <c r="I68" s="6" t="s">
        <v>13</v>
      </c>
      <c r="J68" s="6" t="s">
        <v>393</v>
      </c>
      <c r="K68" s="6" t="s">
        <v>3</v>
      </c>
      <c r="L68" s="6">
        <v>1</v>
      </c>
    </row>
    <row r="69" spans="2:12" ht="38.25" hidden="1" outlineLevel="1">
      <c r="B69" s="6" t="s">
        <v>311</v>
      </c>
      <c r="C69" s="869" t="str">
        <f>DocCalculation[[#This Row],[Category EN]]&amp;IF(LEN(DocCalculation[[#This Row],[Subcategory EN]])&gt;0," 
" &amp;DocCalculation[[#This Row],[Subcategory EN]],)</f>
        <v>SG&amp;A</v>
      </c>
      <c r="D69" s="466" t="s">
        <v>1761</v>
      </c>
      <c r="E69" s="869" t="str">
        <f>DocCalculation[[#This Row],[Category DE]]&amp;IF(LEN(DocCalculation[[#This Row],[Subcategory DE]])&gt;0," 
" &amp;DocCalculation[[#This Row],[Subcategory DE]],)</f>
        <v>VVGK</v>
      </c>
      <c r="F69" s="19" t="s">
        <v>428</v>
      </c>
      <c r="G69" s="6" t="s">
        <v>210</v>
      </c>
      <c r="I69" s="6" t="s">
        <v>13</v>
      </c>
      <c r="K69" s="6" t="s">
        <v>300</v>
      </c>
      <c r="L69" s="6">
        <v>1</v>
      </c>
    </row>
    <row r="70" spans="2:12" ht="38.25" hidden="1" outlineLevel="1">
      <c r="B70" s="6" t="s">
        <v>310</v>
      </c>
      <c r="C70" s="869" t="str">
        <f>DocCalculation[[#This Row],[Category EN]]&amp;IF(LEN(DocCalculation[[#This Row],[Subcategory EN]])&gt;0," 
" &amp;DocCalculation[[#This Row],[Subcategory EN]],)</f>
        <v>Cost of goods sold</v>
      </c>
      <c r="D70" s="466" t="s">
        <v>502</v>
      </c>
      <c r="E70" s="869" t="str">
        <f>DocCalculation[[#This Row],[Category DE]]&amp;IF(LEN(DocCalculation[[#This Row],[Subcategory DE]])&gt;0," 
" &amp;DocCalculation[[#This Row],[Subcategory DE]],)</f>
        <v>Selbstkosten</v>
      </c>
      <c r="F70" s="19" t="s">
        <v>429</v>
      </c>
      <c r="G70" s="6" t="s">
        <v>501</v>
      </c>
      <c r="I70" s="6" t="s">
        <v>391</v>
      </c>
      <c r="K70" s="6" t="s">
        <v>300</v>
      </c>
      <c r="L70" s="6">
        <v>1</v>
      </c>
    </row>
    <row r="71" spans="2:12" ht="38.25" hidden="1" outlineLevel="1">
      <c r="B71" s="6" t="s">
        <v>309</v>
      </c>
      <c r="C71" s="869" t="str">
        <f>DocCalculation[[#This Row],[Category EN]]&amp;IF(LEN(DocCalculation[[#This Row],[Subcategory EN]])&gt;0," 
" &amp;DocCalculation[[#This Row],[Subcategory EN]],)</f>
        <v>Profit Added value 
Profit rate</v>
      </c>
      <c r="D71" s="466" t="s">
        <v>1762</v>
      </c>
      <c r="E71" s="869" t="str">
        <f>DocCalculation[[#This Row],[Category DE]]&amp;IF(LEN(DocCalculation[[#This Row],[Subcategory DE]])&gt;0," 
" &amp;DocCalculation[[#This Row],[Subcategory DE]],)</f>
        <v>Gewinn Wertschöpfung 
Gewinn-Satz</v>
      </c>
      <c r="F71" s="19" t="s">
        <v>1746</v>
      </c>
      <c r="G71" s="6" t="s">
        <v>503</v>
      </c>
      <c r="H71" s="6" t="s">
        <v>504</v>
      </c>
      <c r="I71" s="6" t="s">
        <v>43</v>
      </c>
      <c r="J71" s="6" t="s">
        <v>392</v>
      </c>
      <c r="K71" s="6" t="s">
        <v>3</v>
      </c>
      <c r="L71" s="6">
        <v>1</v>
      </c>
    </row>
    <row r="72" spans="2:12" ht="38.25" hidden="1" outlineLevel="1">
      <c r="B72" s="6" t="s">
        <v>308</v>
      </c>
      <c r="C72" s="869" t="str">
        <f>DocCalculation[[#This Row],[Category EN]]&amp;IF(LEN(DocCalculation[[#This Row],[Subcategory EN]])&gt;0," 
" &amp;DocCalculation[[#This Row],[Subcategory EN]],)</f>
        <v>Profit Added value</v>
      </c>
      <c r="D72" s="466" t="s">
        <v>505</v>
      </c>
      <c r="E72" s="869" t="str">
        <f>DocCalculation[[#This Row],[Category DE]]&amp;IF(LEN(DocCalculation[[#This Row],[Subcategory DE]])&gt;0," 
" &amp;DocCalculation[[#This Row],[Subcategory DE]],)</f>
        <v>Gewinn Wertschöpfung</v>
      </c>
      <c r="F72" s="19" t="s">
        <v>431</v>
      </c>
      <c r="G72" s="6" t="s">
        <v>503</v>
      </c>
      <c r="I72" s="6" t="s">
        <v>43</v>
      </c>
      <c r="K72" s="6" t="s">
        <v>300</v>
      </c>
      <c r="L72" s="6">
        <v>1</v>
      </c>
    </row>
    <row r="73" spans="2:12" ht="38.25" hidden="1" outlineLevel="1">
      <c r="B73" s="6" t="s">
        <v>307</v>
      </c>
      <c r="C73" s="869" t="str">
        <f>DocCalculation[[#This Row],[Category EN]]&amp;IF(LEN(DocCalculation[[#This Row],[Subcategory EN]])&gt;0," 
" &amp;DocCalculation[[#This Row],[Subcategory EN]],)</f>
        <v>Profit Material 
Profit rate</v>
      </c>
      <c r="D73" s="466" t="s">
        <v>1763</v>
      </c>
      <c r="E73" s="869" t="str">
        <f>DocCalculation[[#This Row],[Category DE]]&amp;IF(LEN(DocCalculation[[#This Row],[Subcategory DE]])&gt;0," 
" &amp;DocCalculation[[#This Row],[Subcategory DE]],)</f>
        <v>Gewinn Material 
Gewinn-Satz</v>
      </c>
      <c r="F73" s="19" t="s">
        <v>1745</v>
      </c>
      <c r="G73" s="6" t="s">
        <v>506</v>
      </c>
      <c r="H73" s="6" t="s">
        <v>504</v>
      </c>
      <c r="I73" s="6" t="s">
        <v>44</v>
      </c>
      <c r="J73" s="6" t="s">
        <v>392</v>
      </c>
      <c r="K73" s="6" t="s">
        <v>3</v>
      </c>
      <c r="L73" s="6">
        <v>1</v>
      </c>
    </row>
    <row r="74" spans="2:12" ht="38.25" hidden="1" outlineLevel="1">
      <c r="B74" s="6" t="s">
        <v>306</v>
      </c>
      <c r="C74" s="869" t="str">
        <f>DocCalculation[[#This Row],[Category EN]]&amp;IF(LEN(DocCalculation[[#This Row],[Subcategory EN]])&gt;0," 
" &amp;DocCalculation[[#This Row],[Subcategory EN]],)</f>
        <v>Profit Material</v>
      </c>
      <c r="D74" s="466" t="s">
        <v>1500</v>
      </c>
      <c r="E74" s="869" t="str">
        <f>DocCalculation[[#This Row],[Category DE]]&amp;IF(LEN(DocCalculation[[#This Row],[Subcategory DE]])&gt;0," 
" &amp;DocCalculation[[#This Row],[Subcategory DE]],)</f>
        <v>Gewinn Material</v>
      </c>
      <c r="F74" s="19" t="s">
        <v>430</v>
      </c>
      <c r="G74" s="6" t="s">
        <v>506</v>
      </c>
      <c r="I74" s="6" t="s">
        <v>44</v>
      </c>
      <c r="K74" s="6" t="s">
        <v>300</v>
      </c>
      <c r="L74" s="6">
        <v>1</v>
      </c>
    </row>
    <row r="75" spans="2:12" ht="38.25" hidden="1" outlineLevel="1">
      <c r="B75" s="6" t="s">
        <v>305</v>
      </c>
      <c r="C75" s="869" t="str">
        <f>DocCalculation[[#This Row],[Category EN]]&amp;IF(LEN(DocCalculation[[#This Row],[Subcategory EN]])&gt;0," 
" &amp;DocCalculation[[#This Row],[Subcategory EN]],)</f>
        <v>Profit 
Profit rate</v>
      </c>
      <c r="D75" s="466" t="s">
        <v>1764</v>
      </c>
      <c r="E75" s="869" t="str">
        <f>DocCalculation[[#This Row],[Category DE]]&amp;IF(LEN(DocCalculation[[#This Row],[Subcategory DE]])&gt;0," 
" &amp;DocCalculation[[#This Row],[Subcategory DE]],)</f>
        <v>Gewinn 
Gewinn-Satz</v>
      </c>
      <c r="F75" s="19" t="s">
        <v>1747</v>
      </c>
      <c r="G75" s="6" t="s">
        <v>209</v>
      </c>
      <c r="H75" s="6" t="s">
        <v>504</v>
      </c>
      <c r="I75" s="6" t="s">
        <v>14</v>
      </c>
      <c r="J75" s="6" t="s">
        <v>392</v>
      </c>
      <c r="K75" s="6" t="s">
        <v>3</v>
      </c>
      <c r="L75" s="6">
        <v>1</v>
      </c>
    </row>
    <row r="76" spans="2:12" ht="51" hidden="1" outlineLevel="1">
      <c r="B76" s="6" t="s">
        <v>304</v>
      </c>
      <c r="C76" s="869" t="str">
        <f>DocCalculation[[#This Row],[Category EN]]&amp;IF(LEN(DocCalculation[[#This Row],[Subcategory EN]])&gt;0," 
" &amp;DocCalculation[[#This Row],[Subcategory EN]],)</f>
        <v>Profit</v>
      </c>
      <c r="D76" s="466" t="s">
        <v>507</v>
      </c>
      <c r="E76" s="869" t="str">
        <f>DocCalculation[[#This Row],[Category DE]]&amp;IF(LEN(DocCalculation[[#This Row],[Subcategory DE]])&gt;0," 
" &amp;DocCalculation[[#This Row],[Subcategory DE]],)</f>
        <v>Gewinn</v>
      </c>
      <c r="F76" s="19" t="s">
        <v>432</v>
      </c>
      <c r="G76" s="6" t="s">
        <v>209</v>
      </c>
      <c r="I76" s="6" t="s">
        <v>14</v>
      </c>
      <c r="K76" s="6" t="s">
        <v>300</v>
      </c>
      <c r="L76" s="6">
        <v>1</v>
      </c>
    </row>
    <row r="77" spans="2:12" ht="38.25" hidden="1" outlineLevel="1">
      <c r="B77" s="6" t="s">
        <v>303</v>
      </c>
      <c r="C77" s="869" t="str">
        <f>DocCalculation[[#This Row],[Category EN]]&amp;IF(LEN(DocCalculation[[#This Row],[Subcategory EN]])&gt;0," 
" &amp;DocCalculation[[#This Row],[Subcategory EN]],)</f>
        <v>Other (Logistics etc.) 
Other costs rate</v>
      </c>
      <c r="D77" s="466" t="s">
        <v>1765</v>
      </c>
      <c r="E77" s="869" t="str">
        <f>DocCalculation[[#This Row],[Category DE]]&amp;IF(LEN(DocCalculation[[#This Row],[Subcategory DE]])&gt;0," 
" &amp;DocCalculation[[#This Row],[Subcategory DE]],)</f>
        <v>Sonstige (Logistik etc.) 
Sonstige Kosten-Satz</v>
      </c>
      <c r="F77" s="19" t="s">
        <v>1750</v>
      </c>
      <c r="G77" s="6" t="s">
        <v>760</v>
      </c>
      <c r="H77" s="6" t="s">
        <v>1472</v>
      </c>
      <c r="I77" s="6" t="s">
        <v>758</v>
      </c>
      <c r="J77" s="6" t="s">
        <v>1473</v>
      </c>
      <c r="K77" s="6" t="s">
        <v>3</v>
      </c>
      <c r="L77" s="6">
        <v>1</v>
      </c>
    </row>
    <row r="78" spans="2:12" ht="102" hidden="1" outlineLevel="1">
      <c r="B78" s="6" t="s">
        <v>302</v>
      </c>
      <c r="C78" s="869" t="str">
        <f>DocCalculation[[#This Row],[Category EN]]&amp;IF(LEN(DocCalculation[[#This Row],[Subcategory EN]])&gt;0," 
" &amp;DocCalculation[[#This Row],[Subcategory EN]],)</f>
        <v>Other (Logistics etc.) 
Individual costs</v>
      </c>
      <c r="D78" s="466" t="s">
        <v>1748</v>
      </c>
      <c r="E78" s="869" t="str">
        <f>DocCalculation[[#This Row],[Category DE]]&amp;IF(LEN(DocCalculation[[#This Row],[Subcategory DE]])&gt;0," 
" &amp;DocCalculation[[#This Row],[Subcategory DE]],)</f>
        <v>Sonstige (Logistik etc.) 
Individuelle Kosten</v>
      </c>
      <c r="F78" s="19" t="s">
        <v>1749</v>
      </c>
      <c r="G78" s="6" t="s">
        <v>760</v>
      </c>
      <c r="H78" s="6" t="s">
        <v>1471</v>
      </c>
      <c r="I78" s="6" t="s">
        <v>758</v>
      </c>
      <c r="J78" s="6" t="s">
        <v>1474</v>
      </c>
      <c r="K78" s="6" t="s">
        <v>300</v>
      </c>
      <c r="L78" s="6">
        <v>1</v>
      </c>
    </row>
    <row r="79" spans="2:12" ht="38.25" hidden="1" outlineLevel="1">
      <c r="B79" s="6" t="s">
        <v>301</v>
      </c>
      <c r="C79" s="869" t="str">
        <f>DocCalculation[[#This Row],[Category EN]]&amp;IF(LEN(DocCalculation[[#This Row],[Subcategory EN]])&gt;0," 
" &amp;DocCalculation[[#This Row],[Subcategory EN]],)</f>
        <v>Other (Logistics etc.) 
Total</v>
      </c>
      <c r="D79" s="466" t="s">
        <v>1476</v>
      </c>
      <c r="E79" s="869" t="str">
        <f>DocCalculation[[#This Row],[Category DE]]&amp;IF(LEN(DocCalculation[[#This Row],[Subcategory DE]])&gt;0," 
" &amp;DocCalculation[[#This Row],[Subcategory DE]],)</f>
        <v>Sonstige (Logistik etc.) 
Total</v>
      </c>
      <c r="F79" s="19" t="s">
        <v>1475</v>
      </c>
      <c r="G79" s="6" t="s">
        <v>760</v>
      </c>
      <c r="H79" s="6" t="s">
        <v>70</v>
      </c>
      <c r="I79" s="6" t="s">
        <v>758</v>
      </c>
      <c r="J79" s="6" t="s">
        <v>70</v>
      </c>
      <c r="K79" s="6" t="s">
        <v>300</v>
      </c>
      <c r="L79" s="6">
        <v>1</v>
      </c>
    </row>
    <row r="80" spans="2:12" ht="38.25" hidden="1" outlineLevel="1">
      <c r="B80" s="6" t="s">
        <v>299</v>
      </c>
      <c r="C80" s="869" t="str">
        <f>DocCalculation[[#This Row],[Category EN]]&amp;IF(LEN(DocCalculation[[#This Row],[Subcategory EN]])&gt;0," 
" &amp;DocCalculation[[#This Row],[Subcategory EN]],)</f>
        <v>Costs 
Single</v>
      </c>
      <c r="D80" s="466" t="s">
        <v>508</v>
      </c>
      <c r="E80" s="869" t="str">
        <f>DocCalculation[[#This Row],[Category DE]]&amp;IF(LEN(DocCalculation[[#This Row],[Subcategory DE]])&gt;0," 
" &amp;DocCalculation[[#This Row],[Subcategory DE]],)</f>
        <v>Kosten 
Einzeln</v>
      </c>
      <c r="F80" s="19" t="s">
        <v>433</v>
      </c>
      <c r="G80" s="6" t="s">
        <v>509</v>
      </c>
      <c r="H80" s="6" t="s">
        <v>160</v>
      </c>
      <c r="I80" s="6" t="s">
        <v>397</v>
      </c>
      <c r="J80" s="6" t="s">
        <v>398</v>
      </c>
      <c r="K80" s="6" t="s">
        <v>61</v>
      </c>
      <c r="L80" s="6">
        <v>1</v>
      </c>
    </row>
    <row r="81" spans="2:12" ht="38.25" hidden="1" outlineLevel="1">
      <c r="B81" s="6" t="s">
        <v>298</v>
      </c>
      <c r="C81" s="869" t="str">
        <f>DocCalculation[[#This Row],[Category EN]]&amp;IF(LEN(DocCalculation[[#This Row],[Subcategory EN]])&gt;0," 
" &amp;DocCalculation[[#This Row],[Subcategory EN]],)</f>
        <v>Costs 
Total</v>
      </c>
      <c r="D81" s="466" t="s">
        <v>510</v>
      </c>
      <c r="E81" s="869" t="str">
        <f>DocCalculation[[#This Row],[Category DE]]&amp;IF(LEN(DocCalculation[[#This Row],[Subcategory DE]])&gt;0," 
" &amp;DocCalculation[[#This Row],[Subcategory DE]],)</f>
        <v>Kosten 
Total</v>
      </c>
      <c r="F81" s="19" t="s">
        <v>434</v>
      </c>
      <c r="G81" s="6" t="s">
        <v>509</v>
      </c>
      <c r="H81" s="6" t="s">
        <v>70</v>
      </c>
      <c r="I81" s="6" t="s">
        <v>397</v>
      </c>
      <c r="J81" s="6" t="s">
        <v>70</v>
      </c>
      <c r="K81" s="6" t="s">
        <v>61</v>
      </c>
      <c r="L81" s="6">
        <v>1</v>
      </c>
    </row>
    <row r="82" spans="2:12" ht="140.25" hidden="1" outlineLevel="1">
      <c r="B82" s="6" t="s">
        <v>297</v>
      </c>
      <c r="C82" s="869" t="str">
        <f>DocCalculation[[#This Row],[Category EN]]&amp;IF(LEN(DocCalculation[[#This Row],[Subcategory EN]])&gt;0," 
" &amp;DocCalculation[[#This Row],[Subcategory EN]],)</f>
        <v>T-% 
Tier surcharge</v>
      </c>
      <c r="D82" s="466" t="s">
        <v>1227</v>
      </c>
      <c r="E82" s="869" t="str">
        <f>DocCalculation[[#This Row],[Category DE]]&amp;IF(LEN(DocCalculation[[#This Row],[Subcategory DE]])&gt;0," 
" &amp;DocCalculation[[#This Row],[Subcategory DE]],)</f>
        <v>T-% 
Tier-Zuschlag</v>
      </c>
      <c r="F82" s="19" t="s">
        <v>1246</v>
      </c>
      <c r="G82" s="6" t="s">
        <v>136</v>
      </c>
      <c r="H82" s="6" t="s">
        <v>2002</v>
      </c>
      <c r="I82" s="6" t="s">
        <v>136</v>
      </c>
      <c r="J82" s="6" t="s">
        <v>396</v>
      </c>
      <c r="K82" s="6"/>
      <c r="L82" s="6">
        <v>1</v>
      </c>
    </row>
    <row r="83" spans="2:12" ht="38.25" hidden="1" outlineLevel="1">
      <c r="B83" s="6" t="s">
        <v>296</v>
      </c>
      <c r="C83" s="869" t="str">
        <f>DocCalculation[[#This Row],[Category EN]]&amp;IF(LEN(DocCalculation[[#This Row],[Subcategory EN]])&gt;0," 
" &amp;DocCalculation[[#This Row],[Subcategory EN]],)</f>
        <v>∑ incl. T-% 
Single</v>
      </c>
      <c r="D83" s="466" t="s">
        <v>1228</v>
      </c>
      <c r="E83" s="869" t="str">
        <f>DocCalculation[[#This Row],[Category DE]]&amp;IF(LEN(DocCalculation[[#This Row],[Subcategory DE]])&gt;0," 
" &amp;DocCalculation[[#This Row],[Subcategory DE]],)</f>
        <v>∑ inkl. T-% 
Einzel</v>
      </c>
      <c r="F83" s="19" t="s">
        <v>399</v>
      </c>
      <c r="G83" s="6" t="s">
        <v>149</v>
      </c>
      <c r="H83" s="6" t="s">
        <v>160</v>
      </c>
      <c r="I83" s="6" t="s">
        <v>137</v>
      </c>
      <c r="J83" s="6" t="s">
        <v>120</v>
      </c>
      <c r="K83" s="6" t="s">
        <v>61</v>
      </c>
      <c r="L83" s="6">
        <v>1</v>
      </c>
    </row>
    <row r="84" spans="2:12" ht="25.5" hidden="1" outlineLevel="1">
      <c r="B84" s="6" t="s">
        <v>295</v>
      </c>
      <c r="C84" s="869" t="str">
        <f>DocCalculation[[#This Row],[Category EN]]&amp;IF(LEN(DocCalculation[[#This Row],[Subcategory EN]])&gt;0," 
" &amp;DocCalculation[[#This Row],[Subcategory EN]],)</f>
        <v>∑ incl. T-% 
Total</v>
      </c>
      <c r="D84" s="466" t="s">
        <v>1229</v>
      </c>
      <c r="E84" s="869" t="str">
        <f>DocCalculation[[#This Row],[Category DE]]&amp;IF(LEN(DocCalculation[[#This Row],[Subcategory DE]])&gt;0," 
" &amp;DocCalculation[[#This Row],[Subcategory DE]],)</f>
        <v>∑ inkl. T-% 
Total</v>
      </c>
      <c r="F84" s="19" t="s">
        <v>394</v>
      </c>
      <c r="G84" s="6" t="s">
        <v>149</v>
      </c>
      <c r="H84" s="6" t="s">
        <v>70</v>
      </c>
      <c r="I84" s="6" t="s">
        <v>137</v>
      </c>
      <c r="J84" s="6" t="s">
        <v>70</v>
      </c>
      <c r="K84" s="6" t="s">
        <v>61</v>
      </c>
      <c r="L84" s="6">
        <v>1</v>
      </c>
    </row>
    <row r="85" spans="2:12" ht="25.5" hidden="1" outlineLevel="1">
      <c r="B85" s="6" t="s">
        <v>294</v>
      </c>
      <c r="C85" s="869" t="str">
        <f>DocCalculation[[#This Row],[Category EN]]&amp;IF(LEN(DocCalculation[[#This Row],[Subcategory EN]])&gt;0," 
" &amp;DocCalculation[[#This Row],[Subcategory EN]],)</f>
        <v>∑ incl. T-% 
Assy</v>
      </c>
      <c r="D85" s="466" t="s">
        <v>2003</v>
      </c>
      <c r="E85" s="869" t="str">
        <f>DocCalculation[[#This Row],[Category DE]]&amp;IF(LEN(DocCalculation[[#This Row],[Subcategory DE]])&gt;0," 
" &amp;DocCalculation[[#This Row],[Subcategory DE]],)</f>
        <v>∑ inkl. T-% 
ZSB</v>
      </c>
      <c r="F85" s="19" t="s">
        <v>395</v>
      </c>
      <c r="G85" s="6" t="s">
        <v>149</v>
      </c>
      <c r="H85" s="6" t="s">
        <v>203</v>
      </c>
      <c r="I85" s="6" t="s">
        <v>137</v>
      </c>
      <c r="J85" s="6" t="s">
        <v>206</v>
      </c>
      <c r="K85" s="6" t="s">
        <v>61</v>
      </c>
      <c r="L85" s="6">
        <v>1</v>
      </c>
    </row>
    <row r="86" spans="2:12" ht="153" hidden="1" outlineLevel="1">
      <c r="B86" s="6" t="s">
        <v>293</v>
      </c>
      <c r="C86" s="869" t="str">
        <f>DocCalculation[[#This Row],[Category EN]]&amp;IF(LEN(DocCalculation[[#This Row],[Subcategory EN]])&gt;0," 
" &amp;DocCalculation[[#This Row],[Subcategory EN]],)</f>
        <v>Supplier structure</v>
      </c>
      <c r="D86" s="466" t="s">
        <v>1470</v>
      </c>
      <c r="E86" s="869" t="str">
        <f>DocCalculation[[#This Row],[Category DE]]&amp;IF(LEN(DocCalculation[[#This Row],[Subcategory DE]])&gt;0," 
" &amp;DocCalculation[[#This Row],[Subcategory DE]],)</f>
        <v>Lieferantenstruktur</v>
      </c>
      <c r="F86" s="19" t="s">
        <v>1797</v>
      </c>
      <c r="G86" s="6" t="s">
        <v>886</v>
      </c>
      <c r="I86" s="6" t="s">
        <v>408</v>
      </c>
      <c r="K86" s="6"/>
      <c r="L86" s="6">
        <v>1</v>
      </c>
    </row>
    <row r="87" spans="2:12" ht="178.5" hidden="1" outlineLevel="1">
      <c r="B87" s="6" t="s">
        <v>3939</v>
      </c>
      <c r="C87" s="869" t="str">
        <f>DocCalculation[[#This Row],[Category EN]]&amp;IF(LEN(DocCalculation[[#This Row],[Subcategory EN]])&gt;0," 
" &amp;DocCalculation[[#This Row],[Subcategory EN]],)</f>
        <v>Cluster</v>
      </c>
      <c r="D87" s="466" t="str" cm="1">
        <f t="array" ref="D87">DocCluster[Body EN]</f>
        <v>The costs listed in the cost estimate can be subdivided into different groups line by line or block by block within clusters.
Three clusters are available, which can be divided into any number of groups. Costs can be assigned to several clusters (e.g. to the injection molding group in the production cluster and to the plastics group in the material cluster), but can only belong to one group within a cluster.
The groups are created in the 'Cluster' tab and the costs are assigned to the corresponding group in the 'Calculation' tab. The cluster columns can be displayed in the 'Calculation' tab via the [ACT - Calculation - Columns - Cluster] menu.
The cell 'B3' can be used to control how costs are displayed. By default (the cell is empty), costs are displayed as a tier structure over the entire calculation. 
If a supplier is selected, the costs will be displayed from the supplier's point of view.</v>
      </c>
      <c r="E87" s="869" t="str">
        <f>DocCalculation[[#This Row],[Category DE]]&amp;IF(LEN(DocCalculation[[#This Row],[Subcategory DE]])&gt;0," 
" &amp;DocCalculation[[#This Row],[Subcategory DE]],)</f>
        <v>Cluster</v>
      </c>
      <c r="F87" s="19" t="str" cm="1">
        <f t="array" ref="F87">DocCluster[Body DE]</f>
        <v>Die in der Kalkulation aufgeführten Kosten lassen sich zeilen- oder blockweise innerhalb von Clustern in verschiedene Gruppen unterteilen.
Es stehen drei Cluster zur Verfügung, die in beliebig viele Gruppen unterteilt werden können. Kosten können mehreren Clustern zugeordnet werden (bspw. der Gruppe Spritzguss im Cluster Produktion und der Gruppe Kunststoffe im Cluster Material), können innerhalb eines Clusters aber immer nur einer Gruppe angehören.
Die Gruppen werden im Reiter 'Cluster' angelegt und die Kosten im Reiter 'Calculation' der entsprechenden Gruppe zugeordnet. Über das Menü [ACT - Kalkulation - Spalten - Cluster] lassen sich die Cluster-Spalten im Reiter 'Calculation' einblenden.
Über die Zelle 'B3' lässt sich steuern, wie KOsten dargestellt werden. Standardmäßig (die Zelle ist leer) werden Kosten über die komplette Kalkulation als Tier-Struktur dargestellt. 
Wird in ein Lieferant ausgewählt, stellen sich die Kosten aus Sicht dieses Lieferanten dar.</v>
      </c>
      <c r="G87" s="6" t="s">
        <v>204</v>
      </c>
      <c r="I87" s="6" t="s">
        <v>204</v>
      </c>
      <c r="K87" s="6"/>
      <c r="L87" s="6"/>
    </row>
    <row r="88" spans="2:12" ht="25.5" hidden="1" outlineLevel="1">
      <c r="B88" s="1116" t="s">
        <v>3410</v>
      </c>
      <c r="C88" s="869" t="str">
        <f>DocCalculation[[#This Row],[Category EN]]&amp;IF(LEN(DocCalculation[[#This Row],[Subcategory EN]])&gt;0," 
" &amp;DocCalculation[[#This Row],[Subcategory EN]],)</f>
        <v>Energy Consumption 
Electricity</v>
      </c>
      <c r="D88" s="1117" t="s">
        <v>3411</v>
      </c>
      <c r="E88" s="869" t="str">
        <f>DocCalculation[[#This Row],[Category DE]]&amp;IF(LEN(DocCalculation[[#This Row],[Subcategory DE]])&gt;0," 
" &amp;DocCalculation[[#This Row],[Subcategory DE]],)</f>
        <v>Energieverbrauch 
Strom</v>
      </c>
      <c r="F88" s="1103" t="s">
        <v>3412</v>
      </c>
      <c r="G88" s="6" t="s">
        <v>3988</v>
      </c>
      <c r="H88" s="6" t="s">
        <v>543</v>
      </c>
      <c r="I88" s="6" t="s">
        <v>3345</v>
      </c>
      <c r="J88" s="6" t="s">
        <v>21</v>
      </c>
      <c r="K88" s="1116" t="s">
        <v>1023</v>
      </c>
      <c r="L88" s="6">
        <v>1</v>
      </c>
    </row>
    <row r="89" spans="2:12" ht="25.5" hidden="1" outlineLevel="1">
      <c r="B89" s="1116" t="s">
        <v>3413</v>
      </c>
      <c r="C89" s="869" t="str">
        <f>DocCalculation[[#This Row],[Category EN]]&amp;IF(LEN(DocCalculation[[#This Row],[Subcategory EN]])&gt;0," 
" &amp;DocCalculation[[#This Row],[Subcategory EN]],)</f>
        <v>Energy Consumption 
Gas</v>
      </c>
      <c r="D89" s="1117" t="s">
        <v>3414</v>
      </c>
      <c r="E89" s="869" t="str">
        <f>DocCalculation[[#This Row],[Category DE]]&amp;IF(LEN(DocCalculation[[#This Row],[Subcategory DE]])&gt;0," 
" &amp;DocCalculation[[#This Row],[Subcategory DE]],)</f>
        <v>Energieverbrauch 
Gas</v>
      </c>
      <c r="F89" s="1103" t="s">
        <v>3415</v>
      </c>
      <c r="G89" s="6" t="s">
        <v>3988</v>
      </c>
      <c r="H89" s="6" t="s">
        <v>580</v>
      </c>
      <c r="I89" s="6" t="s">
        <v>3345</v>
      </c>
      <c r="J89" s="6" t="s">
        <v>580</v>
      </c>
      <c r="K89" s="1116" t="s">
        <v>1023</v>
      </c>
      <c r="L89" s="6">
        <v>1</v>
      </c>
    </row>
    <row r="90" spans="2:12" ht="38.25" hidden="1" outlineLevel="1">
      <c r="B90" s="6" t="s">
        <v>3416</v>
      </c>
      <c r="C90" s="869" t="str">
        <f>DocCalculation[[#This Row],[Category EN]]&amp;IF(LEN(DocCalculation[[#This Row],[Subcategory EN]])&gt;0," 
" &amp;DocCalculation[[#This Row],[Subcategory EN]],)</f>
        <v>CO₂ Manufacturing process 
Machine gCO2-eq</v>
      </c>
      <c r="D90" s="466" t="s">
        <v>3940</v>
      </c>
      <c r="E90" s="869" t="str">
        <f>DocCalculation[[#This Row],[Category DE]]&amp;IF(LEN(DocCalculation[[#This Row],[Subcategory DE]])&gt;0," 
" &amp;DocCalculation[[#This Row],[Subcategory DE]],)</f>
        <v>CO₂ Fertigungsprozess 
Maschine gCO2-eq</v>
      </c>
      <c r="F90" s="19" t="s">
        <v>3941</v>
      </c>
      <c r="G90" s="6" t="s">
        <v>3370</v>
      </c>
      <c r="H90" s="6" t="s">
        <v>3417</v>
      </c>
      <c r="I90" s="6" t="s">
        <v>3346</v>
      </c>
      <c r="J90" s="6" t="s">
        <v>3418</v>
      </c>
      <c r="K90" s="6"/>
      <c r="L90" s="6">
        <v>1</v>
      </c>
    </row>
    <row r="91" spans="2:12" ht="63.75" hidden="1" outlineLevel="1">
      <c r="B91" s="6" t="s">
        <v>3419</v>
      </c>
      <c r="C91" s="869" t="str">
        <f>DocCalculation[[#This Row],[Category EN]]&amp;IF(LEN(DocCalculation[[#This Row],[Subcategory EN]])&gt;0," 
" &amp;DocCalculation[[#This Row],[Subcategory EN]],)</f>
        <v>CO₂ Manufacturing process 
Heat gCO2-eq</v>
      </c>
      <c r="D91" s="466" t="s">
        <v>3421</v>
      </c>
      <c r="E91" s="869" t="str">
        <f>DocCalculation[[#This Row],[Category DE]]&amp;IF(LEN(DocCalculation[[#This Row],[Subcategory DE]])&gt;0," 
" &amp;DocCalculation[[#This Row],[Subcategory DE]],)</f>
        <v>CO₂ Fertigungsprozess 
Wärme gCO2-eq</v>
      </c>
      <c r="F91" s="19" t="s">
        <v>3942</v>
      </c>
      <c r="G91" s="6" t="s">
        <v>3370</v>
      </c>
      <c r="H91" s="6" t="s">
        <v>3420</v>
      </c>
      <c r="I91" s="6" t="s">
        <v>3346</v>
      </c>
      <c r="J91" s="6" t="s">
        <v>3422</v>
      </c>
      <c r="K91" s="6"/>
      <c r="L91" s="6">
        <v>1</v>
      </c>
    </row>
    <row r="92" spans="2:12" ht="63.75" hidden="1" outlineLevel="1">
      <c r="B92" s="6" t="s">
        <v>3423</v>
      </c>
      <c r="C92" s="869" t="str">
        <f>DocCalculation[[#This Row],[Category EN]]&amp;IF(LEN(DocCalculation[[#This Row],[Subcategory EN]])&gt;0," 
" &amp;DocCalculation[[#This Row],[Subcategory EN]],)</f>
        <v>CO₂ Manufacturing process 
ind. Consumption gCO2-eq</v>
      </c>
      <c r="D92" s="466" t="s">
        <v>3425</v>
      </c>
      <c r="E92" s="869" t="str">
        <f>DocCalculation[[#This Row],[Category DE]]&amp;IF(LEN(DocCalculation[[#This Row],[Subcategory DE]])&gt;0," 
" &amp;DocCalculation[[#This Row],[Subcategory DE]],)</f>
        <v>CO₂ Fertigungsprozess 
ind. Verbr. gCO2-eq</v>
      </c>
      <c r="F92" s="19" t="s">
        <v>3943</v>
      </c>
      <c r="G92" s="6" t="s">
        <v>3370</v>
      </c>
      <c r="H92" s="6" t="s">
        <v>3424</v>
      </c>
      <c r="I92" s="6" t="s">
        <v>3346</v>
      </c>
      <c r="J92" s="6" t="s">
        <v>3426</v>
      </c>
      <c r="K92" s="6"/>
      <c r="L92" s="6">
        <v>1</v>
      </c>
    </row>
    <row r="93" spans="2:12" ht="63.75" hidden="1" outlineLevel="1">
      <c r="B93" s="6" t="s">
        <v>3427</v>
      </c>
      <c r="C93" s="869" t="str">
        <f>DocCalculation[[#This Row],[Category EN]]&amp;IF(LEN(DocCalculation[[#This Row],[Subcategory EN]])&gt;0," 
" &amp;DocCalculation[[#This Row],[Subcategory EN]],)</f>
        <v>CO₂ Manufacturing process 
Transport gCO2-eq</v>
      </c>
      <c r="D93" s="466" t="s">
        <v>3429</v>
      </c>
      <c r="E93" s="869" t="str">
        <f>DocCalculation[[#This Row],[Category DE]]&amp;IF(LEN(DocCalculation[[#This Row],[Subcategory DE]])&gt;0," 
" &amp;DocCalculation[[#This Row],[Subcategory DE]],)</f>
        <v>CO₂ Fertigungsprozess 
Transport gCO2-eq</v>
      </c>
      <c r="F93" s="19" t="s">
        <v>3944</v>
      </c>
      <c r="G93" s="6" t="s">
        <v>3370</v>
      </c>
      <c r="H93" s="6" t="s">
        <v>3428</v>
      </c>
      <c r="I93" s="6" t="s">
        <v>3346</v>
      </c>
      <c r="J93" s="6" t="s">
        <v>3428</v>
      </c>
      <c r="K93" s="6"/>
      <c r="L93" s="6">
        <v>1</v>
      </c>
    </row>
    <row r="94" spans="2:12" ht="63.75" hidden="1" outlineLevel="1">
      <c r="B94" s="6" t="s">
        <v>3430</v>
      </c>
      <c r="C94" s="869" t="str">
        <f>DocCalculation[[#This Row],[Category EN]]&amp;IF(LEN(DocCalculation[[#This Row],[Subcategory EN]])&gt;0," 
" &amp;DocCalculation[[#This Row],[Subcategory EN]],)</f>
        <v>CO₂ Manufacturing process 
Office gCO2-eq</v>
      </c>
      <c r="D94" s="466" t="s">
        <v>3432</v>
      </c>
      <c r="E94" s="869" t="str">
        <f>DocCalculation[[#This Row],[Category DE]]&amp;IF(LEN(DocCalculation[[#This Row],[Subcategory DE]])&gt;0," 
" &amp;DocCalculation[[#This Row],[Subcategory DE]],)</f>
        <v>CO₂ Fertigungsprozess 
Büro gCO2-eq</v>
      </c>
      <c r="F94" s="19" t="s">
        <v>3945</v>
      </c>
      <c r="G94" s="6" t="s">
        <v>3370</v>
      </c>
      <c r="H94" s="6" t="s">
        <v>3431</v>
      </c>
      <c r="I94" s="6" t="s">
        <v>3346</v>
      </c>
      <c r="J94" s="6" t="s">
        <v>3433</v>
      </c>
      <c r="K94" s="6"/>
      <c r="L94" s="6">
        <v>1</v>
      </c>
    </row>
    <row r="95" spans="2:12" ht="51" hidden="1" outlineLevel="1">
      <c r="B95" s="6" t="s">
        <v>1034</v>
      </c>
      <c r="C95" s="869" t="str">
        <f>DocCalculation[[#This Row],[Category EN]]&amp;IF(LEN(DocCalculation[[#This Row],[Subcategory EN]])&gt;0," 
" &amp;DocCalculation[[#This Row],[Subcategory EN]],)</f>
        <v>CO₂ Manufacturing process 
Total Overhead gCO2-eq</v>
      </c>
      <c r="D95" s="466" t="s">
        <v>3947</v>
      </c>
      <c r="E95" s="869" t="str">
        <f>DocCalculation[[#This Row],[Category DE]]&amp;IF(LEN(DocCalculation[[#This Row],[Subcategory DE]])&gt;0," 
" &amp;DocCalculation[[#This Row],[Subcategory DE]],)</f>
        <v>CO₂ Fertigungsprozess 
Summe Overhead gCO2-eq</v>
      </c>
      <c r="F95" s="19" t="s">
        <v>3949</v>
      </c>
      <c r="G95" s="6" t="s">
        <v>3370</v>
      </c>
      <c r="H95" s="6" t="s">
        <v>3946</v>
      </c>
      <c r="I95" s="6" t="s">
        <v>3346</v>
      </c>
      <c r="J95" s="6" t="s">
        <v>3948</v>
      </c>
      <c r="K95" s="6"/>
      <c r="L95" s="6">
        <v>1</v>
      </c>
    </row>
    <row r="96" spans="2:12" ht="51" hidden="1" outlineLevel="1">
      <c r="B96" s="6" t="s">
        <v>3434</v>
      </c>
      <c r="C96" s="869" t="str">
        <f>DocCalculation[[#This Row],[Category EN]]&amp;IF(LEN(DocCalculation[[#This Row],[Subcategory EN]])&gt;0," 
" &amp;DocCalculation[[#This Row],[Subcategory EN]],)</f>
        <v>CO₂ Manufacturing process 
Total Manufacturing gCO2-eq</v>
      </c>
      <c r="D96" s="466" t="s">
        <v>3435</v>
      </c>
      <c r="E96" s="869" t="str">
        <f>DocCalculation[[#This Row],[Category DE]]&amp;IF(LEN(DocCalculation[[#This Row],[Subcategory DE]])&gt;0," 
" &amp;DocCalculation[[#This Row],[Subcategory DE]],)</f>
        <v>CO₂ Fertigungsprozess 
Summe Fertigung gCO2-eq</v>
      </c>
      <c r="F96" s="19" t="s">
        <v>3437</v>
      </c>
      <c r="G96" s="6" t="s">
        <v>3370</v>
      </c>
      <c r="H96" s="6" t="s">
        <v>3973</v>
      </c>
      <c r="I96" s="6" t="s">
        <v>3346</v>
      </c>
      <c r="J96" s="6" t="s">
        <v>3436</v>
      </c>
      <c r="K96" s="6"/>
      <c r="L96" s="6">
        <v>1</v>
      </c>
    </row>
    <row r="97" spans="1:12" ht="54" hidden="1" customHeight="1" outlineLevel="1">
      <c r="B97" s="6" t="s">
        <v>3438</v>
      </c>
      <c r="C97" s="869" t="str">
        <f>DocCalculation[[#This Row],[Category EN]]&amp;IF(LEN(DocCalculation[[#This Row],[Subcategory EN]])&gt;0," 
" &amp;DocCalculation[[#This Row],[Subcategory EN]],)</f>
        <v>CO₂ Material 
Factor gCO2-eq</v>
      </c>
      <c r="D97" s="466" t="s">
        <v>3440</v>
      </c>
      <c r="E97" s="869" t="str">
        <f>DocCalculation[[#This Row],[Category DE]]&amp;IF(LEN(DocCalculation[[#This Row],[Subcategory DE]])&gt;0," 
" &amp;DocCalculation[[#This Row],[Subcategory DE]],)</f>
        <v>CO₂ Material 
Faktor gCO2-eq</v>
      </c>
      <c r="F97" s="19" t="s">
        <v>3442</v>
      </c>
      <c r="G97" s="6" t="s">
        <v>3354</v>
      </c>
      <c r="H97" s="6" t="s">
        <v>3439</v>
      </c>
      <c r="I97" s="6" t="s">
        <v>3354</v>
      </c>
      <c r="J97" s="6" t="s">
        <v>3441</v>
      </c>
      <c r="K97" s="6"/>
      <c r="L97" s="6">
        <v>1</v>
      </c>
    </row>
    <row r="98" spans="1:12" ht="38.25" hidden="1" outlineLevel="1">
      <c r="B98" s="6" t="s">
        <v>54</v>
      </c>
      <c r="C98" s="869" t="str">
        <f>DocCalculation[[#This Row],[Category EN]]&amp;IF(LEN(DocCalculation[[#This Row],[Subcategory EN]])&gt;0," 
" &amp;DocCalculation[[#This Row],[Subcategory EN]],)</f>
        <v>CO₂ Material 
Raw Material gCO2-eq</v>
      </c>
      <c r="D98" s="466" t="s">
        <v>3950</v>
      </c>
      <c r="E98" s="869" t="str">
        <f>DocCalculation[[#This Row],[Category DE]]&amp;IF(LEN(DocCalculation[[#This Row],[Subcategory DE]])&gt;0," 
" &amp;DocCalculation[[#This Row],[Subcategory DE]],)</f>
        <v>CO₂ Material 
Rohmaterial gCO2-eq</v>
      </c>
      <c r="F98" s="19" t="s">
        <v>3951</v>
      </c>
      <c r="G98" s="6" t="s">
        <v>3354</v>
      </c>
      <c r="H98" s="6" t="s">
        <v>3972</v>
      </c>
      <c r="I98" s="6" t="s">
        <v>3354</v>
      </c>
      <c r="J98" s="6" t="s">
        <v>3443</v>
      </c>
      <c r="K98" s="6"/>
      <c r="L98" s="6">
        <v>1</v>
      </c>
    </row>
    <row r="99" spans="1:12" ht="38.25" hidden="1" outlineLevel="1">
      <c r="B99" s="6" t="s">
        <v>3444</v>
      </c>
      <c r="C99" s="869" t="str">
        <f>DocCalculation[[#This Row],[Category EN]]&amp;IF(LEN(DocCalculation[[#This Row],[Subcategory EN]])&gt;0," 
" &amp;DocCalculation[[#This Row],[Subcategory EN]],)</f>
        <v xml:space="preserve">CO₂ Material 
CO2 Manufacturing gCO2-eq </v>
      </c>
      <c r="D99" s="466" t="s">
        <v>3454</v>
      </c>
      <c r="E99" s="869" t="str">
        <f>DocCalculation[[#This Row],[Category DE]]&amp;IF(LEN(DocCalculation[[#This Row],[Subcategory DE]])&gt;0," 
" &amp;DocCalculation[[#This Row],[Subcategory DE]],)</f>
        <v>CO₂ Material 
CO2 Fertigung gCO2-eq</v>
      </c>
      <c r="F99" s="19" t="s">
        <v>3453</v>
      </c>
      <c r="G99" s="6" t="s">
        <v>3354</v>
      </c>
      <c r="H99" s="6" t="s">
        <v>3974</v>
      </c>
      <c r="I99" s="6" t="s">
        <v>3354</v>
      </c>
      <c r="J99" s="6" t="s">
        <v>3445</v>
      </c>
      <c r="K99" s="6"/>
      <c r="L99" s="6">
        <v>1</v>
      </c>
    </row>
    <row r="100" spans="1:12" ht="43.5" hidden="1" customHeight="1" outlineLevel="1">
      <c r="B100" s="6" t="s">
        <v>3446</v>
      </c>
      <c r="C100" s="869" t="str">
        <f>DocCalculation[[#This Row],[Category EN]]&amp;IF(LEN(DocCalculation[[#This Row],[Subcategory EN]])&gt;0," 
" &amp;DocCalculation[[#This Row],[Subcategory EN]],)</f>
        <v>CO₂ Material 
Consum. Material gCO2-eq</v>
      </c>
      <c r="D100" s="466" t="s">
        <v>3952</v>
      </c>
      <c r="E100" s="869" t="str">
        <f>DocCalculation[[#This Row],[Category DE]]&amp;IF(LEN(DocCalculation[[#This Row],[Subcategory DE]])&gt;0," 
" &amp;DocCalculation[[#This Row],[Subcategory DE]],)</f>
        <v>CO₂ Material 
Verb. Material gCO2-eq</v>
      </c>
      <c r="F100" s="19" t="s">
        <v>3953</v>
      </c>
      <c r="G100" s="6" t="s">
        <v>3354</v>
      </c>
      <c r="H100" s="6" t="s">
        <v>3975</v>
      </c>
      <c r="I100" s="6" t="s">
        <v>3354</v>
      </c>
      <c r="J100" s="6" t="s">
        <v>3976</v>
      </c>
      <c r="K100" s="6"/>
      <c r="L100" s="6">
        <v>1</v>
      </c>
    </row>
    <row r="101" spans="1:12" ht="50.25" hidden="1" customHeight="1" outlineLevel="1">
      <c r="B101" s="6" t="s">
        <v>3448</v>
      </c>
      <c r="C101" s="869" t="str">
        <f>DocCalculation[[#This Row],[Category EN]]&amp;IF(LEN(DocCalculation[[#This Row],[Subcategory EN]])&gt;0," 
" &amp;DocCalculation[[#This Row],[Subcategory EN]],)</f>
        <v>CO₂ Material 
Total Material gCO2-eq</v>
      </c>
      <c r="D101" s="466" t="s">
        <v>3955</v>
      </c>
      <c r="E101" s="869" t="str">
        <f>DocCalculation[[#This Row],[Category DE]]&amp;IF(LEN(DocCalculation[[#This Row],[Subcategory DE]])&gt;0," 
" &amp;DocCalculation[[#This Row],[Subcategory DE]],)</f>
        <v>CO₂ Material 
Summe Material gCO2-eq</v>
      </c>
      <c r="F101" s="19" t="s">
        <v>3956</v>
      </c>
      <c r="G101" s="6" t="s">
        <v>3354</v>
      </c>
      <c r="H101" s="6" t="s">
        <v>3954</v>
      </c>
      <c r="I101" s="6" t="s">
        <v>3354</v>
      </c>
      <c r="J101" s="6" t="s">
        <v>3447</v>
      </c>
      <c r="K101" s="6"/>
      <c r="L101" s="6">
        <v>1</v>
      </c>
    </row>
    <row r="102" spans="1:12" ht="43.5" hidden="1" customHeight="1" outlineLevel="1">
      <c r="B102" s="6" t="s">
        <v>3451</v>
      </c>
      <c r="C102" s="869" t="str">
        <f>DocCalculation[[#This Row],[Category EN]]&amp;IF(LEN(DocCalculation[[#This Row],[Subcategory EN]])&gt;0," 
" &amp;DocCalculation[[#This Row],[Subcategory EN]],)</f>
        <v>CO2 Logistic 
Transportation</v>
      </c>
      <c r="D102" s="466" t="s">
        <v>3958</v>
      </c>
      <c r="E102" s="869" t="str">
        <f>DocCalculation[[#This Row],[Category DE]]&amp;IF(LEN(DocCalculation[[#This Row],[Subcategory DE]])&gt;0," 
" &amp;DocCalculation[[#This Row],[Subcategory DE]],)</f>
        <v>CO2 Logistik 
Transportmittel</v>
      </c>
      <c r="F102" s="19" t="s">
        <v>3959</v>
      </c>
      <c r="G102" s="6" t="s">
        <v>3989</v>
      </c>
      <c r="H102" s="6" t="s">
        <v>3957</v>
      </c>
      <c r="I102" s="6" t="s">
        <v>3990</v>
      </c>
      <c r="J102" s="6" t="s">
        <v>3745</v>
      </c>
      <c r="K102" s="6"/>
      <c r="L102" s="6">
        <v>1</v>
      </c>
    </row>
    <row r="103" spans="1:12" ht="55.5" hidden="1" customHeight="1" outlineLevel="1">
      <c r="B103" s="6" t="s">
        <v>3960</v>
      </c>
      <c r="C103" s="869" t="str">
        <f>DocCalculation[[#This Row],[Category EN]]&amp;IF(LEN(DocCalculation[[#This Row],[Subcategory EN]])&gt;0," 
" &amp;DocCalculation[[#This Row],[Subcategory EN]],)</f>
        <v>CO2 Logistic 
Truck gCO2-eq</v>
      </c>
      <c r="D103" s="466" t="s">
        <v>3991</v>
      </c>
      <c r="E103" s="869" t="str">
        <f>DocCalculation[[#This Row],[Category DE]]&amp;IF(LEN(DocCalculation[[#This Row],[Subcategory DE]])&gt;0," 
" &amp;DocCalculation[[#This Row],[Subcategory DE]],)</f>
        <v>CO2 Logistik 
LKW gCO2-eq</v>
      </c>
      <c r="F103" s="19" t="s">
        <v>3961</v>
      </c>
      <c r="G103" s="6" t="s">
        <v>3989</v>
      </c>
      <c r="H103" s="6" t="s">
        <v>3977</v>
      </c>
      <c r="I103" s="6" t="s">
        <v>3990</v>
      </c>
      <c r="J103" s="6" t="s">
        <v>3981</v>
      </c>
      <c r="K103" s="6"/>
      <c r="L103" s="6">
        <v>1</v>
      </c>
    </row>
    <row r="104" spans="1:12" ht="55.5" hidden="1" customHeight="1" outlineLevel="1">
      <c r="B104" s="6" t="s">
        <v>3962</v>
      </c>
      <c r="C104" s="869" t="str">
        <f>DocCalculation[[#This Row],[Category EN]]&amp;IF(LEN(DocCalculation[[#This Row],[Subcategory EN]])&gt;0," 
" &amp;DocCalculation[[#This Row],[Subcategory EN]],)</f>
        <v>CO2 Logistic 
Ship gCO2-eq</v>
      </c>
      <c r="D104" s="466" t="s">
        <v>3992</v>
      </c>
      <c r="E104" s="869" t="str">
        <f>DocCalculation[[#This Row],[Category DE]]&amp;IF(LEN(DocCalculation[[#This Row],[Subcategory DE]])&gt;0," 
" &amp;DocCalculation[[#This Row],[Subcategory DE]],)</f>
        <v>CO2 Logistik 
Schiff gCO2-eq</v>
      </c>
      <c r="F104" s="19" t="s">
        <v>3963</v>
      </c>
      <c r="G104" s="6" t="s">
        <v>3989</v>
      </c>
      <c r="H104" s="6" t="s">
        <v>3978</v>
      </c>
      <c r="I104" s="6" t="s">
        <v>3990</v>
      </c>
      <c r="J104" s="6" t="s">
        <v>3982</v>
      </c>
      <c r="K104" s="6"/>
      <c r="L104" s="6">
        <v>1</v>
      </c>
    </row>
    <row r="105" spans="1:12" ht="55.5" hidden="1" customHeight="1" outlineLevel="1">
      <c r="B105" s="6" t="s">
        <v>3964</v>
      </c>
      <c r="C105" s="869" t="str">
        <f>DocCalculation[[#This Row],[Category EN]]&amp;IF(LEN(DocCalculation[[#This Row],[Subcategory EN]])&gt;0," 
" &amp;DocCalculation[[#This Row],[Subcategory EN]],)</f>
        <v>CO2 Logistic 
Airplane gCO2-eq</v>
      </c>
      <c r="D105" s="466" t="s">
        <v>3993</v>
      </c>
      <c r="E105" s="869" t="str">
        <f>DocCalculation[[#This Row],[Category DE]]&amp;IF(LEN(DocCalculation[[#This Row],[Subcategory DE]])&gt;0," 
" &amp;DocCalculation[[#This Row],[Subcategory DE]],)</f>
        <v>CO2 Logistik 
Flugzeug gCO2-eq</v>
      </c>
      <c r="F105" s="19" t="s">
        <v>3994</v>
      </c>
      <c r="G105" s="6" t="s">
        <v>3989</v>
      </c>
      <c r="H105" s="6" t="s">
        <v>3979</v>
      </c>
      <c r="I105" s="6" t="s">
        <v>3990</v>
      </c>
      <c r="J105" s="6" t="s">
        <v>3983</v>
      </c>
      <c r="K105" s="6"/>
      <c r="L105" s="6">
        <v>1</v>
      </c>
    </row>
    <row r="106" spans="1:12" ht="55.5" hidden="1" customHeight="1" outlineLevel="1">
      <c r="B106" s="6" t="s">
        <v>3965</v>
      </c>
      <c r="C106" s="869" t="str">
        <f>DocCalculation[[#This Row],[Category EN]]&amp;IF(LEN(DocCalculation[[#This Row],[Subcategory EN]])&gt;0," 
" &amp;DocCalculation[[#This Row],[Subcategory EN]],)</f>
        <v>CO2 Logistic 
Train gCO2-eq</v>
      </c>
      <c r="D106" s="466" t="s">
        <v>3995</v>
      </c>
      <c r="E106" s="869" t="str">
        <f>DocCalculation[[#This Row],[Category DE]]&amp;IF(LEN(DocCalculation[[#This Row],[Subcategory DE]])&gt;0," 
" &amp;DocCalculation[[#This Row],[Subcategory DE]],)</f>
        <v>CO2 Logistik 
Zug gCO2-eq</v>
      </c>
      <c r="F106" s="19" t="s">
        <v>3996</v>
      </c>
      <c r="G106" s="6" t="s">
        <v>3989</v>
      </c>
      <c r="H106" s="6" t="s">
        <v>3980</v>
      </c>
      <c r="I106" s="6" t="s">
        <v>3990</v>
      </c>
      <c r="J106" s="6" t="s">
        <v>3984</v>
      </c>
      <c r="K106" s="6"/>
      <c r="L106" s="6">
        <v>1</v>
      </c>
    </row>
    <row r="107" spans="1:12" ht="55.5" hidden="1" customHeight="1" outlineLevel="1">
      <c r="B107" s="6" t="s">
        <v>3966</v>
      </c>
      <c r="C107" s="869" t="str">
        <f>DocCalculation[[#This Row],[Category EN]]&amp;IF(LEN(DocCalculation[[#This Row],[Subcategory EN]])&gt;0," 
" &amp;DocCalculation[[#This Row],[Subcategory EN]],)</f>
        <v>CO2 Logistic 
CO2 Logistics gCO2-eq</v>
      </c>
      <c r="D107" s="466" t="s">
        <v>3967</v>
      </c>
      <c r="E107" s="869" t="str">
        <f>DocCalculation[[#This Row],[Category DE]]&amp;IF(LEN(DocCalculation[[#This Row],[Subcategory DE]])&gt;0," 
" &amp;DocCalculation[[#This Row],[Subcategory DE]],)</f>
        <v>CO2 Logistik 
CO2 Logistik gCO2-eq</v>
      </c>
      <c r="F107" s="19" t="s">
        <v>3968</v>
      </c>
      <c r="G107" s="6" t="s">
        <v>3989</v>
      </c>
      <c r="H107" s="6" t="s">
        <v>3449</v>
      </c>
      <c r="I107" s="6" t="s">
        <v>3990</v>
      </c>
      <c r="J107" s="6" t="s">
        <v>3450</v>
      </c>
      <c r="K107" s="6"/>
      <c r="L107" s="6">
        <v>1</v>
      </c>
    </row>
    <row r="108" spans="1:12" ht="55.5" hidden="1" customHeight="1" outlineLevel="1">
      <c r="B108" s="6" t="s">
        <v>3969</v>
      </c>
      <c r="C108" s="869" t="str">
        <f>DocCalculation[[#This Row],[Category EN]]&amp;IF(LEN(DocCalculation[[#This Row],[Subcategory EN]])&gt;0," 
" &amp;DocCalculation[[#This Row],[Subcategory EN]],)</f>
        <v>CO2 Total gCO2-eq</v>
      </c>
      <c r="D108" s="466" t="s">
        <v>3970</v>
      </c>
      <c r="E108" s="869" t="str">
        <f>DocCalculation[[#This Row],[Category DE]]&amp;IF(LEN(DocCalculation[[#This Row],[Subcategory DE]])&gt;0," 
" &amp;DocCalculation[[#This Row],[Subcategory DE]],)</f>
        <v>CO2 Total gCO2-eq</v>
      </c>
      <c r="F108" s="19" t="s">
        <v>3971</v>
      </c>
      <c r="G108" s="6" t="s">
        <v>3452</v>
      </c>
      <c r="I108" s="6" t="s">
        <v>3452</v>
      </c>
      <c r="K108" s="6"/>
      <c r="L108" s="6">
        <v>1</v>
      </c>
    </row>
    <row r="110" spans="1:12" collapsed="1">
      <c r="A110" s="475"/>
      <c r="B110" s="476" t="s">
        <v>816</v>
      </c>
    </row>
    <row r="111" spans="1:12" hidden="1" outlineLevel="1">
      <c r="A111" s="278"/>
      <c r="B111" s="277"/>
    </row>
    <row r="112" spans="1:12" ht="30" hidden="1" customHeight="1" outlineLevel="1">
      <c r="B112" s="6" t="s">
        <v>359</v>
      </c>
      <c r="C112" s="869" t="s">
        <v>360</v>
      </c>
      <c r="D112" s="466" t="s">
        <v>361</v>
      </c>
      <c r="E112" s="869" t="s">
        <v>362</v>
      </c>
      <c r="F112" s="19" t="s">
        <v>363</v>
      </c>
      <c r="G112" s="6" t="s">
        <v>367</v>
      </c>
      <c r="H112" s="6" t="s">
        <v>366</v>
      </c>
      <c r="I112" s="6" t="s">
        <v>720</v>
      </c>
    </row>
    <row r="113" spans="2:9" ht="51" hidden="1" outlineLevel="1">
      <c r="B113" s="6" t="s">
        <v>84</v>
      </c>
      <c r="D113" s="466" t="s">
        <v>1737</v>
      </c>
      <c r="F113" s="19" t="s">
        <v>1993</v>
      </c>
      <c r="I113" s="6">
        <v>1</v>
      </c>
    </row>
    <row r="114" spans="2:9" ht="76.5" hidden="1" outlineLevel="1">
      <c r="B114" s="6" t="s">
        <v>256</v>
      </c>
      <c r="C114" s="869" t="str">
        <f>DocBOM[[#This Row],[Category EN]]</f>
        <v>Numbering</v>
      </c>
      <c r="D114" s="466" t="s">
        <v>1736</v>
      </c>
      <c r="E114" s="869" t="str">
        <f>DocBOM[[#This Row],[Category DE]]</f>
        <v>Nummerierung</v>
      </c>
      <c r="F114" s="19" t="s">
        <v>1735</v>
      </c>
      <c r="G114" s="6" t="s">
        <v>515</v>
      </c>
      <c r="H114" s="6" t="s">
        <v>401</v>
      </c>
      <c r="I114" s="6">
        <v>1</v>
      </c>
    </row>
    <row r="115" spans="2:9" ht="127.5" hidden="1" outlineLevel="1">
      <c r="B115" s="6" t="s">
        <v>261</v>
      </c>
      <c r="C115" s="869" t="str">
        <f>DocBOM[[#This Row],[Category EN]]</f>
        <v>Structural level</v>
      </c>
      <c r="D115" s="466" t="s">
        <v>1809</v>
      </c>
      <c r="E115" s="869" t="str">
        <f>DocBOM[[#This Row],[Category DE]]</f>
        <v>Strukturstufe</v>
      </c>
      <c r="F115" s="19" t="s">
        <v>1810</v>
      </c>
      <c r="G115" s="6" t="s">
        <v>1734</v>
      </c>
      <c r="H115" s="6" t="s">
        <v>400</v>
      </c>
      <c r="I115" s="6">
        <v>1</v>
      </c>
    </row>
    <row r="116" spans="2:9" ht="38.25" hidden="1" outlineLevel="1">
      <c r="B116" s="6" t="s">
        <v>262</v>
      </c>
      <c r="C116" s="869" t="str">
        <f>DocBOM[[#This Row],[Category EN]]</f>
        <v>Description</v>
      </c>
      <c r="D116" s="466" t="s">
        <v>1807</v>
      </c>
      <c r="E116" s="869" t="str">
        <f>DocBOM[[#This Row],[Category DE]]</f>
        <v>Bezeichnung</v>
      </c>
      <c r="F116" s="19" t="s">
        <v>1808</v>
      </c>
      <c r="G116" s="6" t="s">
        <v>69</v>
      </c>
      <c r="H116" s="6" t="s">
        <v>2</v>
      </c>
      <c r="I116" s="6">
        <v>1</v>
      </c>
    </row>
    <row r="117" spans="2:9" ht="178.5" hidden="1" outlineLevel="1">
      <c r="B117" s="6" t="s">
        <v>263</v>
      </c>
      <c r="C117" s="869" t="str">
        <f>DocBOM[[#This Row],[Category EN]]</f>
        <v>Material</v>
      </c>
      <c r="D117" s="19" t="s">
        <v>1995</v>
      </c>
      <c r="E117" s="869" t="str">
        <f>DocBOM[[#This Row],[Category DE]]</f>
        <v>Material</v>
      </c>
      <c r="F117" s="19" t="s">
        <v>1994</v>
      </c>
      <c r="G117" s="6" t="s">
        <v>34</v>
      </c>
      <c r="H117" s="6" t="s">
        <v>34</v>
      </c>
      <c r="I117" s="6">
        <v>1</v>
      </c>
    </row>
    <row r="118" spans="2:9" ht="127.5" hidden="1" outlineLevel="1">
      <c r="B118" s="6" t="s">
        <v>264</v>
      </c>
      <c r="C118" s="869" t="str">
        <f>DocBOM[[#This Row],[Category EN]]</f>
        <v>Quantity</v>
      </c>
      <c r="D118" s="466" t="s">
        <v>1733</v>
      </c>
      <c r="E118" s="869" t="str">
        <f>DocBOM[[#This Row],[Category DE]]</f>
        <v>Anzahl</v>
      </c>
      <c r="F118" s="19" t="s">
        <v>2381</v>
      </c>
      <c r="G118" s="6" t="s">
        <v>476</v>
      </c>
      <c r="H118" s="6" t="s">
        <v>35</v>
      </c>
      <c r="I118" s="6">
        <v>1</v>
      </c>
    </row>
    <row r="119" spans="2:9" ht="51" hidden="1" outlineLevel="1">
      <c r="B119" s="6" t="s">
        <v>265</v>
      </c>
      <c r="C119" s="869" t="str">
        <f>DocBOM[[#This Row],[Category EN]]</f>
        <v>weight</v>
      </c>
      <c r="D119" s="466" t="s">
        <v>1731</v>
      </c>
      <c r="E119" s="869" t="str">
        <f>DocBOM[[#This Row],[Category DE]]</f>
        <v>Gewicht</v>
      </c>
      <c r="F119" s="19" t="s">
        <v>1732</v>
      </c>
      <c r="G119" s="6" t="s">
        <v>516</v>
      </c>
      <c r="H119" s="6" t="s">
        <v>140</v>
      </c>
      <c r="I119" s="6">
        <v>1</v>
      </c>
    </row>
    <row r="120" spans="2:9" ht="114.75" hidden="1" outlineLevel="1">
      <c r="B120" s="6" t="s">
        <v>266</v>
      </c>
      <c r="C120" s="869" t="str">
        <f>DocBOM[[#This Row],[Category EN]]</f>
        <v>length</v>
      </c>
      <c r="D120" s="466" t="s">
        <v>1545</v>
      </c>
      <c r="E120" s="869" t="str">
        <f>DocBOM[[#This Row],[Category DE]]</f>
        <v>Länge</v>
      </c>
      <c r="F120" s="19" t="s">
        <v>1540</v>
      </c>
      <c r="G120" s="6" t="s">
        <v>517</v>
      </c>
      <c r="H120" s="6" t="s">
        <v>402</v>
      </c>
      <c r="I120" s="6">
        <v>1</v>
      </c>
    </row>
    <row r="121" spans="2:9" ht="102" hidden="1" outlineLevel="1">
      <c r="B121" s="6" t="s">
        <v>267</v>
      </c>
      <c r="C121" s="869" t="str">
        <f>DocBOM[[#This Row],[Category EN]]</f>
        <v>width</v>
      </c>
      <c r="D121" s="466" t="s">
        <v>1544</v>
      </c>
      <c r="E121" s="869" t="str">
        <f>DocBOM[[#This Row],[Category DE]]</f>
        <v>Breite</v>
      </c>
      <c r="F121" s="19" t="s">
        <v>1541</v>
      </c>
      <c r="G121" s="6" t="s">
        <v>518</v>
      </c>
      <c r="H121" s="6" t="s">
        <v>403</v>
      </c>
      <c r="I121" s="6">
        <v>1</v>
      </c>
    </row>
    <row r="122" spans="2:9" ht="102" hidden="1" outlineLevel="1">
      <c r="B122" s="6" t="s">
        <v>268</v>
      </c>
      <c r="C122" s="869" t="str">
        <f>DocBOM[[#This Row],[Category EN]]</f>
        <v>height</v>
      </c>
      <c r="D122" s="466" t="s">
        <v>1543</v>
      </c>
      <c r="E122" s="869" t="str">
        <f>DocBOM[[#This Row],[Category DE]]</f>
        <v>Höhe</v>
      </c>
      <c r="F122" s="19" t="s">
        <v>1542</v>
      </c>
      <c r="G122" s="6" t="s">
        <v>519</v>
      </c>
      <c r="H122" s="6" t="s">
        <v>404</v>
      </c>
      <c r="I122" s="6">
        <v>1</v>
      </c>
    </row>
    <row r="123" spans="2:9" hidden="1" outlineLevel="1">
      <c r="B123" s="6" t="s">
        <v>83</v>
      </c>
      <c r="C123" s="869" t="str">
        <f>DocBOM[[#This Row],[Category EN]]</f>
        <v>material thickness</v>
      </c>
      <c r="D123" s="466" t="s">
        <v>511</v>
      </c>
      <c r="E123" s="869" t="str">
        <f>DocBOM[[#This Row],[Category DE]]</f>
        <v>Materialstärke</v>
      </c>
      <c r="F123" s="19" t="s">
        <v>406</v>
      </c>
      <c r="G123" s="6" t="s">
        <v>520</v>
      </c>
      <c r="H123" s="6" t="s">
        <v>405</v>
      </c>
      <c r="I123" s="6">
        <v>1</v>
      </c>
    </row>
    <row r="124" spans="2:9" ht="229.5" hidden="1" outlineLevel="1">
      <c r="B124" s="6" t="s">
        <v>269</v>
      </c>
      <c r="C124" s="869" t="str">
        <f>DocBOM[[#This Row],[Category EN]]</f>
        <v>production process</v>
      </c>
      <c r="D124" s="466" t="s">
        <v>1992</v>
      </c>
      <c r="E124" s="869" t="str">
        <f>DocBOM[[#This Row],[Category DE]]</f>
        <v>Fertigungsprozess</v>
      </c>
      <c r="F124" s="19" t="s">
        <v>1991</v>
      </c>
      <c r="G124" s="6" t="s">
        <v>521</v>
      </c>
      <c r="H124" s="6" t="s">
        <v>407</v>
      </c>
      <c r="I124" s="6">
        <v>0</v>
      </c>
    </row>
    <row r="125" spans="2:9" ht="191.25" hidden="1" outlineLevel="1">
      <c r="B125" s="6" t="s">
        <v>49</v>
      </c>
      <c r="C125" s="869" t="str">
        <f>DocBOM[[#This Row],[Category EN]]</f>
        <v>Supplier structure</v>
      </c>
      <c r="D125" s="466" t="s">
        <v>1811</v>
      </c>
      <c r="E125" s="869" t="str">
        <f>DocBOM[[#This Row],[Category DE]]</f>
        <v>Lieferantenstruktur</v>
      </c>
      <c r="F125" s="19" t="s">
        <v>1812</v>
      </c>
      <c r="G125" s="6" t="s">
        <v>886</v>
      </c>
      <c r="H125" s="6" t="s">
        <v>408</v>
      </c>
      <c r="I125" s="6">
        <v>1</v>
      </c>
    </row>
    <row r="126" spans="2:9" hidden="1" outlineLevel="1">
      <c r="B126" s="6" t="s">
        <v>270</v>
      </c>
      <c r="C126" s="869" t="str">
        <f>DocBOM[[#This Row],[Category EN]]</f>
        <v>Total quantity</v>
      </c>
      <c r="D126" s="466" t="s">
        <v>512</v>
      </c>
      <c r="E126" s="869" t="str">
        <f>DocBOM[[#This Row],[Category DE]]</f>
        <v>Gesamtanzahl</v>
      </c>
      <c r="F126" s="19" t="s">
        <v>413</v>
      </c>
      <c r="G126" s="6" t="s">
        <v>522</v>
      </c>
      <c r="H126" s="6" t="s">
        <v>409</v>
      </c>
      <c r="I126" s="6">
        <v>1</v>
      </c>
    </row>
    <row r="127" spans="2:9" hidden="1" outlineLevel="1">
      <c r="B127" s="6" t="s">
        <v>271</v>
      </c>
      <c r="C127" s="869" t="str">
        <f>DocBOM[[#This Row],[Category EN]]</f>
        <v>Total weight</v>
      </c>
      <c r="D127" s="466" t="s">
        <v>513</v>
      </c>
      <c r="E127" s="869" t="str">
        <f>DocBOM[[#This Row],[Category DE]]</f>
        <v>Gesamtgewicht</v>
      </c>
      <c r="F127" s="19" t="s">
        <v>414</v>
      </c>
      <c r="G127" s="6" t="s">
        <v>523</v>
      </c>
      <c r="H127" s="6" t="s">
        <v>410</v>
      </c>
      <c r="I127" s="6">
        <v>1</v>
      </c>
    </row>
    <row r="128" spans="2:9" ht="51" hidden="1" outlineLevel="1">
      <c r="B128" s="6" t="s">
        <v>240</v>
      </c>
      <c r="C128" s="869" t="str">
        <f>DocBOM[[#This Row],[Category EN]]</f>
        <v>Number of subassemblies</v>
      </c>
      <c r="D128" s="466" t="s">
        <v>1730</v>
      </c>
      <c r="E128" s="869" t="str">
        <f>DocBOM[[#This Row],[Category DE]]</f>
        <v>Anzahl Unterbaugruppen</v>
      </c>
      <c r="F128" s="19" t="s">
        <v>1729</v>
      </c>
      <c r="G128" s="6" t="s">
        <v>524</v>
      </c>
      <c r="H128" s="6" t="s">
        <v>411</v>
      </c>
      <c r="I128" s="6">
        <v>1</v>
      </c>
    </row>
    <row r="129" spans="1:12" hidden="1" outlineLevel="1">
      <c r="B129" s="6" t="s">
        <v>272</v>
      </c>
      <c r="C129" s="869" t="str">
        <f>DocBOM[[#This Row],[Category EN]]</f>
        <v>annotations</v>
      </c>
      <c r="D129" s="466" t="s">
        <v>514</v>
      </c>
      <c r="E129" s="869" t="str">
        <f>DocBOM[[#This Row],[Category DE]]</f>
        <v>Anmerkungen</v>
      </c>
      <c r="F129" s="19" t="s">
        <v>415</v>
      </c>
      <c r="G129" s="6" t="s">
        <v>525</v>
      </c>
      <c r="H129" s="6" t="s">
        <v>170</v>
      </c>
      <c r="I129" s="6">
        <v>1</v>
      </c>
    </row>
    <row r="130" spans="1:12" ht="216.75" hidden="1" outlineLevel="1">
      <c r="B130" s="6" t="s">
        <v>40</v>
      </c>
      <c r="C130" s="869" t="str">
        <f>DocBOM[[#This Row],[Category EN]]</f>
        <v>Images</v>
      </c>
      <c r="D130" s="466" t="s">
        <v>1998</v>
      </c>
      <c r="E130" s="869" t="str">
        <f>DocBOM[[#This Row],[Category DE]]</f>
        <v>Bilder</v>
      </c>
      <c r="F130" s="19" t="s">
        <v>1997</v>
      </c>
      <c r="G130" s="6" t="s">
        <v>526</v>
      </c>
      <c r="H130" s="6" t="s">
        <v>412</v>
      </c>
      <c r="I130" s="6">
        <v>1</v>
      </c>
    </row>
    <row r="132" spans="1:12" collapsed="1">
      <c r="A132" s="475"/>
      <c r="B132" s="476" t="s">
        <v>1377</v>
      </c>
    </row>
    <row r="133" spans="1:12" hidden="1" outlineLevel="1">
      <c r="A133" s="278"/>
      <c r="B133" s="277"/>
    </row>
    <row r="134" spans="1:12" ht="30" hidden="1" customHeight="1" outlineLevel="1">
      <c r="B134" s="6" t="s">
        <v>557</v>
      </c>
      <c r="C134" s="869" t="s">
        <v>360</v>
      </c>
      <c r="D134" s="466" t="s">
        <v>361</v>
      </c>
      <c r="E134" s="869" t="s">
        <v>362</v>
      </c>
      <c r="F134" s="19" t="s">
        <v>363</v>
      </c>
      <c r="G134" s="6" t="s">
        <v>367</v>
      </c>
      <c r="H134" s="6" t="s">
        <v>368</v>
      </c>
      <c r="I134" s="6" t="s">
        <v>366</v>
      </c>
      <c r="J134" s="6" t="s">
        <v>369</v>
      </c>
      <c r="K134" s="6" t="s">
        <v>59</v>
      </c>
      <c r="L134" s="6" t="s">
        <v>720</v>
      </c>
    </row>
    <row r="135" spans="1:12" ht="76.5" hidden="1" outlineLevel="1">
      <c r="B135" s="6" t="s">
        <v>561</v>
      </c>
      <c r="C135" s="869" t="str">
        <f>DocPremises[[#This Row],[Category EN]]&amp;IF(LEN(DocPremises[[#This Row],[Subcategory EN]])&gt;0," 
" &amp;DocPremises[[#This Row],[Subcategory EN]],)</f>
        <v>Input currency</v>
      </c>
      <c r="D135" s="466" t="s">
        <v>1434</v>
      </c>
      <c r="E135" s="869" t="str">
        <f>DocPremises[[#This Row],[Category DE]]&amp;IF(LEN(DocPremises[[#This Row],[Subcategory DE]])&gt;0," 
" &amp;DocPremises[[#This Row],[Subcategory DE]],)</f>
        <v>Eingabewährung</v>
      </c>
      <c r="F135" s="19" t="s">
        <v>1487</v>
      </c>
      <c r="G135" s="6" t="s">
        <v>593</v>
      </c>
      <c r="I135" s="6" t="s">
        <v>442</v>
      </c>
      <c r="K135" s="6" t="s">
        <v>61</v>
      </c>
      <c r="L135" s="6">
        <v>1</v>
      </c>
    </row>
    <row r="136" spans="1:12" ht="76.5" hidden="1" outlineLevel="1">
      <c r="B136" s="6" t="s">
        <v>594</v>
      </c>
      <c r="C136" s="869" t="str">
        <f>DocPremises[[#This Row],[Category EN]]&amp;IF(LEN(DocPremises[[#This Row],[Subcategory EN]])&gt;0," 
" &amp;DocPremises[[#This Row],[Subcategory EN]],)</f>
        <v>Currency</v>
      </c>
      <c r="D136" s="466" t="s">
        <v>1522</v>
      </c>
      <c r="E136" s="869" t="str">
        <f>DocPremises[[#This Row],[Category DE]]&amp;IF(LEN(DocPremises[[#This Row],[Subcategory DE]])&gt;0," 
" &amp;DocPremises[[#This Row],[Subcategory DE]],)</f>
        <v>Währung</v>
      </c>
      <c r="F136" s="19" t="s">
        <v>1521</v>
      </c>
      <c r="G136" s="6" t="s">
        <v>553</v>
      </c>
      <c r="I136" s="6" t="s">
        <v>24</v>
      </c>
      <c r="K136" s="6" t="s">
        <v>61</v>
      </c>
      <c r="L136" s="6">
        <v>1</v>
      </c>
    </row>
    <row r="137" spans="1:12" ht="51" hidden="1" outlineLevel="1">
      <c r="B137" s="6" t="s">
        <v>595</v>
      </c>
      <c r="C137" s="869" t="str">
        <f>DocPremises[[#This Row],[Category EN]]&amp;IF(LEN(DocPremises[[#This Row],[Subcategory EN]])&gt;0," 
" &amp;DocPremises[[#This Row],[Subcategory EN]],)</f>
        <v>Exchange rate</v>
      </c>
      <c r="D137" s="466" t="s">
        <v>1432</v>
      </c>
      <c r="E137" s="869" t="str">
        <f>DocPremises[[#This Row],[Category DE]]&amp;IF(LEN(DocPremises[[#This Row],[Subcategory DE]])&gt;0," 
" &amp;DocPremises[[#This Row],[Subcategory DE]],)</f>
        <v>Wechselkurs</v>
      </c>
      <c r="F137" s="19" t="s">
        <v>1431</v>
      </c>
      <c r="G137" s="6" t="s">
        <v>596</v>
      </c>
      <c r="I137" s="6" t="s">
        <v>25</v>
      </c>
      <c r="K137" s="6">
        <v>1</v>
      </c>
      <c r="L137" s="6">
        <v>1</v>
      </c>
    </row>
    <row r="138" spans="1:12" ht="63.75" hidden="1" outlineLevel="1">
      <c r="B138" s="6">
        <v>10</v>
      </c>
      <c r="C138" s="869" t="str">
        <f>DocPremises[[#This Row],[Category EN]]&amp;IF(LEN(DocPremises[[#This Row],[Subcategory EN]])&gt;0," 
" &amp;DocPremises[[#This Row],[Subcategory EN]],)</f>
        <v>Supplier 
ID</v>
      </c>
      <c r="D138" s="466" t="s">
        <v>1433</v>
      </c>
      <c r="E138" s="869" t="str">
        <f>DocPremises[[#This Row],[Category DE]]&amp;IF(LEN(DocPremises[[#This Row],[Subcategory DE]])&gt;0," 
" &amp;DocPremises[[#This Row],[Subcategory DE]],)</f>
        <v>Lieferant 
ID</v>
      </c>
      <c r="F138" s="19" t="s">
        <v>885</v>
      </c>
      <c r="G138" s="6" t="s">
        <v>597</v>
      </c>
      <c r="H138" s="6" t="s">
        <v>148</v>
      </c>
      <c r="I138" s="6" t="s">
        <v>558</v>
      </c>
      <c r="J138" s="6" t="s">
        <v>148</v>
      </c>
      <c r="K138" s="6"/>
      <c r="L138" s="6">
        <v>1</v>
      </c>
    </row>
    <row r="139" spans="1:12" ht="51" hidden="1" outlineLevel="1">
      <c r="B139" s="6">
        <v>11</v>
      </c>
      <c r="C139" s="869" t="str">
        <f>DocPremises[[#This Row],[Category EN]]&amp;IF(LEN(DocPremises[[#This Row],[Subcategory EN]])&gt;0," 
" &amp;DocPremises[[#This Row],[Subcategory EN]],)</f>
        <v>Supplier 
Designation</v>
      </c>
      <c r="D139" s="466" t="s">
        <v>1497</v>
      </c>
      <c r="E139" s="869" t="str">
        <f>DocPremises[[#This Row],[Category DE]]&amp;IF(LEN(DocPremises[[#This Row],[Subcategory DE]])&gt;0," 
" &amp;DocPremises[[#This Row],[Subcategory DE]],)</f>
        <v>Lieferant 
Benennung</v>
      </c>
      <c r="F139" s="19" t="s">
        <v>1496</v>
      </c>
      <c r="G139" s="6" t="s">
        <v>597</v>
      </c>
      <c r="H139" s="6" t="s">
        <v>492</v>
      </c>
      <c r="I139" s="6" t="s">
        <v>558</v>
      </c>
      <c r="J139" s="6" t="s">
        <v>33</v>
      </c>
      <c r="K139" s="6"/>
      <c r="L139" s="6">
        <v>1</v>
      </c>
    </row>
    <row r="140" spans="1:12" ht="153" hidden="1" outlineLevel="1">
      <c r="B140" s="6">
        <v>12</v>
      </c>
      <c r="C140" s="869" t="str">
        <f>DocPremises[[#This Row],[Category EN]]&amp;IF(LEN(DocPremises[[#This Row],[Subcategory EN]])&gt;0," 
" &amp;DocPremises[[#This Row],[Subcategory EN]],)</f>
        <v>Supplier 
Category</v>
      </c>
      <c r="D140" s="466" t="s">
        <v>1436</v>
      </c>
      <c r="E140" s="869" t="str">
        <f>DocPremises[[#This Row],[Category DE]]&amp;IF(LEN(DocPremises[[#This Row],[Subcategory DE]])&gt;0," 
" &amp;DocPremises[[#This Row],[Subcategory DE]],)</f>
        <v>Lieferant 
Kategorie</v>
      </c>
      <c r="F140" s="19" t="s">
        <v>1435</v>
      </c>
      <c r="G140" s="6" t="s">
        <v>597</v>
      </c>
      <c r="H140" s="6" t="s">
        <v>536</v>
      </c>
      <c r="I140" s="6" t="s">
        <v>558</v>
      </c>
      <c r="J140" s="6" t="s">
        <v>22</v>
      </c>
      <c r="K140" s="6"/>
      <c r="L140" s="6">
        <v>1</v>
      </c>
    </row>
    <row r="141" spans="1:12" ht="38.25" hidden="1" outlineLevel="1">
      <c r="B141" s="6">
        <v>13</v>
      </c>
      <c r="C141" s="869" t="str">
        <f>DocPremises[[#This Row],[Category EN]]&amp;IF(LEN(DocPremises[[#This Row],[Subcategory EN]])&gt;0," 
" &amp;DocPremises[[#This Row],[Subcategory EN]],)</f>
        <v>Supplier 
Calculated annual quantity</v>
      </c>
      <c r="D141" s="466" t="s">
        <v>1495</v>
      </c>
      <c r="E141" s="869" t="str">
        <f>DocPremises[[#This Row],[Category DE]]&amp;IF(LEN(DocPremises[[#This Row],[Subcategory DE]])&gt;0," 
" &amp;DocPremises[[#This Row],[Subcategory DE]],)</f>
        <v>Lieferant 
Kalkulierte Jahresstückzahl</v>
      </c>
      <c r="F141" s="19" t="s">
        <v>598</v>
      </c>
      <c r="G141" s="6" t="s">
        <v>597</v>
      </c>
      <c r="H141" s="6" t="s">
        <v>537</v>
      </c>
      <c r="I141" s="6" t="s">
        <v>558</v>
      </c>
      <c r="J141" s="6" t="s">
        <v>19</v>
      </c>
      <c r="K141" s="6"/>
      <c r="L141" s="6">
        <v>1</v>
      </c>
    </row>
    <row r="142" spans="1:12" ht="63.75" hidden="1" outlineLevel="1">
      <c r="B142" s="6">
        <v>14</v>
      </c>
      <c r="C142" s="869" t="str">
        <f>DocPremises[[#This Row],[Category EN]]&amp;IF(LEN(DocPremises[[#This Row],[Subcategory EN]])&gt;0," 
" &amp;DocPremises[[#This Row],[Subcategory EN]],)</f>
        <v>Supplier 
Term</v>
      </c>
      <c r="D142" s="466" t="s">
        <v>1494</v>
      </c>
      <c r="E142" s="869" t="str">
        <f>DocPremises[[#This Row],[Category DE]]&amp;IF(LEN(DocPremises[[#This Row],[Subcategory DE]])&gt;0," 
" &amp;DocPremises[[#This Row],[Subcategory DE]],)</f>
        <v>Lieferant 
Laufzeit</v>
      </c>
      <c r="F142" s="19" t="s">
        <v>1493</v>
      </c>
      <c r="G142" s="6" t="s">
        <v>597</v>
      </c>
      <c r="H142" s="6" t="s">
        <v>538</v>
      </c>
      <c r="I142" s="6" t="s">
        <v>558</v>
      </c>
      <c r="J142" s="6" t="s">
        <v>48</v>
      </c>
      <c r="K142" s="6" t="s">
        <v>535</v>
      </c>
      <c r="L142" s="6">
        <v>1</v>
      </c>
    </row>
    <row r="143" spans="1:12" ht="63.75" hidden="1" outlineLevel="1">
      <c r="B143" s="6">
        <v>15</v>
      </c>
      <c r="C143" s="869" t="str">
        <f>DocPremises[[#This Row],[Category EN]]&amp;IF(LEN(DocPremises[[#This Row],[Subcategory EN]])&gt;0," 
" &amp;DocPremises[[#This Row],[Subcategory EN]],)</f>
        <v>Supplier 
Capacity utilization of machines</v>
      </c>
      <c r="D143" s="466" t="s">
        <v>1437</v>
      </c>
      <c r="E143" s="869" t="str">
        <f>DocPremises[[#This Row],[Category DE]]&amp;IF(LEN(DocPremises[[#This Row],[Subcategory DE]])&gt;0," 
" &amp;DocPremises[[#This Row],[Subcategory DE]],)</f>
        <v>Lieferant 
Auslastung Maschinen</v>
      </c>
      <c r="F143" s="19" t="s">
        <v>1438</v>
      </c>
      <c r="G143" s="6" t="s">
        <v>597</v>
      </c>
      <c r="H143" s="6" t="s">
        <v>599</v>
      </c>
      <c r="I143" s="6" t="s">
        <v>558</v>
      </c>
      <c r="J143" s="6" t="s">
        <v>47</v>
      </c>
      <c r="K143" s="6" t="s">
        <v>3</v>
      </c>
      <c r="L143" s="6">
        <v>1</v>
      </c>
    </row>
    <row r="144" spans="1:12" ht="89.25" hidden="1" outlineLevel="1">
      <c r="B144" s="6">
        <v>16</v>
      </c>
      <c r="C144" s="869" t="str">
        <f>DocPremises[[#This Row],[Category EN]]&amp;IF(LEN(DocPremises[[#This Row],[Subcategory EN]])&gt;0," 
" &amp;DocPremises[[#This Row],[Subcategory EN]],)</f>
        <v>Supplier 
Availability worker</v>
      </c>
      <c r="D144" s="466" t="s">
        <v>1701</v>
      </c>
      <c r="E144" s="869" t="str">
        <f>DocPremises[[#This Row],[Category DE]]&amp;IF(LEN(DocPremises[[#This Row],[Subcategory DE]])&gt;0," 
" &amp;DocPremises[[#This Row],[Subcategory DE]],)</f>
        <v>Lieferant 
Verfügbarkeit Werker</v>
      </c>
      <c r="F144" s="19" t="s">
        <v>1439</v>
      </c>
      <c r="G144" s="6" t="s">
        <v>597</v>
      </c>
      <c r="H144" s="6" t="s">
        <v>600</v>
      </c>
      <c r="I144" s="6" t="s">
        <v>558</v>
      </c>
      <c r="J144" s="6" t="s">
        <v>46</v>
      </c>
      <c r="K144" s="6" t="s">
        <v>3</v>
      </c>
      <c r="L144" s="6">
        <v>1</v>
      </c>
    </row>
    <row r="145" spans="2:12" ht="25.5" hidden="1" outlineLevel="1">
      <c r="B145" s="6">
        <v>18</v>
      </c>
      <c r="C145" s="869" t="str">
        <f>DocPremises[[#This Row],[Category EN]]&amp;IF(LEN(DocPremises[[#This Row],[Subcategory EN]])&gt;0," 
" &amp;DocPremises[[#This Row],[Subcategory EN]],)</f>
        <v>Supplier 
Production site</v>
      </c>
      <c r="D145" s="466" t="s">
        <v>1598</v>
      </c>
      <c r="E145" s="869" t="str">
        <f>DocPremises[[#This Row],[Category DE]]&amp;IF(LEN(DocPremises[[#This Row],[Subcategory DE]])&gt;0," 
" &amp;DocPremises[[#This Row],[Subcategory DE]],)</f>
        <v>Lieferant 
Fertigungsort</v>
      </c>
      <c r="F145" s="19" t="s">
        <v>1597</v>
      </c>
      <c r="G145" s="6" t="s">
        <v>597</v>
      </c>
      <c r="H145" s="6" t="s">
        <v>541</v>
      </c>
      <c r="I145" s="6" t="s">
        <v>558</v>
      </c>
      <c r="J145" s="6" t="s">
        <v>15</v>
      </c>
      <c r="K145" s="6"/>
      <c r="L145" s="6">
        <v>1</v>
      </c>
    </row>
    <row r="146" spans="2:12" ht="76.5" hidden="1" outlineLevel="1">
      <c r="B146" s="6">
        <v>19</v>
      </c>
      <c r="C146" s="869" t="str">
        <f>DocPremises[[#This Row],[Category EN]]&amp;IF(LEN(DocPremises[[#This Row],[Subcategory EN]])&gt;0," 
" &amp;DocPremises[[#This Row],[Subcategory EN]],)</f>
        <v>Supplier 
Working days per year</v>
      </c>
      <c r="D146" s="466" t="s">
        <v>1454</v>
      </c>
      <c r="E146" s="869" t="str">
        <f>DocPremises[[#This Row],[Category DE]]&amp;IF(LEN(DocPremises[[#This Row],[Subcategory DE]])&gt;0," 
" &amp;DocPremises[[#This Row],[Subcategory DE]],)</f>
        <v>Lieferant 
Arbeitstage pro Jahr</v>
      </c>
      <c r="F146" s="19" t="s">
        <v>1440</v>
      </c>
      <c r="G146" s="6" t="s">
        <v>597</v>
      </c>
      <c r="H146" s="6" t="s">
        <v>601</v>
      </c>
      <c r="I146" s="6" t="s">
        <v>558</v>
      </c>
      <c r="J146" s="6" t="s">
        <v>16</v>
      </c>
      <c r="K146" s="6"/>
      <c r="L146" s="6">
        <v>1</v>
      </c>
    </row>
    <row r="147" spans="2:12" ht="63.75" hidden="1" outlineLevel="1">
      <c r="B147" s="6">
        <v>20</v>
      </c>
      <c r="C147" s="869" t="str">
        <f>DocPremises[[#This Row],[Category EN]]&amp;IF(LEN(DocPremises[[#This Row],[Subcategory EN]])&gt;0," 
" &amp;DocPremises[[#This Row],[Subcategory EN]],)</f>
        <v>Supplier 
Layers</v>
      </c>
      <c r="D147" s="466" t="s">
        <v>1441</v>
      </c>
      <c r="E147" s="869" t="str">
        <f>DocPremises[[#This Row],[Category DE]]&amp;IF(LEN(DocPremises[[#This Row],[Subcategory DE]])&gt;0," 
" &amp;DocPremises[[#This Row],[Subcategory DE]],)</f>
        <v>Lieferant 
Schichten</v>
      </c>
      <c r="F147" s="19" t="s">
        <v>1488</v>
      </c>
      <c r="G147" s="6" t="s">
        <v>597</v>
      </c>
      <c r="H147" s="6" t="s">
        <v>602</v>
      </c>
      <c r="I147" s="6" t="s">
        <v>558</v>
      </c>
      <c r="J147" s="6" t="s">
        <v>6</v>
      </c>
      <c r="K147" s="6"/>
      <c r="L147" s="6">
        <v>1</v>
      </c>
    </row>
    <row r="148" spans="2:12" ht="63.75" hidden="1" outlineLevel="1">
      <c r="B148" s="6">
        <v>21</v>
      </c>
      <c r="C148" s="869" t="str">
        <f>DocPremises[[#This Row],[Category EN]]&amp;IF(LEN(DocPremises[[#This Row],[Subcategory EN]])&gt;0," 
" &amp;DocPremises[[#This Row],[Subcategory EN]],)</f>
        <v>Supplier 
Labor costs machine operator</v>
      </c>
      <c r="D148" s="466" t="s">
        <v>1449</v>
      </c>
      <c r="E148" s="869" t="str">
        <f>DocPremises[[#This Row],[Category DE]]&amp;IF(LEN(DocPremises[[#This Row],[Subcategory DE]])&gt;0," 
" &amp;DocPremises[[#This Row],[Subcategory DE]],)</f>
        <v>Lieferant 
Arbeitskosten Maschinenbediener</v>
      </c>
      <c r="F148" s="19" t="s">
        <v>1442</v>
      </c>
      <c r="G148" s="6" t="s">
        <v>597</v>
      </c>
      <c r="H148" s="6" t="s">
        <v>603</v>
      </c>
      <c r="I148" s="6" t="s">
        <v>558</v>
      </c>
      <c r="J148" s="6" t="s">
        <v>91</v>
      </c>
      <c r="K148" s="6" t="s">
        <v>119</v>
      </c>
      <c r="L148" s="6">
        <v>1</v>
      </c>
    </row>
    <row r="149" spans="2:12" ht="63.75" hidden="1" outlineLevel="1">
      <c r="B149" s="6">
        <v>22</v>
      </c>
      <c r="C149" s="869" t="str">
        <f>DocPremises[[#This Row],[Category EN]]&amp;IF(LEN(DocPremises[[#This Row],[Subcategory EN]])&gt;0," 
" &amp;DocPremises[[#This Row],[Subcategory EN]],)</f>
        <v>Supplier 
Labor costs skilled worker/employer</v>
      </c>
      <c r="D149" s="466" t="s">
        <v>1448</v>
      </c>
      <c r="E149" s="869" t="str">
        <f>DocPremises[[#This Row],[Category DE]]&amp;IF(LEN(DocPremises[[#This Row],[Subcategory DE]])&gt;0," 
" &amp;DocPremises[[#This Row],[Subcategory DE]],)</f>
        <v>Lieferant 
Arbeitskosten Facharbeiter/Einsteller</v>
      </c>
      <c r="F149" s="19" t="s">
        <v>1443</v>
      </c>
      <c r="G149" s="6" t="s">
        <v>597</v>
      </c>
      <c r="H149" s="6" t="s">
        <v>604</v>
      </c>
      <c r="I149" s="6" t="s">
        <v>558</v>
      </c>
      <c r="J149" s="6" t="s">
        <v>92</v>
      </c>
      <c r="K149" s="6" t="s">
        <v>119</v>
      </c>
      <c r="L149" s="6">
        <v>1</v>
      </c>
    </row>
    <row r="150" spans="2:12" ht="63.75" hidden="1" outlineLevel="1">
      <c r="B150" s="6">
        <v>23</v>
      </c>
      <c r="C150" s="869" t="str">
        <f>DocPremises[[#This Row],[Category EN]]&amp;IF(LEN(DocPremises[[#This Row],[Subcategory EN]])&gt;0," 
" &amp;DocPremises[[#This Row],[Subcategory EN]],)</f>
        <v>Supplier 
Rent</v>
      </c>
      <c r="D150" s="466" t="s">
        <v>1450</v>
      </c>
      <c r="E150" s="869" t="str">
        <f>DocPremises[[#This Row],[Category DE]]&amp;IF(LEN(DocPremises[[#This Row],[Subcategory DE]])&gt;0," 
" &amp;DocPremises[[#This Row],[Subcategory DE]],)</f>
        <v>Lieferant 
Miete</v>
      </c>
      <c r="F150" s="19" t="s">
        <v>1444</v>
      </c>
      <c r="G150" s="6" t="s">
        <v>597</v>
      </c>
      <c r="H150" s="6" t="s">
        <v>542</v>
      </c>
      <c r="I150" s="6" t="s">
        <v>558</v>
      </c>
      <c r="J150" s="6" t="s">
        <v>17</v>
      </c>
      <c r="K150" s="6" t="s">
        <v>605</v>
      </c>
      <c r="L150" s="6">
        <v>1</v>
      </c>
    </row>
    <row r="151" spans="2:12" ht="63.75" hidden="1" outlineLevel="1">
      <c r="B151" s="6">
        <v>24</v>
      </c>
      <c r="C151" s="869" t="str">
        <f>DocPremises[[#This Row],[Category EN]]&amp;IF(LEN(DocPremises[[#This Row],[Subcategory EN]])&gt;0," 
" &amp;DocPremises[[#This Row],[Subcategory EN]],)</f>
        <v>Supplier 
Enery</v>
      </c>
      <c r="D151" s="466" t="s">
        <v>1451</v>
      </c>
      <c r="E151" s="869" t="str">
        <f>DocPremises[[#This Row],[Category DE]]&amp;IF(LEN(DocPremises[[#This Row],[Subcategory DE]])&gt;0," 
" &amp;DocPremises[[#This Row],[Subcategory DE]],)</f>
        <v>Lieferant 
Strom</v>
      </c>
      <c r="F151" s="19" t="s">
        <v>1446</v>
      </c>
      <c r="G151" s="6" t="s">
        <v>597</v>
      </c>
      <c r="H151" s="6" t="s">
        <v>1269</v>
      </c>
      <c r="I151" s="6" t="s">
        <v>558</v>
      </c>
      <c r="J151" s="6" t="s">
        <v>21</v>
      </c>
      <c r="K151" s="6" t="s">
        <v>606</v>
      </c>
      <c r="L151" s="6">
        <v>1</v>
      </c>
    </row>
    <row r="152" spans="2:12" ht="63.75" hidden="1" outlineLevel="1">
      <c r="B152" s="6">
        <v>25</v>
      </c>
      <c r="C152" s="869" t="str">
        <f>DocPremises[[#This Row],[Category EN]]&amp;IF(LEN(DocPremises[[#This Row],[Subcategory EN]])&gt;0," 
" &amp;DocPremises[[#This Row],[Subcategory EN]],)</f>
        <v>Supplier 
Natural gas</v>
      </c>
      <c r="D152" s="466" t="s">
        <v>1452</v>
      </c>
      <c r="E152" s="869" t="str">
        <f>DocPremises[[#This Row],[Category DE]]&amp;IF(LEN(DocPremises[[#This Row],[Subcategory DE]])&gt;0," 
" &amp;DocPremises[[#This Row],[Subcategory DE]],)</f>
        <v>Lieferant 
Erdgas</v>
      </c>
      <c r="F152" s="19" t="s">
        <v>1445</v>
      </c>
      <c r="G152" s="6" t="s">
        <v>597</v>
      </c>
      <c r="H152" s="6" t="s">
        <v>1131</v>
      </c>
      <c r="I152" s="6" t="s">
        <v>558</v>
      </c>
      <c r="J152" s="6" t="s">
        <v>587</v>
      </c>
      <c r="K152" s="6" t="s">
        <v>606</v>
      </c>
      <c r="L152" s="6">
        <v>1</v>
      </c>
    </row>
    <row r="153" spans="2:12" ht="63.75" hidden="1" outlineLevel="1">
      <c r="B153" s="6">
        <v>26</v>
      </c>
      <c r="C153" s="869" t="str">
        <f>DocPremises[[#This Row],[Category EN]]&amp;IF(LEN(DocPremises[[#This Row],[Subcategory EN]])&gt;0," 
" &amp;DocPremises[[#This Row],[Subcategory EN]],)</f>
        <v>Supplier 
Imputed interest rate</v>
      </c>
      <c r="D153" s="466" t="s">
        <v>1453</v>
      </c>
      <c r="E153" s="869" t="str">
        <f>DocPremises[[#This Row],[Category DE]]&amp;IF(LEN(DocPremises[[#This Row],[Subcategory DE]])&gt;0," 
" &amp;DocPremises[[#This Row],[Subcategory DE]],)</f>
        <v>Lieferant 
Kalkulatorischer Zinssatz</v>
      </c>
      <c r="F153" s="19" t="s">
        <v>1447</v>
      </c>
      <c r="G153" s="6" t="s">
        <v>597</v>
      </c>
      <c r="H153" s="6" t="s">
        <v>1270</v>
      </c>
      <c r="I153" s="6" t="s">
        <v>558</v>
      </c>
      <c r="J153" s="6" t="s">
        <v>1271</v>
      </c>
      <c r="K153" s="6" t="s">
        <v>3</v>
      </c>
      <c r="L153" s="6">
        <v>1</v>
      </c>
    </row>
    <row r="154" spans="2:12" ht="76.5" hidden="1" outlineLevel="1">
      <c r="B154" s="6">
        <v>28</v>
      </c>
      <c r="C154" s="869" t="str">
        <f>DocPremises[[#This Row],[Category EN]]&amp;IF(LEN(DocPremises[[#This Row],[Subcategory EN]])&gt;0," 
" &amp;DocPremises[[#This Row],[Subcategory EN]],)</f>
        <v>Supplier 
IMC rate</v>
      </c>
      <c r="D154" s="466" t="s">
        <v>1457</v>
      </c>
      <c r="E154" s="869" t="str">
        <f>DocPremises[[#This Row],[Category DE]]&amp;IF(LEN(DocPremises[[#This Row],[Subcategory DE]])&gt;0," 
" &amp;DocPremises[[#This Row],[Subcategory DE]],)</f>
        <v>Lieferant 
RFGK-Satz</v>
      </c>
      <c r="F154" s="19" t="s">
        <v>1456</v>
      </c>
      <c r="G154" s="6" t="s">
        <v>597</v>
      </c>
      <c r="H154" s="6" t="s">
        <v>1273</v>
      </c>
      <c r="I154" s="6" t="s">
        <v>558</v>
      </c>
      <c r="J154" s="6" t="s">
        <v>64</v>
      </c>
      <c r="K154" s="6" t="s">
        <v>3</v>
      </c>
      <c r="L154" s="6">
        <v>1</v>
      </c>
    </row>
    <row r="155" spans="2:12" ht="76.5" hidden="1" outlineLevel="1">
      <c r="B155" s="6">
        <v>29</v>
      </c>
      <c r="C155" s="869" t="str">
        <f>DocPremises[[#This Row],[Category EN]]&amp;IF(LEN(DocPremises[[#This Row],[Subcategory EN]])&gt;0," 
" &amp;DocPremises[[#This Row],[Subcategory EN]],)</f>
        <v>Supplier 
Ind. Material Rate</v>
      </c>
      <c r="D155" s="466" t="s">
        <v>1458</v>
      </c>
      <c r="E155" s="869" t="str">
        <f>DocPremises[[#This Row],[Category DE]]&amp;IF(LEN(DocPremises[[#This Row],[Subcategory DE]])&gt;0," 
" &amp;DocPremises[[#This Row],[Subcategory DE]],)</f>
        <v>Lieferant 
MGK-Satz</v>
      </c>
      <c r="F155" s="19" t="s">
        <v>1455</v>
      </c>
      <c r="G155" s="6" t="s">
        <v>597</v>
      </c>
      <c r="H155" s="6" t="s">
        <v>1482</v>
      </c>
      <c r="I155" s="6" t="s">
        <v>558</v>
      </c>
      <c r="J155" s="6" t="s">
        <v>99</v>
      </c>
      <c r="K155" s="6" t="s">
        <v>3</v>
      </c>
      <c r="L155" s="6">
        <v>1</v>
      </c>
    </row>
    <row r="156" spans="2:12" ht="25.5" hidden="1" outlineLevel="1">
      <c r="B156" s="6">
        <v>30</v>
      </c>
      <c r="C156" s="869" t="str">
        <f>DocPremises[[#This Row],[Category EN]]&amp;IF(LEN(DocPremises[[#This Row],[Subcategory EN]])&gt;0," 
" &amp;DocPremises[[#This Row],[Subcategory EN]],)</f>
        <v>Supplier 
Scrap rate</v>
      </c>
      <c r="D156" s="466" t="s">
        <v>607</v>
      </c>
      <c r="E156" s="869" t="str">
        <f>DocPremises[[#This Row],[Category DE]]&amp;IF(LEN(DocPremises[[#This Row],[Subcategory DE]])&gt;0," 
" &amp;DocPremises[[#This Row],[Subcategory DE]],)</f>
        <v>Lieferant 
Ausschussrate</v>
      </c>
      <c r="F156" s="19" t="s">
        <v>1465</v>
      </c>
      <c r="G156" s="6" t="s">
        <v>597</v>
      </c>
      <c r="H156" s="6" t="s">
        <v>481</v>
      </c>
      <c r="I156" s="6" t="s">
        <v>558</v>
      </c>
      <c r="J156" s="6" t="s">
        <v>77</v>
      </c>
      <c r="K156" s="6" t="s">
        <v>3</v>
      </c>
      <c r="L156" s="6">
        <v>1</v>
      </c>
    </row>
    <row r="157" spans="2:12" ht="63.75" hidden="1" outlineLevel="1">
      <c r="B157" s="6">
        <v>31</v>
      </c>
      <c r="C157" s="869" t="str">
        <f>DocPremises[[#This Row],[Category EN]]&amp;IF(LEN(DocPremises[[#This Row],[Subcategory EN]])&gt;0," 
" &amp;DocPremises[[#This Row],[Subcategory EN]],)</f>
        <v>Supplier 
SG&amp;A</v>
      </c>
      <c r="D157" s="466" t="s">
        <v>1489</v>
      </c>
      <c r="E157" s="869" t="str">
        <f>DocPremises[[#This Row],[Category DE]]&amp;IF(LEN(DocPremises[[#This Row],[Subcategory DE]])&gt;0," 
" &amp;DocPremises[[#This Row],[Subcategory DE]],)</f>
        <v>Lieferant 
VVGK</v>
      </c>
      <c r="F157" s="19" t="s">
        <v>1459</v>
      </c>
      <c r="G157" s="6" t="s">
        <v>597</v>
      </c>
      <c r="H157" s="6" t="s">
        <v>210</v>
      </c>
      <c r="I157" s="6" t="s">
        <v>558</v>
      </c>
      <c r="J157" s="6" t="s">
        <v>13</v>
      </c>
      <c r="K157" s="6" t="s">
        <v>3</v>
      </c>
      <c r="L157" s="6">
        <v>1</v>
      </c>
    </row>
    <row r="158" spans="2:12" ht="63.75" hidden="1" outlineLevel="1">
      <c r="B158" s="6">
        <v>32</v>
      </c>
      <c r="C158" s="869" t="str">
        <f>DocPremises[[#This Row],[Category EN]]&amp;IF(LEN(DocPremises[[#This Row],[Subcategory EN]])&gt;0," 
" &amp;DocPremises[[#This Row],[Subcategory EN]],)</f>
        <v>Supplier 
SG&amp;A Added value</v>
      </c>
      <c r="D158" s="466" t="s">
        <v>1466</v>
      </c>
      <c r="E158" s="869" t="str">
        <f>DocPremises[[#This Row],[Category DE]]&amp;IF(LEN(DocPremises[[#This Row],[Subcategory DE]])&gt;0," 
" &amp;DocPremises[[#This Row],[Subcategory DE]],)</f>
        <v>Lieferant 
VVGK Wertschöpfung</v>
      </c>
      <c r="F158" s="19" t="s">
        <v>1460</v>
      </c>
      <c r="G158" s="6" t="s">
        <v>597</v>
      </c>
      <c r="H158" s="6" t="s">
        <v>498</v>
      </c>
      <c r="I158" s="6" t="s">
        <v>558</v>
      </c>
      <c r="J158" s="6" t="s">
        <v>41</v>
      </c>
      <c r="K158" s="6" t="s">
        <v>3</v>
      </c>
      <c r="L158" s="6">
        <v>1</v>
      </c>
    </row>
    <row r="159" spans="2:12" ht="63.75" hidden="1" outlineLevel="1">
      <c r="B159" s="6">
        <v>33</v>
      </c>
      <c r="C159" s="869" t="str">
        <f>DocPremises[[#This Row],[Category EN]]&amp;IF(LEN(DocPremises[[#This Row],[Subcategory EN]])&gt;0," 
" &amp;DocPremises[[#This Row],[Subcategory EN]],)</f>
        <v>Supplier 
SG&amp;A Material</v>
      </c>
      <c r="D159" s="466" t="s">
        <v>1467</v>
      </c>
      <c r="E159" s="869" t="str">
        <f>DocPremises[[#This Row],[Category DE]]&amp;IF(LEN(DocPremises[[#This Row],[Subcategory DE]])&gt;0," 
" &amp;DocPremises[[#This Row],[Subcategory DE]],)</f>
        <v>Lieferant 
VVGK Material</v>
      </c>
      <c r="F159" s="19" t="s">
        <v>1461</v>
      </c>
      <c r="G159" s="6" t="s">
        <v>597</v>
      </c>
      <c r="H159" s="6" t="s">
        <v>500</v>
      </c>
      <c r="I159" s="6" t="s">
        <v>558</v>
      </c>
      <c r="J159" s="6" t="s">
        <v>42</v>
      </c>
      <c r="K159" s="6" t="s">
        <v>3</v>
      </c>
      <c r="L159" s="6">
        <v>1</v>
      </c>
    </row>
    <row r="160" spans="2:12" ht="63.75" hidden="1" outlineLevel="1">
      <c r="B160" s="6">
        <v>34</v>
      </c>
      <c r="C160" s="869" t="str">
        <f>DocPremises[[#This Row],[Category EN]]&amp;IF(LEN(DocPremises[[#This Row],[Subcategory EN]])&gt;0," 
" &amp;DocPremises[[#This Row],[Subcategory EN]],)</f>
        <v>Supplier 
Profit</v>
      </c>
      <c r="D160" s="466" t="s">
        <v>1490</v>
      </c>
      <c r="E160" s="869" t="str">
        <f>DocPremises[[#This Row],[Category DE]]&amp;IF(LEN(DocPremises[[#This Row],[Subcategory DE]])&gt;0," 
" &amp;DocPremises[[#This Row],[Subcategory DE]],)</f>
        <v>Lieferant 
Gewinn</v>
      </c>
      <c r="F160" s="19" t="s">
        <v>1462</v>
      </c>
      <c r="G160" s="6" t="s">
        <v>597</v>
      </c>
      <c r="H160" s="6" t="s">
        <v>209</v>
      </c>
      <c r="I160" s="6" t="s">
        <v>558</v>
      </c>
      <c r="J160" s="6" t="s">
        <v>14</v>
      </c>
      <c r="K160" s="6" t="s">
        <v>3</v>
      </c>
      <c r="L160" s="6">
        <v>1</v>
      </c>
    </row>
    <row r="161" spans="2:12" ht="63.75" hidden="1" outlineLevel="1">
      <c r="B161" s="6">
        <v>35</v>
      </c>
      <c r="C161" s="869" t="str">
        <f>DocPremises[[#This Row],[Category EN]]&amp;IF(LEN(DocPremises[[#This Row],[Subcategory EN]])&gt;0," 
" &amp;DocPremises[[#This Row],[Subcategory EN]],)</f>
        <v>Supplier 
Profit Added value</v>
      </c>
      <c r="D161" s="466" t="s">
        <v>1468</v>
      </c>
      <c r="E161" s="869" t="str">
        <f>DocPremises[[#This Row],[Category DE]]&amp;IF(LEN(DocPremises[[#This Row],[Subcategory DE]])&gt;0," 
" &amp;DocPremises[[#This Row],[Subcategory DE]],)</f>
        <v>Lieferant 
Gewinn Wertschöpfung</v>
      </c>
      <c r="F161" s="19" t="s">
        <v>1463</v>
      </c>
      <c r="G161" s="6" t="s">
        <v>597</v>
      </c>
      <c r="H161" s="6" t="s">
        <v>503</v>
      </c>
      <c r="I161" s="6" t="s">
        <v>558</v>
      </c>
      <c r="J161" s="6" t="s">
        <v>43</v>
      </c>
      <c r="K161" s="6" t="s">
        <v>3</v>
      </c>
      <c r="L161" s="6">
        <v>1</v>
      </c>
    </row>
    <row r="162" spans="2:12" ht="63.75" hidden="1" outlineLevel="1">
      <c r="B162" s="6">
        <v>36</v>
      </c>
      <c r="C162" s="869" t="str">
        <f>DocPremises[[#This Row],[Category EN]]&amp;IF(LEN(DocPremises[[#This Row],[Subcategory EN]])&gt;0," 
" &amp;DocPremises[[#This Row],[Subcategory EN]],)</f>
        <v>Supplier 
Profit Material</v>
      </c>
      <c r="D162" s="466" t="s">
        <v>1469</v>
      </c>
      <c r="E162" s="869" t="str">
        <f>DocPremises[[#This Row],[Category DE]]&amp;IF(LEN(DocPremises[[#This Row],[Subcategory DE]])&gt;0," 
" &amp;DocPremises[[#This Row],[Subcategory DE]],)</f>
        <v>Lieferant 
Gewinn Material</v>
      </c>
      <c r="F162" s="19" t="s">
        <v>1464</v>
      </c>
      <c r="G162" s="6" t="s">
        <v>597</v>
      </c>
      <c r="H162" s="6" t="s">
        <v>506</v>
      </c>
      <c r="I162" s="6" t="s">
        <v>558</v>
      </c>
      <c r="J162" s="6" t="s">
        <v>44</v>
      </c>
      <c r="K162" s="6" t="s">
        <v>3</v>
      </c>
      <c r="L162" s="6">
        <v>1</v>
      </c>
    </row>
    <row r="163" spans="2:12" ht="63.75" hidden="1" outlineLevel="1">
      <c r="B163" s="6">
        <v>37</v>
      </c>
      <c r="C163" s="869" t="str">
        <f>DocPremises[[#This Row],[Category EN]]&amp;IF(LEN(DocPremises[[#This Row],[Subcategory EN]])&gt;0," 
" &amp;DocPremises[[#This Row],[Subcategory EN]],)</f>
        <v>Supplier 
Addition Other (Logistics etc.)</v>
      </c>
      <c r="D163" s="466" t="s">
        <v>1479</v>
      </c>
      <c r="E163" s="869" t="str">
        <f>DocPremises[[#This Row],[Category DE]]&amp;IF(LEN(DocPremises[[#This Row],[Subcategory DE]])&gt;0," 
" &amp;DocPremises[[#This Row],[Subcategory DE]],)</f>
        <v>Lieferant 
Zuschlag Sonstige (Logistik etc.)</v>
      </c>
      <c r="F163" s="19" t="s">
        <v>1478</v>
      </c>
      <c r="G163" s="6" t="s">
        <v>597</v>
      </c>
      <c r="H163" s="6" t="s">
        <v>668</v>
      </c>
      <c r="I163" s="6" t="s">
        <v>558</v>
      </c>
      <c r="J163" s="6" t="s">
        <v>665</v>
      </c>
      <c r="K163" s="6" t="s">
        <v>3</v>
      </c>
      <c r="L163" s="6">
        <v>1</v>
      </c>
    </row>
    <row r="164" spans="2:12" ht="127.5" hidden="1" outlineLevel="1">
      <c r="B164" s="6">
        <v>39</v>
      </c>
      <c r="C164" s="869" t="str">
        <f>DocPremises[[#This Row],[Category EN]]&amp;IF(LEN(DocPremises[[#This Row],[Subcategory EN]])&gt;0," 
" &amp;DocPremises[[#This Row],[Subcategory EN]],)</f>
        <v>Supplier 
IMC share</v>
      </c>
      <c r="D164" s="466" t="s">
        <v>1481</v>
      </c>
      <c r="E164" s="869" t="str">
        <f>DocPremises[[#This Row],[Category DE]]&amp;IF(LEN(DocPremises[[#This Row],[Subcategory DE]])&gt;0," 
" &amp;DocPremises[[#This Row],[Subcategory DE]],)</f>
        <v>Lieferant 
Anteil RFGK</v>
      </c>
      <c r="F164" s="19" t="s">
        <v>1798</v>
      </c>
      <c r="G164" s="6" t="s">
        <v>597</v>
      </c>
      <c r="H164" s="6" t="s">
        <v>1274</v>
      </c>
      <c r="I164" s="6" t="s">
        <v>558</v>
      </c>
      <c r="J164" s="6" t="s">
        <v>1244</v>
      </c>
      <c r="K164" s="6"/>
      <c r="L164" s="6">
        <v>1</v>
      </c>
    </row>
    <row r="165" spans="2:12" ht="127.5" hidden="1" outlineLevel="1">
      <c r="B165" s="6">
        <v>40</v>
      </c>
      <c r="C165" s="869" t="str">
        <f>DocPremises[[#This Row],[Category EN]]&amp;IF(LEN(DocPremises[[#This Row],[Subcategory EN]])&gt;0," 
" &amp;DocPremises[[#This Row],[Subcategory EN]],)</f>
        <v>Supplier 
Ind. Material share</v>
      </c>
      <c r="D165" s="466" t="s">
        <v>1480</v>
      </c>
      <c r="E165" s="869" t="str">
        <f>DocPremises[[#This Row],[Category DE]]&amp;IF(LEN(DocPremises[[#This Row],[Subcategory DE]])&gt;0," 
" &amp;DocPremises[[#This Row],[Subcategory DE]],)</f>
        <v>Lieferant 
Anteil MGK</v>
      </c>
      <c r="F165" s="19" t="s">
        <v>1799</v>
      </c>
      <c r="G165" s="6" t="s">
        <v>597</v>
      </c>
      <c r="H165" s="6" t="s">
        <v>1483</v>
      </c>
      <c r="I165" s="6" t="s">
        <v>558</v>
      </c>
      <c r="J165" s="6" t="s">
        <v>1245</v>
      </c>
      <c r="K165" s="6"/>
      <c r="L165" s="6">
        <v>1</v>
      </c>
    </row>
    <row r="166" spans="2:12" ht="25.5" hidden="1" outlineLevel="1">
      <c r="B166" s="482">
        <v>54</v>
      </c>
      <c r="C166" s="869" t="str">
        <f>DocPremises[[#This Row],[Category EN]]&amp;IF(LEN(DocPremises[[#This Row],[Subcategory EN]])&gt;0," 
" &amp;DocPremises[[#This Row],[Subcategory EN]],)</f>
        <v/>
      </c>
      <c r="E166" s="869" t="str">
        <f>DocPremises[[#This Row],[Category DE]]&amp;IF(LEN(DocPremises[[#This Row],[Subcategory DE]])&gt;0," 
" &amp;DocPremises[[#This Row],[Subcategory DE]],)</f>
        <v>Lieferant 
Energiemix</v>
      </c>
      <c r="I166" s="6" t="s">
        <v>558</v>
      </c>
      <c r="J166" s="6" t="s">
        <v>1414</v>
      </c>
      <c r="K166" s="6"/>
      <c r="L166" s="6">
        <v>1</v>
      </c>
    </row>
    <row r="167" spans="2:12" ht="38.25" hidden="1" outlineLevel="1">
      <c r="B167" s="482">
        <v>55</v>
      </c>
      <c r="C167" s="869" t="str">
        <f>DocPremises[[#This Row],[Category EN]]&amp;IF(LEN(DocPremises[[#This Row],[Subcategory EN]])&gt;0," 
" &amp;DocPremises[[#This Row],[Subcategory EN]],)</f>
        <v/>
      </c>
      <c r="E167" s="869" t="str">
        <f>DocPremises[[#This Row],[Category DE]]&amp;IF(LEN(DocPremises[[#This Row],[Subcategory DE]])&gt;0," 
" &amp;DocPremises[[#This Row],[Subcategory DE]],)</f>
        <v>Lieferant 
Stromkosten Energiemix</v>
      </c>
      <c r="I167" s="6" t="s">
        <v>558</v>
      </c>
      <c r="J167" s="6" t="s">
        <v>1417</v>
      </c>
      <c r="K167" s="6" t="s">
        <v>606</v>
      </c>
      <c r="L167" s="6">
        <v>1</v>
      </c>
    </row>
    <row r="168" spans="2:12" ht="25.5" hidden="1" outlineLevel="1">
      <c r="B168" s="482">
        <v>56</v>
      </c>
      <c r="C168" s="869" t="str">
        <f>DocPremises[[#This Row],[Category EN]]&amp;IF(LEN(DocPremises[[#This Row],[Subcategory EN]])&gt;0," 
" &amp;DocPremises[[#This Row],[Subcategory EN]],)</f>
        <v/>
      </c>
      <c r="E168" s="869" t="str">
        <f>DocPremises[[#This Row],[Category DE]]&amp;IF(LEN(DocPremises[[#This Row],[Subcategory DE]])&gt;0," 
" &amp;DocPremises[[#This Row],[Subcategory DE]],)</f>
        <v>Lieferant 
Emissionsfaktor Strom</v>
      </c>
      <c r="I168" s="6" t="s">
        <v>558</v>
      </c>
      <c r="J168" s="6" t="s">
        <v>2074</v>
      </c>
      <c r="K168" s="6" t="s">
        <v>1415</v>
      </c>
      <c r="L168" s="6">
        <v>1</v>
      </c>
    </row>
    <row r="169" spans="2:12" ht="38.25" hidden="1" outlineLevel="1">
      <c r="B169" s="482">
        <v>57</v>
      </c>
      <c r="C169" s="869" t="str">
        <f>DocPremises[[#This Row],[Category EN]]&amp;IF(LEN(DocPremises[[#This Row],[Subcategory EN]])&gt;0," 
" &amp;DocPremises[[#This Row],[Subcategory EN]],)</f>
        <v/>
      </c>
      <c r="E169" s="869" t="str">
        <f>DocPremises[[#This Row],[Category DE]]&amp;IF(LEN(DocPremises[[#This Row],[Subcategory DE]])&gt;0," 
" &amp;DocPremises[[#This Row],[Subcategory DE]],)</f>
        <v>Lieferant 
Emissionsfaktor Erdgas</v>
      </c>
      <c r="I169" s="6" t="s">
        <v>558</v>
      </c>
      <c r="J169" s="6" t="s">
        <v>2075</v>
      </c>
      <c r="K169" s="6" t="s">
        <v>1415</v>
      </c>
      <c r="L169" s="6">
        <v>1</v>
      </c>
    </row>
    <row r="170" spans="2:12" ht="38.25" hidden="1" outlineLevel="1">
      <c r="B170" s="482">
        <v>59</v>
      </c>
      <c r="C170" s="869" t="str">
        <f>DocPremises[[#This Row],[Category EN]]&amp;IF(LEN(DocPremises[[#This Row],[Subcategory EN]])&gt;0," 
" &amp;DocPremises[[#This Row],[Subcategory EN]],)</f>
        <v/>
      </c>
      <c r="E170" s="869" t="str">
        <f>DocPremises[[#This Row],[Category DE]]&amp;IF(LEN(DocPremises[[#This Row],[Subcategory DE]])&gt;0," 
" &amp;DocPremises[[#This Row],[Subcategory DE]],)</f>
        <v>Lieferant 
CO₂-Ausstoß Fertigung</v>
      </c>
      <c r="I170" s="6" t="s">
        <v>558</v>
      </c>
      <c r="J170" s="6" t="s">
        <v>2072</v>
      </c>
      <c r="K170" s="6" t="s">
        <v>2092</v>
      </c>
      <c r="L170" s="6">
        <v>1</v>
      </c>
    </row>
    <row r="171" spans="2:12" ht="25.5" hidden="1" outlineLevel="1">
      <c r="B171" s="482">
        <v>60</v>
      </c>
      <c r="C171" s="869" t="str">
        <f>DocPremises[[#This Row],[Category EN]]&amp;IF(LEN(DocPremises[[#This Row],[Subcategory EN]])&gt;0," 
" &amp;DocPremises[[#This Row],[Subcategory EN]],)</f>
        <v/>
      </c>
      <c r="E171" s="869" t="str">
        <f>DocPremises[[#This Row],[Category DE]]&amp;IF(LEN(DocPremises[[#This Row],[Subcategory DE]])&gt;0," 
" &amp;DocPremises[[#This Row],[Subcategory DE]],)</f>
        <v>Lieferant 
CO₂-Ausstoß Material</v>
      </c>
      <c r="I171" s="6" t="s">
        <v>558</v>
      </c>
      <c r="J171" s="6" t="s">
        <v>2073</v>
      </c>
      <c r="K171" s="6" t="s">
        <v>2092</v>
      </c>
      <c r="L171" s="6">
        <v>1</v>
      </c>
    </row>
    <row r="172" spans="2:12" ht="51" hidden="1" outlineLevel="1">
      <c r="B172" s="482">
        <v>61</v>
      </c>
      <c r="C172" s="869" t="str">
        <f>DocPremises[[#This Row],[Category EN]]&amp;IF(LEN(DocPremises[[#This Row],[Subcategory EN]])&gt;0," 
" &amp;DocPremises[[#This Row],[Subcategory EN]],)</f>
        <v/>
      </c>
      <c r="E172" s="869" t="str">
        <f>DocPremises[[#This Row],[Category DE]]&amp;IF(LEN(DocPremises[[#This Row],[Subcategory DE]])&gt;0," 
" &amp;DocPremises[[#This Row],[Subcategory DE]],)</f>
        <v>Lieferant 
CO₂-Ausstoß Sonstige (Logistik etc.)</v>
      </c>
      <c r="I172" s="6" t="s">
        <v>558</v>
      </c>
      <c r="J172" s="6" t="s">
        <v>2120</v>
      </c>
      <c r="K172" s="6" t="s">
        <v>2092</v>
      </c>
      <c r="L172" s="6">
        <v>1</v>
      </c>
    </row>
    <row r="173" spans="2:12" ht="25.5" hidden="1" outlineLevel="1">
      <c r="B173" s="482">
        <v>62</v>
      </c>
      <c r="C173" s="869" t="str">
        <f>DocPremises[[#This Row],[Category EN]]&amp;IF(LEN(DocPremises[[#This Row],[Subcategory EN]])&gt;0," 
" &amp;DocPremises[[#This Row],[Subcategory EN]],)</f>
        <v/>
      </c>
      <c r="E173" s="869" t="str">
        <f>DocPremises[[#This Row],[Category DE]]&amp;IF(LEN(DocPremises[[#This Row],[Subcategory DE]])&gt;0," 
" &amp;DocPremises[[#This Row],[Subcategory DE]],)</f>
        <v>Lieferant 
CO₂-Ausstoß</v>
      </c>
      <c r="I173" s="6" t="s">
        <v>558</v>
      </c>
      <c r="J173" s="6" t="s">
        <v>1416</v>
      </c>
      <c r="K173" s="6" t="s">
        <v>2092</v>
      </c>
      <c r="L173" s="6">
        <v>1</v>
      </c>
    </row>
    <row r="174" spans="2:12" ht="38.25" hidden="1" outlineLevel="1">
      <c r="B174" s="482">
        <v>64</v>
      </c>
      <c r="C174" s="869" t="str">
        <f>DocPremises[[#This Row],[Category EN]]&amp;IF(LEN(DocPremises[[#This Row],[Subcategory EN]])&gt;0," 
" &amp;DocPremises[[#This Row],[Subcategory EN]],)</f>
        <v/>
      </c>
      <c r="E174" s="869" t="str">
        <f>DocPremises[[#This Row],[Category DE]]&amp;IF(LEN(DocPremises[[#This Row],[Subcategory DE]])&gt;0," 
" &amp;DocPremises[[#This Row],[Subcategory DE]],)</f>
        <v>Lieferant 
Zusatzkosten durch CO₂-Neutralität</v>
      </c>
      <c r="I174" s="6" t="s">
        <v>558</v>
      </c>
      <c r="J174" s="6" t="s">
        <v>2181</v>
      </c>
      <c r="K174" s="6" t="str">
        <f>Currency</f>
        <v>EUR</v>
      </c>
      <c r="L174" s="6">
        <v>1</v>
      </c>
    </row>
    <row r="175" spans="2:12" hidden="1" outlineLevel="1">
      <c r="B175" s="482">
        <v>65</v>
      </c>
      <c r="C175" s="869" t="str">
        <f>DocPremises[[#This Row],[Category EN]]&amp;IF(LEN(DocPremises[[#This Row],[Subcategory EN]])&gt;0," 
" &amp;DocPremises[[#This Row],[Subcategory EN]],)</f>
        <v/>
      </c>
      <c r="E175" s="869" t="str">
        <f>DocPremises[[#This Row],[Category DE]]&amp;IF(LEN(DocPremises[[#This Row],[Subcategory DE]])&gt;0," 
" &amp;DocPremises[[#This Row],[Subcategory DE]],)</f>
        <v/>
      </c>
      <c r="K175" s="6"/>
      <c r="L175" s="6">
        <v>1</v>
      </c>
    </row>
    <row r="176" spans="2:12" ht="25.5" hidden="1" outlineLevel="1">
      <c r="B176" s="482">
        <v>66</v>
      </c>
      <c r="C176" s="869" t="str">
        <f>DocPremises[[#This Row],[Category EN]]&amp;IF(LEN(DocPremises[[#This Row],[Subcategory EN]])&gt;0," 
" &amp;DocPremises[[#This Row],[Subcategory EN]],)</f>
        <v/>
      </c>
      <c r="E176" s="869" t="str">
        <f>DocPremises[[#This Row],[Category DE]]&amp;IF(LEN(DocPremises[[#This Row],[Subcategory DE]])&gt;0," 
" &amp;DocPremises[[#This Row],[Subcategory DE]],)</f>
        <v>Lieferant 
Latitude</v>
      </c>
      <c r="I176" s="6" t="s">
        <v>558</v>
      </c>
      <c r="J176" s="6" t="s">
        <v>2139</v>
      </c>
      <c r="K176" s="6" t="s">
        <v>2145</v>
      </c>
      <c r="L176" s="6">
        <v>1</v>
      </c>
    </row>
    <row r="177" spans="1:12" ht="25.5" hidden="1" outlineLevel="1">
      <c r="B177" s="482">
        <v>67</v>
      </c>
      <c r="C177" s="869" t="str">
        <f>DocPremises[[#This Row],[Category EN]]&amp;IF(LEN(DocPremises[[#This Row],[Subcategory EN]])&gt;0," 
" &amp;DocPremises[[#This Row],[Subcategory EN]],)</f>
        <v/>
      </c>
      <c r="E177" s="869" t="str">
        <f>DocPremises[[#This Row],[Category DE]]&amp;IF(LEN(DocPremises[[#This Row],[Subcategory DE]])&gt;0," 
" &amp;DocPremises[[#This Row],[Subcategory DE]],)</f>
        <v>Lieferant 
Longitude</v>
      </c>
      <c r="I177" s="6" t="s">
        <v>558</v>
      </c>
      <c r="J177" s="6" t="s">
        <v>2140</v>
      </c>
      <c r="K177" s="6" t="s">
        <v>2145</v>
      </c>
      <c r="L177" s="6">
        <v>1</v>
      </c>
    </row>
    <row r="178" spans="1:12" ht="38.25" hidden="1" outlineLevel="1">
      <c r="B178" s="482">
        <v>68</v>
      </c>
      <c r="C178" s="869" t="str">
        <f>DocPremises[[#This Row],[Category EN]]&amp;IF(LEN(DocPremises[[#This Row],[Subcategory EN]])&gt;0," 
" &amp;DocPremises[[#This Row],[Subcategory EN]],)</f>
        <v/>
      </c>
      <c r="E178" s="869" t="str">
        <f>DocPremises[[#This Row],[Category DE]]&amp;IF(LEN(DocPremises[[#This Row],[Subcategory DE]])&gt;0," 
" &amp;DocPremises[[#This Row],[Subcategory DE]],)</f>
        <v>Lieferant 
Entfernung zum nächsten Hafen</v>
      </c>
      <c r="I178" s="6" t="s">
        <v>558</v>
      </c>
      <c r="J178" s="6" t="s">
        <v>2141</v>
      </c>
      <c r="K178" s="6" t="s">
        <v>2137</v>
      </c>
      <c r="L178" s="6">
        <v>1</v>
      </c>
    </row>
    <row r="179" spans="1:12" ht="25.5" hidden="1" outlineLevel="1">
      <c r="B179" s="482">
        <v>70</v>
      </c>
      <c r="C179" s="869" t="str">
        <f>DocPremises[[#This Row],[Category EN]]&amp;IF(LEN(DocPremises[[#This Row],[Subcategory EN]])&gt;0," 
" &amp;DocPremises[[#This Row],[Subcategory EN]],)</f>
        <v/>
      </c>
      <c r="E179" s="869" t="str">
        <f>DocPremises[[#This Row],[Category DE]]&amp;IF(LEN(DocPremises[[#This Row],[Subcategory DE]])&gt;0," 
" &amp;DocPremises[[#This Row],[Subcategory DE]],)</f>
        <v>Lieferant 
Verpackung</v>
      </c>
      <c r="I179" s="6" t="s">
        <v>558</v>
      </c>
      <c r="J179" s="6" t="s">
        <v>2248</v>
      </c>
      <c r="K179" s="6" t="str">
        <f>Currency</f>
        <v>EUR</v>
      </c>
      <c r="L179" s="6">
        <v>1</v>
      </c>
    </row>
    <row r="180" spans="1:12" ht="25.5" hidden="1" outlineLevel="1">
      <c r="B180" s="482">
        <v>71</v>
      </c>
      <c r="C180" s="869" t="str">
        <f>DocPremises[[#This Row],[Category EN]]&amp;IF(LEN(DocPremises[[#This Row],[Subcategory EN]])&gt;0," 
" &amp;DocPremises[[#This Row],[Subcategory EN]],)</f>
        <v/>
      </c>
      <c r="E180" s="869" t="str">
        <f>DocPremises[[#This Row],[Category DE]]&amp;IF(LEN(DocPremises[[#This Row],[Subcategory DE]])&gt;0," 
" &amp;DocPremises[[#This Row],[Subcategory DE]],)</f>
        <v>Lieferant 
Transport</v>
      </c>
      <c r="I180" s="6" t="s">
        <v>558</v>
      </c>
      <c r="J180" s="6" t="s">
        <v>2249</v>
      </c>
      <c r="K180" s="6" t="str">
        <f>Currency</f>
        <v>EUR</v>
      </c>
      <c r="L180" s="6">
        <v>1</v>
      </c>
    </row>
    <row r="181" spans="1:12" ht="25.5" hidden="1" outlineLevel="1">
      <c r="B181" s="482">
        <v>72</v>
      </c>
      <c r="C181" s="869" t="str">
        <f>DocPremises[[#This Row],[Category EN]]&amp;IF(LEN(DocPremises[[#This Row],[Subcategory EN]])&gt;0," 
" &amp;DocPremises[[#This Row],[Subcategory EN]],)</f>
        <v/>
      </c>
      <c r="E181" s="869" t="str">
        <f>DocPremises[[#This Row],[Category DE]]&amp;IF(LEN(DocPremises[[#This Row],[Subcategory DE]])&gt;0," 
" &amp;DocPremises[[#This Row],[Subcategory DE]],)</f>
        <v>Lieferant 
Zoll</v>
      </c>
      <c r="I181" s="6" t="s">
        <v>558</v>
      </c>
      <c r="J181" s="6" t="s">
        <v>2250</v>
      </c>
      <c r="K181" s="6" t="str">
        <f>Currency</f>
        <v>EUR</v>
      </c>
      <c r="L181" s="6">
        <v>1</v>
      </c>
    </row>
    <row r="182" spans="1:12" ht="25.5" hidden="1" outlineLevel="1">
      <c r="B182" s="482">
        <v>73</v>
      </c>
      <c r="C182" s="869" t="str">
        <f>DocPremises[[#This Row],[Category EN]]&amp;IF(LEN(DocPremises[[#This Row],[Subcategory EN]])&gt;0," 
" &amp;DocPremises[[#This Row],[Subcategory EN]],)</f>
        <v/>
      </c>
      <c r="E182" s="869" t="str">
        <f>DocPremises[[#This Row],[Category DE]]&amp;IF(LEN(DocPremises[[#This Row],[Subcategory DE]])&gt;0," 
" &amp;DocPremises[[#This Row],[Subcategory DE]],)</f>
        <v>Lieferant 
Logistik</v>
      </c>
      <c r="I182" s="6" t="s">
        <v>558</v>
      </c>
      <c r="J182" s="6" t="s">
        <v>202</v>
      </c>
      <c r="K182" s="6" t="str">
        <f>Currency</f>
        <v>EUR</v>
      </c>
      <c r="L182" s="6">
        <v>1</v>
      </c>
    </row>
    <row r="183" spans="1:12" ht="38.25" hidden="1" outlineLevel="1">
      <c r="B183" s="6">
        <v>75</v>
      </c>
      <c r="C183" s="869" t="str">
        <f>DocPremises[[#This Row],[Category EN]]&amp;IF(LEN(DocPremises[[#This Row],[Subcategory EN]])&gt;0," 
" &amp;DocPremises[[#This Row],[Subcategory EN]],)</f>
        <v>Supplier 
Costumer lot size</v>
      </c>
      <c r="D183" s="466" t="s">
        <v>1502</v>
      </c>
      <c r="E183" s="869" t="str">
        <f>DocPremises[[#This Row],[Category DE]]&amp;IF(LEN(DocPremises[[#This Row],[Subcategory DE]])&gt;0," 
" &amp;DocPremises[[#This Row],[Subcategory DE]],)</f>
        <v>Lieferant 
Kundenlos</v>
      </c>
      <c r="F183" s="19" t="s">
        <v>1503</v>
      </c>
      <c r="G183" s="6" t="s">
        <v>597</v>
      </c>
      <c r="H183" s="6" t="s">
        <v>710</v>
      </c>
      <c r="I183" s="6" t="s">
        <v>558</v>
      </c>
      <c r="J183" s="6" t="s">
        <v>116</v>
      </c>
      <c r="K183" s="6"/>
      <c r="L183" s="6">
        <v>0</v>
      </c>
    </row>
    <row r="184" spans="1:12" ht="51" hidden="1" outlineLevel="1">
      <c r="B184" s="6">
        <v>76</v>
      </c>
      <c r="C184" s="869" t="str">
        <f>DocPremises[[#This Row],[Category EN]]&amp;IF(LEN(DocPremises[[#This Row],[Subcategory EN]])&gt;0," 
" &amp;DocPremises[[#This Row],[Subcategory EN]],)</f>
        <v>Supplier 
Customer cycle time</v>
      </c>
      <c r="D184" s="466" t="s">
        <v>1485</v>
      </c>
      <c r="E184" s="869" t="str">
        <f>DocPremises[[#This Row],[Category DE]]&amp;IF(LEN(DocPremises[[#This Row],[Subcategory DE]])&gt;0," 
" &amp;DocPremises[[#This Row],[Subcategory DE]],)</f>
        <v>Lieferant 
Kundentakt</v>
      </c>
      <c r="F184" s="19" t="s">
        <v>1484</v>
      </c>
      <c r="G184" s="6" t="s">
        <v>597</v>
      </c>
      <c r="H184" s="6" t="s">
        <v>1408</v>
      </c>
      <c r="I184" s="6" t="s">
        <v>558</v>
      </c>
      <c r="J184" s="6" t="s">
        <v>97</v>
      </c>
      <c r="K184" s="6" t="s">
        <v>93</v>
      </c>
      <c r="L184" s="6">
        <v>1</v>
      </c>
    </row>
    <row r="186" spans="1:12" collapsed="1">
      <c r="A186" s="475"/>
      <c r="B186" s="476" t="s">
        <v>58</v>
      </c>
    </row>
    <row r="187" spans="1:12" hidden="1" outlineLevel="1">
      <c r="A187" s="473"/>
      <c r="B187" s="473"/>
    </row>
    <row r="188" spans="1:12" ht="30" hidden="1" customHeight="1" outlineLevel="1">
      <c r="B188" s="6" t="s">
        <v>359</v>
      </c>
      <c r="C188" s="869" t="s">
        <v>360</v>
      </c>
      <c r="D188" s="466" t="s">
        <v>361</v>
      </c>
      <c r="E188" s="869" t="s">
        <v>362</v>
      </c>
      <c r="F188" s="19" t="s">
        <v>363</v>
      </c>
      <c r="G188" s="6" t="s">
        <v>367</v>
      </c>
      <c r="H188" s="6" t="s">
        <v>368</v>
      </c>
      <c r="I188" s="6" t="s">
        <v>366</v>
      </c>
      <c r="J188" s="6" t="s">
        <v>369</v>
      </c>
      <c r="K188" s="6" t="s">
        <v>720</v>
      </c>
      <c r="L188" s="6"/>
    </row>
    <row r="189" spans="1:12" hidden="1" outlineLevel="1">
      <c r="B189" s="6" t="s">
        <v>608</v>
      </c>
      <c r="C189" s="869" t="str">
        <f>DocMHR[[#This Row],[Category EN]]&amp;IF(LEN(DocMHR[[#This Row],[Subcategory EN]])&gt;0," 
" &amp;DocMHR[[#This Row],[Subcategory EN]],)</f>
        <v/>
      </c>
      <c r="E189" s="869" t="str">
        <f>DocMHR[[#This Row],[Category DE]]&amp;IF(LEN(DocMHR[[#This Row],[Subcategory DE]])&gt;0," 
" &amp;DocMHR[[#This Row],[Subcategory DE]],)</f>
        <v/>
      </c>
      <c r="K189" s="6">
        <v>1</v>
      </c>
      <c r="L189" s="6"/>
    </row>
    <row r="190" spans="1:12" ht="76.5" hidden="1" outlineLevel="1">
      <c r="B190" s="6" t="s">
        <v>2</v>
      </c>
      <c r="C190" s="869" t="str">
        <f>DocMHR[[#This Row],[Category EN]]&amp;IF(LEN(DocMHR[[#This Row],[Subcategory EN]])&gt;0," 
" &amp;DocMHR[[#This Row],[Subcategory EN]],)</f>
        <v>Machine Designation</v>
      </c>
      <c r="D190" s="466" t="s">
        <v>1699</v>
      </c>
      <c r="E190" s="869" t="str">
        <f>DocMHR[[#This Row],[Category DE]]&amp;IF(LEN(DocMHR[[#This Row],[Subcategory DE]])&gt;0," 
" &amp;DocMHR[[#This Row],[Subcategory DE]],)</f>
        <v>Maschinenbezeichnung</v>
      </c>
      <c r="F190" s="19" t="s">
        <v>1698</v>
      </c>
      <c r="G190" s="6" t="s">
        <v>609</v>
      </c>
      <c r="I190" s="6" t="s">
        <v>610</v>
      </c>
      <c r="K190" s="6">
        <v>1</v>
      </c>
      <c r="L190" s="6"/>
    </row>
    <row r="191" spans="1:12" ht="51" hidden="1" outlineLevel="1">
      <c r="B191" s="6" t="s">
        <v>1166</v>
      </c>
      <c r="C191" s="869" t="str">
        <f>DocMHR[[#This Row],[Category EN]]&amp;IF(LEN(DocMHR[[#This Row],[Subcategory EN]])&gt;0," 
" &amp;DocMHR[[#This Row],[Subcategory EN]],)</f>
        <v>Investment (in input currency)</v>
      </c>
      <c r="D191" s="466" t="s">
        <v>1716</v>
      </c>
      <c r="E191" s="869" t="str">
        <f>DocMHR[[#This Row],[Category DE]]&amp;IF(LEN(DocMHR[[#This Row],[Subcategory DE]])&gt;0," 
" &amp;DocMHR[[#This Row],[Subcategory DE]],)</f>
        <v>Invest (in Eingabewährung)</v>
      </c>
      <c r="F191" s="19" t="s">
        <v>1715</v>
      </c>
      <c r="G191" s="6" t="s">
        <v>1144</v>
      </c>
      <c r="I191" s="6" t="s">
        <v>1145</v>
      </c>
      <c r="K191" s="6">
        <v>1</v>
      </c>
      <c r="L191" s="6"/>
    </row>
    <row r="192" spans="1:12" hidden="1" outlineLevel="1">
      <c r="B192" s="6" t="s">
        <v>446</v>
      </c>
      <c r="C192" s="869" t="str">
        <f>DocMHR[[#This Row],[Category EN]]&amp;IF(LEN(DocMHR[[#This Row],[Subcategory EN]])&gt;0," 
" &amp;DocMHR[[#This Row],[Subcategory EN]],)</f>
        <v>Imputed depreciation</v>
      </c>
      <c r="D192" s="466" t="s">
        <v>612</v>
      </c>
      <c r="E192" s="869" t="str">
        <f>DocMHR[[#This Row],[Category DE]]&amp;IF(LEN(DocMHR[[#This Row],[Subcategory DE]])&gt;0," 
" &amp;DocMHR[[#This Row],[Subcategory DE]],)</f>
        <v>Kalk. AfA</v>
      </c>
      <c r="F192" s="19" t="s">
        <v>613</v>
      </c>
      <c r="G192" s="6" t="s">
        <v>614</v>
      </c>
      <c r="I192" s="6" t="s">
        <v>615</v>
      </c>
      <c r="K192" s="6">
        <v>1</v>
      </c>
      <c r="L192" s="6"/>
    </row>
    <row r="193" spans="2:12" hidden="1" outlineLevel="1">
      <c r="B193" s="6" t="s">
        <v>21</v>
      </c>
      <c r="C193" s="869" t="str">
        <f>DocMHR[[#This Row],[Category EN]]&amp;IF(LEN(DocMHR[[#This Row],[Subcategory EN]])&gt;0," 
" &amp;DocMHR[[#This Row],[Subcategory EN]],)</f>
        <v>Electricity</v>
      </c>
      <c r="D193" s="466" t="s">
        <v>1825</v>
      </c>
      <c r="E193" s="869" t="str">
        <f>DocMHR[[#This Row],[Category DE]]&amp;IF(LEN(DocMHR[[#This Row],[Subcategory DE]])&gt;0," 
" &amp;DocMHR[[#This Row],[Subcategory DE]],)</f>
        <v>Strom</v>
      </c>
      <c r="F193" s="19" t="s">
        <v>1823</v>
      </c>
      <c r="G193" s="6" t="s">
        <v>543</v>
      </c>
      <c r="I193" s="6" t="s">
        <v>21</v>
      </c>
      <c r="K193" s="6">
        <v>1</v>
      </c>
      <c r="L193" s="6"/>
    </row>
    <row r="194" spans="2:12" ht="63.75" hidden="1" outlineLevel="1">
      <c r="B194" s="6" t="s">
        <v>5</v>
      </c>
      <c r="C194" s="869" t="str">
        <f>DocMHR[[#This Row],[Category EN]]&amp;IF(LEN(DocMHR[[#This Row],[Subcategory EN]])&gt;0," 
" &amp;DocMHR[[#This Row],[Subcategory EN]],)</f>
        <v>Factor electricity</v>
      </c>
      <c r="D194" s="466" t="s">
        <v>1706</v>
      </c>
      <c r="E194" s="869" t="str">
        <f>DocMHR[[#This Row],[Category DE]]&amp;IF(LEN(DocMHR[[#This Row],[Subcategory DE]])&gt;0," 
" &amp;DocMHR[[#This Row],[Subcategory DE]],)</f>
        <v>Faktor Strom</v>
      </c>
      <c r="F194" s="19" t="s">
        <v>1705</v>
      </c>
      <c r="G194" s="6" t="s">
        <v>1130</v>
      </c>
      <c r="I194" s="6" t="s">
        <v>583</v>
      </c>
      <c r="K194" s="6">
        <v>1</v>
      </c>
      <c r="L194" s="6"/>
    </row>
    <row r="195" spans="2:12" hidden="1" outlineLevel="1">
      <c r="B195" s="6" t="s">
        <v>580</v>
      </c>
      <c r="C195" s="869" t="str">
        <f>DocMHR[[#This Row],[Category EN]]&amp;IF(LEN(DocMHR[[#This Row],[Subcategory EN]])&gt;0," 
" &amp;DocMHR[[#This Row],[Subcategory EN]],)</f>
        <v>Natural gas</v>
      </c>
      <c r="D195" s="466" t="s">
        <v>1826</v>
      </c>
      <c r="E195" s="869" t="str">
        <f>DocMHR[[#This Row],[Category DE]]&amp;IF(LEN(DocMHR[[#This Row],[Subcategory DE]])&gt;0," 
" &amp;DocMHR[[#This Row],[Subcategory DE]],)</f>
        <v>Erdgas</v>
      </c>
      <c r="F195" s="19" t="s">
        <v>1824</v>
      </c>
      <c r="G195" s="6" t="s">
        <v>1131</v>
      </c>
      <c r="I195" s="6" t="s">
        <v>587</v>
      </c>
      <c r="K195" s="6">
        <v>1</v>
      </c>
      <c r="L195" s="6"/>
    </row>
    <row r="196" spans="2:12" ht="63.75" hidden="1" outlineLevel="1">
      <c r="B196" s="6" t="s">
        <v>581</v>
      </c>
      <c r="C196" s="869" t="str">
        <f>DocMHR[[#This Row],[Category EN]]&amp;IF(LEN(DocMHR[[#This Row],[Subcategory EN]])&gt;0," 
" &amp;DocMHR[[#This Row],[Subcategory EN]],)</f>
        <v>Factor natural gas</v>
      </c>
      <c r="D196" s="466" t="s">
        <v>1708</v>
      </c>
      <c r="E196" s="869" t="str">
        <f>DocMHR[[#This Row],[Category DE]]&amp;IF(LEN(DocMHR[[#This Row],[Subcategory DE]])&gt;0," 
" &amp;DocMHR[[#This Row],[Subcategory DE]],)</f>
        <v>Faktor Erdgas</v>
      </c>
      <c r="F196" s="19" t="s">
        <v>1707</v>
      </c>
      <c r="G196" s="6" t="s">
        <v>1129</v>
      </c>
      <c r="I196" s="6" t="s">
        <v>586</v>
      </c>
      <c r="K196" s="6">
        <v>1</v>
      </c>
      <c r="L196" s="6"/>
    </row>
    <row r="197" spans="2:12" ht="25.5" hidden="1" outlineLevel="1">
      <c r="B197" s="6" t="s">
        <v>447</v>
      </c>
      <c r="C197" s="869" t="str">
        <f>DocMHR[[#This Row],[Category EN]]&amp;IF(LEN(DocMHR[[#This Row],[Subcategory EN]])&gt;0," 
" &amp;DocMHR[[#This Row],[Subcategory EN]],)</f>
        <v>Area</v>
      </c>
      <c r="D197" s="466" t="s">
        <v>1709</v>
      </c>
      <c r="E197" s="869" t="str">
        <f>DocMHR[[#This Row],[Category DE]]&amp;IF(LEN(DocMHR[[#This Row],[Subcategory DE]])&gt;0," 
" &amp;DocMHR[[#This Row],[Subcategory DE]],)</f>
        <v>Fläche</v>
      </c>
      <c r="F197" s="19" t="s">
        <v>1710</v>
      </c>
      <c r="G197" s="6" t="s">
        <v>616</v>
      </c>
      <c r="I197" s="6" t="s">
        <v>447</v>
      </c>
      <c r="K197" s="6">
        <v>1</v>
      </c>
      <c r="L197" s="6"/>
    </row>
    <row r="198" spans="2:12" ht="38.25" hidden="1" outlineLevel="1">
      <c r="B198" s="6" t="s">
        <v>448</v>
      </c>
      <c r="C198" s="869" t="str">
        <f>DocMHR[[#This Row],[Category EN]]&amp;IF(LEN(DocMHR[[#This Row],[Subcategory EN]])&gt;0," 
" &amp;DocMHR[[#This Row],[Subcategory EN]],)</f>
        <v>Consumables</v>
      </c>
      <c r="D198" s="466" t="s">
        <v>1714</v>
      </c>
      <c r="E198" s="869" t="str">
        <f>DocMHR[[#This Row],[Category DE]]&amp;IF(LEN(DocMHR[[#This Row],[Subcategory DE]])&gt;0," 
" &amp;DocMHR[[#This Row],[Subcategory DE]],)</f>
        <v>Verbrauchsmaterial</v>
      </c>
      <c r="F198" s="19" t="s">
        <v>1712</v>
      </c>
      <c r="G198" s="6" t="s">
        <v>617</v>
      </c>
      <c r="I198" s="6" t="s">
        <v>448</v>
      </c>
      <c r="K198" s="6">
        <v>1</v>
      </c>
      <c r="L198" s="6"/>
    </row>
    <row r="199" spans="2:12" ht="38.25" hidden="1" outlineLevel="1">
      <c r="B199" s="6" t="s">
        <v>449</v>
      </c>
      <c r="C199" s="869" t="str">
        <f>DocMHR[[#This Row],[Category EN]]&amp;IF(LEN(DocMHR[[#This Row],[Subcategory EN]])&gt;0," 
" &amp;DocMHR[[#This Row],[Subcategory EN]],)</f>
        <v>Maintenance</v>
      </c>
      <c r="D199" s="466" t="s">
        <v>1713</v>
      </c>
      <c r="E199" s="869" t="str">
        <f>DocMHR[[#This Row],[Category DE]]&amp;IF(LEN(DocMHR[[#This Row],[Subcategory DE]])&gt;0," 
" &amp;DocMHR[[#This Row],[Subcategory DE]],)</f>
        <v>Instandhaltung</v>
      </c>
      <c r="F199" s="19" t="s">
        <v>1711</v>
      </c>
      <c r="G199" s="6" t="s">
        <v>618</v>
      </c>
      <c r="I199" s="6" t="s">
        <v>449</v>
      </c>
      <c r="K199" s="6">
        <v>1</v>
      </c>
      <c r="L199" s="6"/>
    </row>
    <row r="200" spans="2:12" ht="89.25" hidden="1" outlineLevel="1">
      <c r="B200" s="6" t="s">
        <v>576</v>
      </c>
      <c r="C200" s="869" t="str">
        <f>DocMHR[[#This Row],[Category EN]]&amp;IF(LEN(DocMHR[[#This Row],[Subcategory EN]])&gt;0," 
" &amp;DocMHR[[#This Row],[Subcategory EN]],)</f>
        <v>Indirect personnel</v>
      </c>
      <c r="D200" s="466" t="s">
        <v>1702</v>
      </c>
      <c r="E200" s="869" t="str">
        <f>DocMHR[[#This Row],[Category DE]]&amp;IF(LEN(DocMHR[[#This Row],[Subcategory DE]])&gt;0," 
" &amp;DocMHR[[#This Row],[Subcategory DE]],)</f>
        <v>Indirektes Personal</v>
      </c>
      <c r="F200" s="19" t="s">
        <v>1697</v>
      </c>
      <c r="G200" s="6" t="s">
        <v>620</v>
      </c>
      <c r="I200" s="6" t="s">
        <v>621</v>
      </c>
      <c r="K200" s="6">
        <v>1</v>
      </c>
      <c r="L200" s="6"/>
    </row>
    <row r="201" spans="2:12" ht="51" hidden="1" outlineLevel="1">
      <c r="B201" s="6" t="s">
        <v>577</v>
      </c>
      <c r="C201" s="869" t="str">
        <f>DocMHR[[#This Row],[Category EN]]&amp;IF(LEN(DocMHR[[#This Row],[Subcategory EN]])&gt;0," 
" &amp;DocMHR[[#This Row],[Subcategory EN]],)</f>
        <v>Indirect personnel</v>
      </c>
      <c r="D201" s="466" t="s">
        <v>1703</v>
      </c>
      <c r="E201" s="869" t="str">
        <f>DocMHR[[#This Row],[Category DE]]&amp;IF(LEN(DocMHR[[#This Row],[Subcategory DE]])&gt;0," 
" &amp;DocMHR[[#This Row],[Subcategory DE]],)</f>
        <v>Indirektes Personal</v>
      </c>
      <c r="F201" s="19" t="s">
        <v>619</v>
      </c>
      <c r="G201" s="6" t="s">
        <v>620</v>
      </c>
      <c r="I201" s="6" t="s">
        <v>621</v>
      </c>
      <c r="K201" s="6">
        <v>1</v>
      </c>
      <c r="L201" s="6"/>
    </row>
    <row r="202" spans="2:12" ht="38.25" hidden="1" outlineLevel="1">
      <c r="B202" s="6" t="s">
        <v>450</v>
      </c>
      <c r="C202" s="869" t="str">
        <f>DocMHR[[#This Row],[Category EN]]&amp;IF(LEN(DocMHR[[#This Row],[Subcategory EN]])&gt;0," 
" &amp;DocMHR[[#This Row],[Subcategory EN]],)</f>
        <v>General area</v>
      </c>
      <c r="D202" s="466" t="s">
        <v>1692</v>
      </c>
      <c r="E202" s="869" t="str">
        <f>DocMHR[[#This Row],[Category DE]]&amp;IF(LEN(DocMHR[[#This Row],[Subcategory DE]])&gt;0," 
" &amp;DocMHR[[#This Row],[Subcategory DE]],)</f>
        <v>Allgemeine Fläche</v>
      </c>
      <c r="F202" s="19" t="s">
        <v>1691</v>
      </c>
      <c r="G202" s="6" t="s">
        <v>1143</v>
      </c>
      <c r="I202" s="6" t="s">
        <v>450</v>
      </c>
      <c r="K202" s="6">
        <v>1</v>
      </c>
      <c r="L202" s="6"/>
    </row>
    <row r="203" spans="2:12" ht="25.5" hidden="1" outlineLevel="1">
      <c r="B203" s="6" t="s">
        <v>451</v>
      </c>
      <c r="C203" s="869" t="str">
        <f>DocMHR[[#This Row],[Category EN]]&amp;IF(LEN(DocMHR[[#This Row],[Subcategory EN]])&gt;0," 
" &amp;DocMHR[[#This Row],[Subcategory EN]],)</f>
        <v>Auxilliary and test equipment</v>
      </c>
      <c r="D203" s="466" t="s">
        <v>1693</v>
      </c>
      <c r="E203" s="869" t="str">
        <f>DocMHR[[#This Row],[Category DE]]&amp;IF(LEN(DocMHR[[#This Row],[Subcategory DE]])&gt;0," 
" &amp;DocMHR[[#This Row],[Subcategory DE]],)</f>
        <v>Hilfs- und Prüfgeräte</v>
      </c>
      <c r="F203" s="19" t="s">
        <v>1690</v>
      </c>
      <c r="G203" s="6" t="s">
        <v>1688</v>
      </c>
      <c r="I203" s="6" t="s">
        <v>1689</v>
      </c>
      <c r="K203" s="6">
        <v>1</v>
      </c>
      <c r="L203" s="6"/>
    </row>
    <row r="204" spans="2:12" ht="38.25" hidden="1" outlineLevel="1">
      <c r="B204" s="6" t="s">
        <v>452</v>
      </c>
      <c r="C204" s="869" t="str">
        <f>DocMHR[[#This Row],[Category EN]]&amp;IF(LEN(DocMHR[[#This Row],[Subcategory EN]])&gt;0," 
" &amp;DocMHR[[#This Row],[Subcategory EN]],)</f>
        <v>Energy for aux. Equipment</v>
      </c>
      <c r="D204" s="466" t="s">
        <v>1696</v>
      </c>
      <c r="E204" s="869" t="str">
        <f>DocMHR[[#This Row],[Category DE]]&amp;IF(LEN(DocMHR[[#This Row],[Subcategory DE]])&gt;0," 
" &amp;DocMHR[[#This Row],[Subcategory DE]],)</f>
        <v>Allg. Energie, Leistung Hilfs- und Prüfgeräte</v>
      </c>
      <c r="F204" s="19" t="s">
        <v>1695</v>
      </c>
      <c r="G204" s="6" t="s">
        <v>622</v>
      </c>
      <c r="I204" s="6" t="s">
        <v>1694</v>
      </c>
      <c r="K204" s="6">
        <v>1</v>
      </c>
      <c r="L204" s="6"/>
    </row>
    <row r="205" spans="2:12" ht="25.5" hidden="1" outlineLevel="1">
      <c r="B205" s="6" t="s">
        <v>1685</v>
      </c>
      <c r="C205" s="869" t="str">
        <f>DocMHR[[#This Row],[Category EN]]&amp;IF(LEN(DocMHR[[#This Row],[Subcategory EN]])&gt;0," 
" &amp;DocMHR[[#This Row],[Subcategory EN]],)</f>
        <v>General operation costs</v>
      </c>
      <c r="D205" s="466" t="s">
        <v>1687</v>
      </c>
      <c r="E205" s="869" t="str">
        <f>DocMHR[[#This Row],[Category DE]]&amp;IF(LEN(DocMHR[[#This Row],[Subcategory DE]])&gt;0," 
" &amp;DocMHR[[#This Row],[Subcategory DE]],)</f>
        <v>Allgemeine Betriebskosten</v>
      </c>
      <c r="F205" s="19" t="s">
        <v>1686</v>
      </c>
      <c r="G205" s="6" t="s">
        <v>1683</v>
      </c>
      <c r="I205" s="6" t="s">
        <v>1684</v>
      </c>
      <c r="K205" s="6">
        <v>1</v>
      </c>
      <c r="L205" s="6"/>
    </row>
    <row r="206" spans="2:12" hidden="1" outlineLevel="1">
      <c r="B206" s="6" t="s">
        <v>36</v>
      </c>
      <c r="C206" s="869" t="str">
        <f>DocMHR[[#This Row],[Category EN]]&amp;IF(LEN(DocMHR[[#This Row],[Subcategory EN]])&gt;0," 
" &amp;DocMHR[[#This Row],[Subcategory EN]],)</f>
        <v/>
      </c>
      <c r="E206" s="869" t="str">
        <f>DocMHR[[#This Row],[Category DE]]&amp;IF(LEN(DocMHR[[#This Row],[Subcategory DE]])&gt;0," 
" &amp;DocMHR[[#This Row],[Subcategory DE]],)</f>
        <v/>
      </c>
      <c r="K206" s="6">
        <v>1</v>
      </c>
      <c r="L206" s="6"/>
    </row>
    <row r="207" spans="2:12" hidden="1" outlineLevel="1">
      <c r="B207" s="6" t="s">
        <v>36</v>
      </c>
      <c r="C207" s="869" t="str">
        <f>DocMHR[[#This Row],[Category EN]]&amp;IF(LEN(DocMHR[[#This Row],[Subcategory EN]])&gt;0," 
" &amp;DocMHR[[#This Row],[Subcategory EN]],)</f>
        <v/>
      </c>
      <c r="E207" s="869" t="str">
        <f>DocMHR[[#This Row],[Category DE]]&amp;IF(LEN(DocMHR[[#This Row],[Subcategory DE]])&gt;0," 
" &amp;DocMHR[[#This Row],[Subcategory DE]],)</f>
        <v/>
      </c>
      <c r="K207" s="6">
        <v>1</v>
      </c>
      <c r="L207" s="6"/>
    </row>
    <row r="208" spans="2:12" hidden="1" outlineLevel="1">
      <c r="B208" s="6" t="s">
        <v>36</v>
      </c>
      <c r="C208" s="869" t="str">
        <f>DocMHR[[#This Row],[Category EN]]&amp;IF(LEN(DocMHR[[#This Row],[Subcategory EN]])&gt;0," 
" &amp;DocMHR[[#This Row],[Subcategory EN]],)</f>
        <v/>
      </c>
      <c r="E208" s="869" t="str">
        <f>DocMHR[[#This Row],[Category DE]]&amp;IF(LEN(DocMHR[[#This Row],[Subcategory DE]])&gt;0," 
" &amp;DocMHR[[#This Row],[Subcategory DE]],)</f>
        <v/>
      </c>
      <c r="K208" s="6">
        <v>1</v>
      </c>
      <c r="L208" s="6"/>
    </row>
    <row r="209" spans="2:12" ht="38.25" hidden="1" outlineLevel="1">
      <c r="B209" s="6" t="s">
        <v>438</v>
      </c>
      <c r="C209" s="869" t="str">
        <f>DocMHR[[#This Row],[Category EN]]&amp;IF(LEN(DocMHR[[#This Row],[Subcategory EN]])&gt;0," 
" &amp;DocMHR[[#This Row],[Subcategory EN]],)</f>
        <v>Investment</v>
      </c>
      <c r="D209" s="466" t="s">
        <v>1137</v>
      </c>
      <c r="E209" s="869" t="str">
        <f>DocMHR[[#This Row],[Category DE]]&amp;IF(LEN(DocMHR[[#This Row],[Subcategory DE]])&gt;0," 
" &amp;DocMHR[[#This Row],[Subcategory DE]],)</f>
        <v>Invest</v>
      </c>
      <c r="F209" s="19" t="s">
        <v>1651</v>
      </c>
      <c r="G209" s="6" t="s">
        <v>611</v>
      </c>
      <c r="I209" s="6" t="s">
        <v>438</v>
      </c>
      <c r="K209" s="6">
        <v>1</v>
      </c>
      <c r="L209" s="6"/>
    </row>
    <row r="210" spans="2:12" ht="38.25" hidden="1" outlineLevel="1">
      <c r="B210" s="6" t="s">
        <v>453</v>
      </c>
      <c r="C210" s="869" t="str">
        <f>DocMHR[[#This Row],[Category EN]]&amp;IF(LEN(DocMHR[[#This Row],[Subcategory EN]])&gt;0," 
" &amp;DocMHR[[#This Row],[Subcategory EN]],)</f>
        <v>Currenct average value</v>
      </c>
      <c r="D210" s="466" t="s">
        <v>1136</v>
      </c>
      <c r="E210" s="869" t="str">
        <f>DocMHR[[#This Row],[Category DE]]&amp;IF(LEN(DocMHR[[#This Row],[Subcategory DE]])&gt;0," 
" &amp;DocMHR[[#This Row],[Subcategory DE]],)</f>
        <v>Mittlerer Stromwert</v>
      </c>
      <c r="F210" s="19" t="s">
        <v>1650</v>
      </c>
      <c r="G210" s="6" t="s">
        <v>1133</v>
      </c>
      <c r="I210" s="6" t="s">
        <v>1132</v>
      </c>
      <c r="K210" s="6">
        <v>1</v>
      </c>
      <c r="L210" s="6"/>
    </row>
    <row r="211" spans="2:12" ht="38.25" hidden="1" outlineLevel="1">
      <c r="B211" s="6" t="s">
        <v>582</v>
      </c>
      <c r="C211" s="869" t="str">
        <f>DocMHR[[#This Row],[Category EN]]&amp;IF(LEN(DocMHR[[#This Row],[Subcategory EN]])&gt;0," 
" &amp;DocMHR[[#This Row],[Subcategory EN]],)</f>
        <v>Natural gas average value</v>
      </c>
      <c r="D211" s="466" t="s">
        <v>1138</v>
      </c>
      <c r="E211" s="869" t="str">
        <f>DocMHR[[#This Row],[Category DE]]&amp;IF(LEN(DocMHR[[#This Row],[Subcategory DE]])&gt;0," 
" &amp;DocMHR[[#This Row],[Subcategory DE]],)</f>
        <v>Mittlerer Erdgaswert</v>
      </c>
      <c r="F211" s="19" t="s">
        <v>1649</v>
      </c>
      <c r="G211" s="6" t="s">
        <v>1134</v>
      </c>
      <c r="I211" s="6" t="s">
        <v>1135</v>
      </c>
      <c r="K211" s="6">
        <v>1</v>
      </c>
      <c r="L211" s="6"/>
    </row>
    <row r="212" spans="2:12" ht="51" hidden="1" outlineLevel="1">
      <c r="B212" s="6" t="s">
        <v>1149</v>
      </c>
      <c r="C212" s="869" t="str">
        <f>DocMHR[[#This Row],[Category EN]]&amp;IF(LEN(DocMHR[[#This Row],[Subcategory EN]])&gt;0," 
" &amp;DocMHR[[#This Row],[Subcategory EN]],)</f>
        <v>Shift model</v>
      </c>
      <c r="D212" s="466" t="s">
        <v>2436</v>
      </c>
      <c r="E212" s="869" t="str">
        <f>DocMHR[[#This Row],[Category DE]]&amp;IF(LEN(DocMHR[[#This Row],[Subcategory DE]])&gt;0," 
" &amp;DocMHR[[#This Row],[Subcategory DE]],)</f>
        <v>Schichtmodell</v>
      </c>
      <c r="F212" s="19" t="s">
        <v>2435</v>
      </c>
      <c r="G212" s="6" t="s">
        <v>1583</v>
      </c>
      <c r="I212" s="6" t="s">
        <v>1149</v>
      </c>
      <c r="K212" s="6">
        <v>1</v>
      </c>
      <c r="L212" s="6"/>
    </row>
    <row r="213" spans="2:12" ht="25.5" hidden="1" outlineLevel="1">
      <c r="B213" s="6" t="s">
        <v>117</v>
      </c>
      <c r="C213" s="869" t="str">
        <f>DocMHR[[#This Row],[Category EN]]&amp;IF(LEN(DocMHR[[#This Row],[Subcategory EN]])&gt;0," 
" &amp;DocMHR[[#This Row],[Subcategory EN]],)</f>
        <v>Setup Time</v>
      </c>
      <c r="D213" s="466" t="s">
        <v>1566</v>
      </c>
      <c r="E213" s="869" t="str">
        <f>DocMHR[[#This Row],[Category DE]]&amp;IF(LEN(DocMHR[[#This Row],[Subcategory DE]])&gt;0," 
" &amp;DocMHR[[#This Row],[Subcategory DE]],)</f>
        <v>Zeit Rüsten</v>
      </c>
      <c r="F213" s="19" t="s">
        <v>1140</v>
      </c>
      <c r="G213" s="6" t="s">
        <v>565</v>
      </c>
      <c r="I213" s="6" t="s">
        <v>117</v>
      </c>
      <c r="K213" s="6">
        <v>1</v>
      </c>
      <c r="L213" s="6"/>
    </row>
    <row r="214" spans="2:12" hidden="1" outlineLevel="1">
      <c r="B214" s="6" t="s">
        <v>118</v>
      </c>
      <c r="C214" s="869" t="str">
        <f>DocMHR[[#This Row],[Category EN]]&amp;IF(LEN(DocMHR[[#This Row],[Subcategory EN]])&gt;0," 
" &amp;DocMHR[[#This Row],[Subcategory EN]],)</f>
        <v>Setup workers</v>
      </c>
      <c r="D214" s="466" t="s">
        <v>1567</v>
      </c>
      <c r="E214" s="869" t="str">
        <f>DocMHR[[#This Row],[Category DE]]&amp;IF(LEN(DocMHR[[#This Row],[Subcategory DE]])&gt;0," 
" &amp;DocMHR[[#This Row],[Subcategory DE]],)</f>
        <v>MA Rüsten</v>
      </c>
      <c r="F214" s="19" t="s">
        <v>1141</v>
      </c>
      <c r="G214" s="6" t="s">
        <v>623</v>
      </c>
      <c r="I214" s="6" t="s">
        <v>118</v>
      </c>
      <c r="K214" s="6">
        <v>1</v>
      </c>
      <c r="L214" s="6"/>
    </row>
    <row r="215" spans="2:12" hidden="1" outlineLevel="1">
      <c r="B215" s="6" t="s">
        <v>180</v>
      </c>
      <c r="C215" s="869" t="str">
        <f>DocMHR[[#This Row],[Category EN]]&amp;IF(LEN(DocMHR[[#This Row],[Subcategory EN]])&gt;0," 
" &amp;DocMHR[[#This Row],[Subcategory EN]],)</f>
        <v>Number of Workers</v>
      </c>
      <c r="D215" s="466" t="s">
        <v>1568</v>
      </c>
      <c r="E215" s="869" t="str">
        <f>DocMHR[[#This Row],[Category DE]]&amp;IF(LEN(DocMHR[[#This Row],[Subcategory DE]])&gt;0," 
" &amp;DocMHR[[#This Row],[Subcategory DE]],)</f>
        <v>Anzahl MA</v>
      </c>
      <c r="F215" s="19" t="s">
        <v>1146</v>
      </c>
      <c r="G215" s="6" t="s">
        <v>567</v>
      </c>
      <c r="I215" s="6" t="s">
        <v>180</v>
      </c>
      <c r="K215" s="6">
        <v>1</v>
      </c>
      <c r="L215" s="6"/>
    </row>
    <row r="216" spans="2:12" hidden="1" outlineLevel="1">
      <c r="B216" s="6" t="s">
        <v>181</v>
      </c>
      <c r="C216" s="869" t="str">
        <f>DocMHR[[#This Row],[Category EN]]&amp;IF(LEN(DocMHR[[#This Row],[Subcategory EN]])&gt;0," 
" &amp;DocMHR[[#This Row],[Subcategory EN]],)</f>
        <v>Worker Qualification</v>
      </c>
      <c r="D216" s="466" t="s">
        <v>1569</v>
      </c>
      <c r="E216" s="869" t="str">
        <f>DocMHR[[#This Row],[Category DE]]&amp;IF(LEN(DocMHR[[#This Row],[Subcategory DE]])&gt;0," 
" &amp;DocMHR[[#This Row],[Subcategory DE]],)</f>
        <v>Qualifikation MA</v>
      </c>
      <c r="F216" s="19" t="s">
        <v>1147</v>
      </c>
      <c r="G216" s="6" t="s">
        <v>568</v>
      </c>
      <c r="I216" s="6" t="s">
        <v>181</v>
      </c>
      <c r="K216" s="6">
        <v>1</v>
      </c>
      <c r="L216" s="6"/>
    </row>
    <row r="217" spans="2:12" ht="114.75" hidden="1" outlineLevel="1">
      <c r="B217" s="6" t="s">
        <v>2439</v>
      </c>
      <c r="C217" s="869" t="str">
        <f>DocMHR[[#This Row],[Category EN]]&amp;IF(LEN(DocMHR[[#This Row],[Subcategory EN]])&gt;0," 
" &amp;DocMHR[[#This Row],[Subcategory EN]],)</f>
        <v>Product-specific machine</v>
      </c>
      <c r="D217" s="466" t="s">
        <v>2456</v>
      </c>
      <c r="E217" s="869" t="str">
        <f>DocMHR[[#This Row],[Category DE]]&amp;IF(LEN(DocMHR[[#This Row],[Subcategory DE]])&gt;0," 
" &amp;DocMHR[[#This Row],[Subcategory DE]],)</f>
        <v>Produktspezifische Maschine</v>
      </c>
      <c r="F217" s="19" t="s">
        <v>2455</v>
      </c>
      <c r="G217" s="6" t="s">
        <v>2444</v>
      </c>
      <c r="I217" s="6" t="s">
        <v>2438</v>
      </c>
      <c r="K217" s="6">
        <v>1</v>
      </c>
      <c r="L217" s="6"/>
    </row>
    <row r="218" spans="2:12" ht="51" hidden="1" outlineLevel="1">
      <c r="B218" s="6" t="s">
        <v>1119</v>
      </c>
      <c r="C218" s="869" t="str">
        <f>DocMHR[[#This Row],[Category EN]]&amp;IF(LEN(DocMHR[[#This Row],[Subcategory EN]])&gt;0," 
" &amp;DocMHR[[#This Row],[Subcategory EN]],)</f>
        <v>Speical equipment</v>
      </c>
      <c r="D218" s="466" t="s">
        <v>2443</v>
      </c>
      <c r="E218" s="869" t="str">
        <f>DocMHR[[#This Row],[Category DE]]&amp;IF(LEN(DocMHR[[#This Row],[Subcategory DE]])&gt;0," 
" &amp;DocMHR[[#This Row],[Subcategory DE]],)</f>
        <v>Spezialbetriebsmittel</v>
      </c>
      <c r="F218" s="19" t="s">
        <v>2442</v>
      </c>
      <c r="G218" s="6" t="s">
        <v>1548</v>
      </c>
      <c r="I218" s="6" t="s">
        <v>1547</v>
      </c>
      <c r="K218" s="6">
        <v>1</v>
      </c>
      <c r="L218" s="6"/>
    </row>
    <row r="219" spans="2:12" hidden="1" outlineLevel="1">
      <c r="B219" s="6" t="s">
        <v>1121</v>
      </c>
      <c r="C219" s="869" t="str">
        <f>DocMHR[[#This Row],[Category EN]]&amp;IF(LEN(DocMHR[[#This Row],[Subcategory EN]])&gt;0," 
" &amp;DocMHR[[#This Row],[Subcategory EN]],)</f>
        <v>ID</v>
      </c>
      <c r="D219" s="466" t="s">
        <v>1570</v>
      </c>
      <c r="E219" s="869" t="str">
        <f>DocMHR[[#This Row],[Category DE]]&amp;IF(LEN(DocMHR[[#This Row],[Subcategory DE]])&gt;0," 
" &amp;DocMHR[[#This Row],[Subcategory DE]],)</f>
        <v>ID</v>
      </c>
      <c r="F219" s="19" t="s">
        <v>1142</v>
      </c>
      <c r="G219" s="6" t="s">
        <v>148</v>
      </c>
      <c r="I219" s="6" t="s">
        <v>148</v>
      </c>
      <c r="K219" s="6">
        <v>1</v>
      </c>
      <c r="L219" s="6"/>
    </row>
    <row r="220" spans="2:12" ht="25.5" hidden="1" outlineLevel="1">
      <c r="B220" s="6" t="s">
        <v>1120</v>
      </c>
      <c r="C220" s="869" t="str">
        <f>DocMHR[[#This Row],[Category EN]]&amp;IF(LEN(DocMHR[[#This Row],[Subcategory EN]])&gt;0," 
" &amp;DocMHR[[#This Row],[Subcategory EN]],)</f>
        <v>Associated tool</v>
      </c>
      <c r="D220" s="466" t="s">
        <v>1572</v>
      </c>
      <c r="E220" s="869" t="str">
        <f>DocMHR[[#This Row],[Category DE]]&amp;IF(LEN(DocMHR[[#This Row],[Subcategory DE]])&gt;0," 
" &amp;DocMHR[[#This Row],[Subcategory DE]],)</f>
        <v>Zugehöriger Schnellrecher</v>
      </c>
      <c r="F220" s="19" t="s">
        <v>1549</v>
      </c>
      <c r="G220" s="6" t="s">
        <v>1571</v>
      </c>
      <c r="I220" s="6" t="s">
        <v>1139</v>
      </c>
      <c r="K220" s="6">
        <v>1</v>
      </c>
      <c r="L220" s="6"/>
    </row>
    <row r="221" spans="2:12" ht="229.5" hidden="1" outlineLevel="1">
      <c r="B221" s="6" t="s">
        <v>2315</v>
      </c>
      <c r="C221" s="869" t="str">
        <f>DocMHR[[#This Row],[Category EN]]&amp;IF(LEN(DocMHR[[#This Row],[Subcategory EN]])&gt;0," 
" &amp;DocMHR[[#This Row],[Subcategory EN]],)</f>
        <v>Corresponding TEC ID</v>
      </c>
      <c r="D221" s="466" t="s">
        <v>2352</v>
      </c>
      <c r="E221" s="869" t="str">
        <f>DocMHR[[#This Row],[Category DE]]&amp;IF(LEN(DocMHR[[#This Row],[Subcategory DE]])&gt;0," 
" &amp;DocMHR[[#This Row],[Subcategory DE]],)</f>
        <v>Zugehörige TEC ID</v>
      </c>
      <c r="F221" s="19" t="s">
        <v>2351</v>
      </c>
      <c r="G221" s="6" t="s">
        <v>2318</v>
      </c>
      <c r="I221" s="6" t="s">
        <v>2317</v>
      </c>
      <c r="K221" s="6"/>
      <c r="L221" s="6"/>
    </row>
    <row r="222" spans="2:12" hidden="1" outlineLevel="1">
      <c r="B222" s="6" t="s">
        <v>79</v>
      </c>
      <c r="C222" s="869" t="str">
        <f>DocMHR[[#This Row],[Category EN]]&amp;IF(LEN(DocMHR[[#This Row],[Subcategory EN]])&gt;0," 
" &amp;DocMHR[[#This Row],[Subcategory EN]],)</f>
        <v>Usage</v>
      </c>
      <c r="D222" s="466" t="s">
        <v>1573</v>
      </c>
      <c r="E222" s="869" t="str">
        <f>DocMHR[[#This Row],[Category DE]]&amp;IF(LEN(DocMHR[[#This Row],[Subcategory DE]])&gt;0," 
" &amp;DocMHR[[#This Row],[Subcategory DE]],)</f>
        <v>Verwendung</v>
      </c>
      <c r="F222" s="19" t="s">
        <v>1551</v>
      </c>
      <c r="G222" s="6" t="s">
        <v>1579</v>
      </c>
      <c r="I222" s="6" t="s">
        <v>1148</v>
      </c>
      <c r="K222" s="6">
        <v>1</v>
      </c>
      <c r="L222" s="6"/>
    </row>
    <row r="223" spans="2:12" ht="51" hidden="1" outlineLevel="1">
      <c r="B223" s="6" t="s">
        <v>917</v>
      </c>
      <c r="C223" s="869" t="str">
        <f>DocMHR[[#This Row],[Category EN]]&amp;IF(LEN(DocMHR[[#This Row],[Subcategory EN]])&gt;0," 
" &amp;DocMHR[[#This Row],[Subcategory EN]],)</f>
        <v>Data status</v>
      </c>
      <c r="D223" s="466" t="s">
        <v>1574</v>
      </c>
      <c r="E223" s="869" t="str">
        <f>DocMHR[[#This Row],[Category DE]]&amp;IF(LEN(DocMHR[[#This Row],[Subcategory DE]])&gt;0," 
" &amp;DocMHR[[#This Row],[Subcategory DE]],)</f>
        <v>Datenstand</v>
      </c>
      <c r="F223" s="19" t="s">
        <v>1550</v>
      </c>
      <c r="G223" s="6" t="s">
        <v>1580</v>
      </c>
      <c r="I223" s="6" t="s">
        <v>917</v>
      </c>
      <c r="K223" s="6">
        <v>1</v>
      </c>
      <c r="L223" s="6"/>
    </row>
    <row r="224" spans="2:12" ht="25.5" hidden="1" outlineLevel="1">
      <c r="B224" s="6" t="s">
        <v>918</v>
      </c>
      <c r="C224" s="869" t="str">
        <f>DocMHR[[#This Row],[Category EN]]&amp;IF(LEN(DocMHR[[#This Row],[Subcategory EN]])&gt;0," 
" &amp;DocMHR[[#This Row],[Subcategory EN]],)</f>
        <v>Data origin</v>
      </c>
      <c r="D224" s="466" t="s">
        <v>1575</v>
      </c>
      <c r="E224" s="869" t="str">
        <f>DocMHR[[#This Row],[Category DE]]&amp;IF(LEN(DocMHR[[#This Row],[Subcategory DE]])&gt;0," 
" &amp;DocMHR[[#This Row],[Subcategory DE]],)</f>
        <v>Datenherkunft</v>
      </c>
      <c r="F224" s="19" t="s">
        <v>1553</v>
      </c>
      <c r="G224" s="6" t="s">
        <v>1581</v>
      </c>
      <c r="I224" s="6" t="s">
        <v>1552</v>
      </c>
      <c r="K224" s="6">
        <v>0</v>
      </c>
      <c r="L224" s="6"/>
    </row>
    <row r="225" spans="1:12" hidden="1" outlineLevel="1">
      <c r="B225" s="6" t="s">
        <v>916</v>
      </c>
      <c r="C225" s="869" t="str">
        <f>DocMHR[[#This Row],[Category EN]]&amp;IF(LEN(DocMHR[[#This Row],[Subcategory EN]])&gt;0," 
" &amp;DocMHR[[#This Row],[Subcategory EN]],)</f>
        <v/>
      </c>
      <c r="E225" s="869" t="str">
        <f>DocMHR[[#This Row],[Category DE]]&amp;IF(LEN(DocMHR[[#This Row],[Subcategory DE]])&gt;0," 
" &amp;DocMHR[[#This Row],[Subcategory DE]],)</f>
        <v/>
      </c>
      <c r="K225" s="6">
        <v>0</v>
      </c>
      <c r="L225" s="6"/>
    </row>
    <row r="226" spans="1:12" ht="38.25" hidden="1" outlineLevel="1">
      <c r="B226" s="6" t="s">
        <v>39</v>
      </c>
      <c r="C226" s="869" t="str">
        <f>DocMHR[[#This Row],[Category EN]]&amp;IF(LEN(DocMHR[[#This Row],[Subcategory EN]])&gt;0," 
" &amp;DocMHR[[#This Row],[Subcategory EN]],)</f>
        <v>Supplier-specific 
Machine hourly rate (MHR)</v>
      </c>
      <c r="D226" s="466" t="s">
        <v>1576</v>
      </c>
      <c r="E226" s="869" t="str">
        <f>DocMHR[[#This Row],[Category DE]]&amp;IF(LEN(DocMHR[[#This Row],[Subcategory DE]])&gt;0," 
" &amp;DocMHR[[#This Row],[Subcategory DE]],)</f>
        <v>Lieferantenspezifisch 
Maschinenstundensatz (MSS)</v>
      </c>
      <c r="F226" s="19" t="s">
        <v>1557</v>
      </c>
      <c r="G226" s="6" t="s">
        <v>1640</v>
      </c>
      <c r="H226" s="6" t="s">
        <v>1578</v>
      </c>
      <c r="I226" s="6" t="s">
        <v>1622</v>
      </c>
      <c r="J226" s="6" t="s">
        <v>1554</v>
      </c>
      <c r="K226" s="6">
        <v>1</v>
      </c>
      <c r="L226" s="6"/>
    </row>
    <row r="227" spans="1:12" ht="38.25" hidden="1" outlineLevel="1">
      <c r="B227" s="6" t="s">
        <v>539</v>
      </c>
      <c r="C227" s="869" t="str">
        <f>DocMHR[[#This Row],[Category EN]]&amp;IF(LEN(DocMHR[[#This Row],[Subcategory EN]])&gt;0," 
" &amp;DocMHR[[#This Row],[Subcategory EN]],)</f>
        <v>Supplier-specific 
Utilisation</v>
      </c>
      <c r="D227" s="466" t="s">
        <v>1577</v>
      </c>
      <c r="E227" s="869" t="str">
        <f>DocMHR[[#This Row],[Category DE]]&amp;IF(LEN(DocMHR[[#This Row],[Subcategory DE]])&gt;0," 
" &amp;DocMHR[[#This Row],[Subcategory DE]],)</f>
        <v>Lieferantenspezifisch 
Auslastung</v>
      </c>
      <c r="F227" s="19" t="s">
        <v>1555</v>
      </c>
      <c r="G227" s="6" t="s">
        <v>1640</v>
      </c>
      <c r="H227" s="6" t="s">
        <v>540</v>
      </c>
      <c r="I227" s="6" t="s">
        <v>1622</v>
      </c>
      <c r="J227" s="6" t="s">
        <v>539</v>
      </c>
      <c r="K227" s="6">
        <v>1</v>
      </c>
      <c r="L227" s="6"/>
    </row>
    <row r="228" spans="1:12" ht="38.25" hidden="1" outlineLevel="1">
      <c r="B228" s="6" t="s">
        <v>1125</v>
      </c>
      <c r="C228" s="869" t="str">
        <f>DocMHR[[#This Row],[Category EN]]&amp;IF(LEN(DocMHR[[#This Row],[Subcategory EN]])&gt;0," 
" &amp;DocMHR[[#This Row],[Subcategory EN]],)</f>
        <v>Supplier-specific 
Rental costs</v>
      </c>
      <c r="D228" s="466" t="s">
        <v>1577</v>
      </c>
      <c r="E228" s="869" t="str">
        <f>DocMHR[[#This Row],[Category DE]]&amp;IF(LEN(DocMHR[[#This Row],[Subcategory DE]])&gt;0," 
" &amp;DocMHR[[#This Row],[Subcategory DE]],)</f>
        <v>Lieferantenspezifisch 
Mietkosten</v>
      </c>
      <c r="F228" s="19" t="s">
        <v>1555</v>
      </c>
      <c r="G228" s="6" t="s">
        <v>1640</v>
      </c>
      <c r="H228" s="6" t="s">
        <v>1582</v>
      </c>
      <c r="I228" s="6" t="s">
        <v>1622</v>
      </c>
      <c r="J228" s="6" t="s">
        <v>1125</v>
      </c>
      <c r="K228" s="6">
        <v>1</v>
      </c>
      <c r="L228" s="6"/>
    </row>
    <row r="229" spans="1:12" ht="38.25" hidden="1" outlineLevel="1">
      <c r="B229" s="6" t="s">
        <v>1118</v>
      </c>
      <c r="C229" s="869" t="str">
        <f>DocMHR[[#This Row],[Category EN]]&amp;IF(LEN(DocMHR[[#This Row],[Subcategory EN]])&gt;0," 
" &amp;DocMHR[[#This Row],[Subcategory EN]],)</f>
        <v>Supplier-specific 
Working days per year</v>
      </c>
      <c r="D229" s="466" t="s">
        <v>1577</v>
      </c>
      <c r="E229" s="869" t="str">
        <f>DocMHR[[#This Row],[Category DE]]&amp;IF(LEN(DocMHR[[#This Row],[Subcategory DE]])&gt;0," 
" &amp;DocMHR[[#This Row],[Subcategory DE]],)</f>
        <v>Lieferantenspezifisch 
Arbeitstage pro Jahr</v>
      </c>
      <c r="F229" s="19" t="s">
        <v>1555</v>
      </c>
      <c r="G229" s="6" t="s">
        <v>1640</v>
      </c>
      <c r="H229" s="6" t="s">
        <v>601</v>
      </c>
      <c r="I229" s="6" t="s">
        <v>1622</v>
      </c>
      <c r="J229" s="6" t="s">
        <v>16</v>
      </c>
      <c r="K229" s="6">
        <v>1</v>
      </c>
      <c r="L229" s="6"/>
    </row>
    <row r="230" spans="1:12" ht="38.25" hidden="1" outlineLevel="1">
      <c r="B230" s="6" t="s">
        <v>6</v>
      </c>
      <c r="C230" s="869" t="str">
        <f>DocMHR[[#This Row],[Category EN]]&amp;IF(LEN(DocMHR[[#This Row],[Subcategory EN]])&gt;0," 
" &amp;DocMHR[[#This Row],[Subcategory EN]],)</f>
        <v>Supplier-specific 
Shift model</v>
      </c>
      <c r="D230" s="466" t="s">
        <v>1577</v>
      </c>
      <c r="E230" s="869" t="str">
        <f>DocMHR[[#This Row],[Category DE]]&amp;IF(LEN(DocMHR[[#This Row],[Subcategory DE]])&gt;0," 
" &amp;DocMHR[[#This Row],[Subcategory DE]],)</f>
        <v>Lieferantenspezifisch 
Schichtmodell</v>
      </c>
      <c r="F230" s="19" t="s">
        <v>1555</v>
      </c>
      <c r="G230" s="6" t="s">
        <v>1640</v>
      </c>
      <c r="H230" s="6" t="s">
        <v>1583</v>
      </c>
      <c r="I230" s="6" t="s">
        <v>1622</v>
      </c>
      <c r="J230" s="6" t="s">
        <v>1149</v>
      </c>
      <c r="K230" s="6">
        <v>1</v>
      </c>
      <c r="L230" s="6"/>
    </row>
    <row r="231" spans="1:12" ht="51" hidden="1" outlineLevel="1">
      <c r="B231" s="6" t="s">
        <v>1122</v>
      </c>
      <c r="C231" s="869" t="str">
        <f>DocMHR[[#This Row],[Category EN]]&amp;IF(LEN(DocMHR[[#This Row],[Subcategory EN]])&gt;0," 
" &amp;DocMHR[[#This Row],[Subcategory EN]],)</f>
        <v>Supplier-specific 
Hours per year</v>
      </c>
      <c r="D231" s="466" t="s">
        <v>2441</v>
      </c>
      <c r="E231" s="869" t="str">
        <f>DocMHR[[#This Row],[Category DE]]&amp;IF(LEN(DocMHR[[#This Row],[Subcategory DE]])&gt;0," 
" &amp;DocMHR[[#This Row],[Subcategory DE]],)</f>
        <v>Lieferantenspezifisch 
Stunden pro Jahr</v>
      </c>
      <c r="F231" s="19" t="s">
        <v>2440</v>
      </c>
      <c r="G231" s="6" t="s">
        <v>1640</v>
      </c>
      <c r="H231" s="6" t="s">
        <v>1584</v>
      </c>
      <c r="I231" s="6" t="s">
        <v>1622</v>
      </c>
      <c r="J231" s="6" t="s">
        <v>1150</v>
      </c>
      <c r="K231" s="6">
        <v>1</v>
      </c>
      <c r="L231" s="6"/>
    </row>
    <row r="232" spans="1:12" ht="38.25" hidden="1" outlineLevel="1">
      <c r="B232" s="6" t="s">
        <v>1123</v>
      </c>
      <c r="C232" s="869" t="str">
        <f>DocMHR[[#This Row],[Category EN]]&amp;IF(LEN(DocMHR[[#This Row],[Subcategory EN]])&gt;0," 
" &amp;DocMHR[[#This Row],[Subcategory EN]],)</f>
        <v>Supplier-specific 
Imputed interest rate</v>
      </c>
      <c r="D232" s="466" t="s">
        <v>1577</v>
      </c>
      <c r="E232" s="869" t="str">
        <f>DocMHR[[#This Row],[Category DE]]&amp;IF(LEN(DocMHR[[#This Row],[Subcategory DE]])&gt;0," 
" &amp;DocMHR[[#This Row],[Subcategory DE]],)</f>
        <v>Lieferantenspezifisch 
Kalkulatorischer Zinssatz</v>
      </c>
      <c r="F232" s="19" t="s">
        <v>1555</v>
      </c>
      <c r="G232" s="6" t="s">
        <v>1640</v>
      </c>
      <c r="H232" s="6" t="s">
        <v>1270</v>
      </c>
      <c r="I232" s="6" t="s">
        <v>1622</v>
      </c>
      <c r="J232" s="6" t="s">
        <v>1271</v>
      </c>
      <c r="K232" s="6">
        <v>1</v>
      </c>
      <c r="L232" s="6"/>
    </row>
    <row r="233" spans="1:12" ht="76.5" hidden="1" outlineLevel="1">
      <c r="B233" s="6" t="s">
        <v>1124</v>
      </c>
      <c r="C233" s="869" t="str">
        <f>DocMHR[[#This Row],[Category EN]]&amp;IF(LEN(DocMHR[[#This Row],[Subcategory EN]])&gt;0," 
" &amp;DocMHR[[#This Row],[Subcategory EN]],)</f>
        <v>Supplier-specific 
Electricity costs</v>
      </c>
      <c r="D233" s="466" t="s">
        <v>2124</v>
      </c>
      <c r="E233" s="869" t="str">
        <f>DocMHR[[#This Row],[Category DE]]&amp;IF(LEN(DocMHR[[#This Row],[Subcategory DE]])&gt;0," 
" &amp;DocMHR[[#This Row],[Subcategory DE]],)</f>
        <v>Lieferantenspezifisch 
Stromkosten</v>
      </c>
      <c r="F233" s="19" t="s">
        <v>2123</v>
      </c>
      <c r="G233" s="6" t="s">
        <v>1640</v>
      </c>
      <c r="H233" s="6" t="s">
        <v>1585</v>
      </c>
      <c r="I233" s="6" t="s">
        <v>1622</v>
      </c>
      <c r="J233" s="6" t="s">
        <v>1124</v>
      </c>
      <c r="K233" s="6">
        <v>1</v>
      </c>
      <c r="L233" s="6"/>
    </row>
    <row r="234" spans="1:12" ht="38.25" hidden="1" outlineLevel="1">
      <c r="B234" s="6" t="s">
        <v>1126</v>
      </c>
      <c r="C234" s="869" t="str">
        <f>DocMHR[[#This Row],[Category EN]]&amp;IF(LEN(DocMHR[[#This Row],[Subcategory EN]])&gt;0," 
" &amp;DocMHR[[#This Row],[Subcategory EN]],)</f>
        <v>Supplier-specific 
Gas costs</v>
      </c>
      <c r="D234" s="466" t="s">
        <v>1577</v>
      </c>
      <c r="E234" s="869" t="str">
        <f>DocMHR[[#This Row],[Category DE]]&amp;IF(LEN(DocMHR[[#This Row],[Subcategory DE]])&gt;0," 
" &amp;DocMHR[[#This Row],[Subcategory DE]],)</f>
        <v>Lieferantenspezifisch 
Gaskosten</v>
      </c>
      <c r="F234" s="19" t="s">
        <v>1555</v>
      </c>
      <c r="G234" s="6" t="s">
        <v>1640</v>
      </c>
      <c r="H234" s="6" t="s">
        <v>1586</v>
      </c>
      <c r="I234" s="6" t="s">
        <v>1622</v>
      </c>
      <c r="J234" s="6" t="s">
        <v>1126</v>
      </c>
      <c r="K234" s="6">
        <v>1</v>
      </c>
      <c r="L234" s="6"/>
    </row>
    <row r="235" spans="1:12" ht="153" hidden="1" outlineLevel="1">
      <c r="B235" s="6" t="s">
        <v>1127</v>
      </c>
      <c r="C235" s="869" t="str">
        <f>DocMHR[[#This Row],[Category EN]]&amp;IF(LEN(DocMHR[[#This Row],[Subcategory EN]])&gt;0," 
" &amp;DocMHR[[#This Row],[Subcategory EN]],)</f>
        <v>Supplier-specific 
MHR: fixed costs</v>
      </c>
      <c r="D235" s="466" t="s">
        <v>1592</v>
      </c>
      <c r="E235" s="869" t="str">
        <f>DocMHR[[#This Row],[Category DE]]&amp;IF(LEN(DocMHR[[#This Row],[Subcategory DE]])&gt;0," 
" &amp;DocMHR[[#This Row],[Subcategory DE]],)</f>
        <v>Lieferantenspezifisch 
MSS: Fixkosten</v>
      </c>
      <c r="F235" s="19" t="s">
        <v>1556</v>
      </c>
      <c r="G235" s="6" t="s">
        <v>1640</v>
      </c>
      <c r="H235" s="6" t="s">
        <v>1589</v>
      </c>
      <c r="I235" s="6" t="s">
        <v>1622</v>
      </c>
      <c r="J235" s="6" t="s">
        <v>1588</v>
      </c>
      <c r="K235" s="6">
        <v>1</v>
      </c>
      <c r="L235" s="6"/>
    </row>
    <row r="236" spans="1:12" ht="63.75" hidden="1" outlineLevel="1">
      <c r="B236" s="6" t="s">
        <v>1128</v>
      </c>
      <c r="C236" s="869" t="str">
        <f>DocMHR[[#This Row],[Category EN]]&amp;IF(LEN(DocMHR[[#This Row],[Subcategory EN]])&gt;0," 
" &amp;DocMHR[[#This Row],[Subcategory EN]],)</f>
        <v>Supplier-specific 
MHR: variable costs</v>
      </c>
      <c r="D236" s="466" t="s">
        <v>1593</v>
      </c>
      <c r="E236" s="869" t="str">
        <f>DocMHR[[#This Row],[Category DE]]&amp;IF(LEN(DocMHR[[#This Row],[Subcategory DE]])&gt;0," 
" &amp;DocMHR[[#This Row],[Subcategory DE]],)</f>
        <v>Lieferantenspezifisch 
MSS: Variable Kosten</v>
      </c>
      <c r="F236" s="19" t="s">
        <v>1563</v>
      </c>
      <c r="G236" s="6" t="s">
        <v>1640</v>
      </c>
      <c r="H236" s="6" t="s">
        <v>1590</v>
      </c>
      <c r="I236" s="6" t="s">
        <v>1622</v>
      </c>
      <c r="J236" s="6" t="s">
        <v>1587</v>
      </c>
      <c r="K236" s="6">
        <v>1</v>
      </c>
      <c r="L236" s="6"/>
    </row>
    <row r="237" spans="1:12" ht="89.25" hidden="1" outlineLevel="1">
      <c r="B237" s="6" t="s">
        <v>63</v>
      </c>
      <c r="C237" s="869" t="str">
        <f>DocMHR[[#This Row],[Category EN]]&amp;IF(LEN(DocMHR[[#This Row],[Subcategory EN]])&gt;0," 
" &amp;DocMHR[[#This Row],[Subcategory EN]],)</f>
        <v>Supplier-specific 
Indirect manufacturing hourly rate (IMHR)</v>
      </c>
      <c r="D237" s="466" t="s">
        <v>1779</v>
      </c>
      <c r="E237" s="869" t="str">
        <f>DocMHR[[#This Row],[Category DE]]&amp;IF(LEN(DocMHR[[#This Row],[Subcategory DE]])&gt;0," 
" &amp;DocMHR[[#This Row],[Subcategory DE]],)</f>
        <v>Lieferantenspezifisch 
Restfertigungsgemeinkosten-
stundensatz (RSS RFGK)</v>
      </c>
      <c r="F237" s="19" t="s">
        <v>1800</v>
      </c>
      <c r="G237" s="6" t="s">
        <v>1640</v>
      </c>
      <c r="H237" s="6" t="s">
        <v>1591</v>
      </c>
      <c r="I237" s="6" t="s">
        <v>1622</v>
      </c>
      <c r="J237" s="6" t="s">
        <v>1564</v>
      </c>
      <c r="K237" s="6">
        <v>1</v>
      </c>
      <c r="L237" s="6"/>
    </row>
    <row r="239" spans="1:12" collapsed="1">
      <c r="A239" s="475"/>
      <c r="B239" s="476" t="s">
        <v>873</v>
      </c>
    </row>
    <row r="240" spans="1:12" hidden="1" outlineLevel="1">
      <c r="A240" s="278"/>
      <c r="B240" s="277"/>
    </row>
    <row r="241" spans="2:12" ht="30" hidden="1" customHeight="1" outlineLevel="1">
      <c r="B241" s="6" t="s">
        <v>359</v>
      </c>
      <c r="C241" s="869" t="s">
        <v>360</v>
      </c>
      <c r="D241" s="466" t="s">
        <v>361</v>
      </c>
      <c r="E241" s="869" t="s">
        <v>362</v>
      </c>
      <c r="F241" s="19" t="s">
        <v>363</v>
      </c>
      <c r="G241" s="6" t="s">
        <v>367</v>
      </c>
      <c r="H241" s="6" t="s">
        <v>368</v>
      </c>
      <c r="I241" s="6" t="s">
        <v>366</v>
      </c>
      <c r="J241" s="6" t="s">
        <v>369</v>
      </c>
      <c r="K241" s="6" t="s">
        <v>720</v>
      </c>
      <c r="L241" s="6"/>
    </row>
    <row r="242" spans="2:12" hidden="1" outlineLevel="1">
      <c r="B242" s="6" t="s">
        <v>608</v>
      </c>
      <c r="C242" s="869" t="str">
        <f>DocMAT[[#This Row],[Category EN]]&amp;IF(LEN(DocMAT[[#This Row],[Subcategory EN]])&gt;0," 
" &amp;DocMAT[[#This Row],[Subcategory EN]],)</f>
        <v/>
      </c>
      <c r="E242" s="869" t="str">
        <f>DocMAT[[#This Row],[Category DE]]&amp;IF(LEN(DocMAT[[#This Row],[Subcategory DE]])&gt;0," 
" &amp;DocMAT[[#This Row],[Subcategory DE]],)</f>
        <v/>
      </c>
      <c r="K242" s="6">
        <v>1</v>
      </c>
      <c r="L242" s="6"/>
    </row>
    <row r="243" spans="2:12" ht="38.25" hidden="1" outlineLevel="1">
      <c r="B243" s="6" t="s">
        <v>2</v>
      </c>
      <c r="C243" s="869" t="str">
        <f>DocMAT[[#This Row],[Category EN]]&amp;IF(LEN(DocMAT[[#This Row],[Subcategory EN]])&gt;0," 
" &amp;DocMAT[[#This Row],[Subcategory EN]],)</f>
        <v>Designation</v>
      </c>
      <c r="D243" s="466" t="s">
        <v>1608</v>
      </c>
      <c r="E243" s="869" t="str">
        <f>DocMAT[[#This Row],[Category DE]]&amp;IF(LEN(DocMAT[[#This Row],[Subcategory DE]])&gt;0," 
" &amp;DocMAT[[#This Row],[Subcategory DE]],)</f>
        <v>Bezeichnung</v>
      </c>
      <c r="F243" s="19" t="s">
        <v>1609</v>
      </c>
      <c r="G243" s="6" t="s">
        <v>492</v>
      </c>
      <c r="H243" s="2"/>
      <c r="I243" s="6" t="s">
        <v>2</v>
      </c>
      <c r="K243" s="6">
        <v>1</v>
      </c>
      <c r="L243" s="6"/>
    </row>
    <row r="244" spans="2:12" ht="89.25" hidden="1" outlineLevel="1">
      <c r="B244" s="6" t="s">
        <v>2170</v>
      </c>
      <c r="C244" s="869" t="str">
        <f>DocMAT[[#This Row],[Category EN]]&amp;IF(LEN(DocMAT[[#This Row],[Subcategory EN]])&gt;0," 
" &amp;DocMAT[[#This Row],[Subcategory EN]],)</f>
        <v>Indirect material class</v>
      </c>
      <c r="D244" s="466" t="s">
        <v>2172</v>
      </c>
      <c r="E244" s="869" t="str">
        <f>DocMAT[[#This Row],[Category DE]]&amp;IF(LEN(DocMAT[[#This Row],[Subcategory DE]])&gt;0," 
" &amp;DocMAT[[#This Row],[Subcategory DE]],)</f>
        <v>MGK Materialklasse</v>
      </c>
      <c r="F244" s="19" t="s">
        <v>2171</v>
      </c>
      <c r="G244" s="6" t="s">
        <v>2167</v>
      </c>
      <c r="I244" s="6" t="s">
        <v>2169</v>
      </c>
      <c r="K244" s="6">
        <v>1</v>
      </c>
      <c r="L244" s="6"/>
    </row>
    <row r="245" spans="2:12" ht="51" hidden="1" outlineLevel="1">
      <c r="B245" s="6" t="s">
        <v>59</v>
      </c>
      <c r="C245" s="869" t="str">
        <f>DocMAT[[#This Row],[Category EN]]&amp;IF(LEN(DocMAT[[#This Row],[Subcategory EN]])&gt;0," 
" &amp;DocMAT[[#This Row],[Subcategory EN]],)</f>
        <v>Unit</v>
      </c>
      <c r="D245" s="466" t="s">
        <v>1704</v>
      </c>
      <c r="E245" s="869" t="str">
        <f>DocMAT[[#This Row],[Category DE]]&amp;IF(LEN(DocMAT[[#This Row],[Subcategory DE]])&gt;0," 
" &amp;DocMAT[[#This Row],[Subcategory DE]],)</f>
        <v>Einheit</v>
      </c>
      <c r="F245" s="19" t="s">
        <v>1602</v>
      </c>
      <c r="G245" s="6" t="s">
        <v>71</v>
      </c>
      <c r="I245" s="6" t="s">
        <v>59</v>
      </c>
      <c r="K245" s="6">
        <v>1</v>
      </c>
      <c r="L245" s="6"/>
    </row>
    <row r="246" spans="2:12" ht="51" hidden="1" outlineLevel="1">
      <c r="B246" s="6" t="s">
        <v>1263</v>
      </c>
      <c r="C246" s="869" t="str">
        <f>DocMAT[[#This Row],[Category EN]]&amp;IF(LEN(DocMAT[[#This Row],[Subcategory EN]])&gt;0," 
" &amp;DocMAT[[#This Row],[Subcategory EN]],)</f>
        <v>Price per unit 
(in input currency)</v>
      </c>
      <c r="D246" s="466" t="s">
        <v>1611</v>
      </c>
      <c r="E246" s="869" t="str">
        <f>DocMAT[[#This Row],[Category DE]]&amp;IF(LEN(DocMAT[[#This Row],[Subcategory DE]])&gt;0," 
" &amp;DocMAT[[#This Row],[Subcategory DE]],)</f>
        <v>Preis je Einheit 
(in Eingabewährung)</v>
      </c>
      <c r="F246" s="19" t="s">
        <v>1610</v>
      </c>
      <c r="G246" s="6" t="s">
        <v>1604</v>
      </c>
      <c r="I246" s="6" t="s">
        <v>1603</v>
      </c>
      <c r="K246" s="6">
        <v>1</v>
      </c>
      <c r="L246" s="6"/>
    </row>
    <row r="247" spans="2:12" hidden="1" outlineLevel="1">
      <c r="B247" s="6" t="s">
        <v>36</v>
      </c>
      <c r="C247" s="869" t="str">
        <f>DocMAT[[#This Row],[Category EN]]&amp;IF(LEN(DocMAT[[#This Row],[Subcategory EN]])&gt;0," 
" &amp;DocMAT[[#This Row],[Subcategory EN]],)</f>
        <v/>
      </c>
      <c r="E247" s="869" t="str">
        <f>DocMAT[[#This Row],[Category DE]]&amp;IF(LEN(DocMAT[[#This Row],[Subcategory DE]])&gt;0," 
" &amp;DocMAT[[#This Row],[Subcategory DE]],)</f>
        <v/>
      </c>
      <c r="K247" s="6">
        <v>1</v>
      </c>
      <c r="L247" s="6"/>
    </row>
    <row r="248" spans="2:12" hidden="1" outlineLevel="1">
      <c r="B248" s="6" t="s">
        <v>36</v>
      </c>
      <c r="C248" s="869" t="str">
        <f>DocMAT[[#This Row],[Category EN]]&amp;IF(LEN(DocMAT[[#This Row],[Subcategory EN]])&gt;0," 
" &amp;DocMAT[[#This Row],[Subcategory EN]],)</f>
        <v/>
      </c>
      <c r="E248" s="869" t="str">
        <f>DocMAT[[#This Row],[Category DE]]&amp;IF(LEN(DocMAT[[#This Row],[Subcategory DE]])&gt;0," 
" &amp;DocMAT[[#This Row],[Subcategory DE]],)</f>
        <v/>
      </c>
      <c r="K248" s="6">
        <v>1</v>
      </c>
      <c r="L248" s="6"/>
    </row>
    <row r="249" spans="2:12" hidden="1" outlineLevel="1">
      <c r="B249" s="6" t="s">
        <v>36</v>
      </c>
      <c r="C249" s="869" t="str">
        <f>DocMAT[[#This Row],[Category EN]]&amp;IF(LEN(DocMAT[[#This Row],[Subcategory EN]])&gt;0," 
" &amp;DocMAT[[#This Row],[Subcategory EN]],)</f>
        <v/>
      </c>
      <c r="E249" s="869" t="str">
        <f>DocMAT[[#This Row],[Category DE]]&amp;IF(LEN(DocMAT[[#This Row],[Subcategory DE]])&gt;0," 
" &amp;DocMAT[[#This Row],[Subcategory DE]],)</f>
        <v/>
      </c>
      <c r="K249" s="6">
        <v>1</v>
      </c>
      <c r="L249" s="6"/>
    </row>
    <row r="250" spans="2:12" ht="38.25" hidden="1" outlineLevel="1">
      <c r="B250" s="6" t="s">
        <v>11</v>
      </c>
      <c r="C250" s="869" t="str">
        <f>DocMAT[[#This Row],[Category EN]]&amp;IF(LEN(DocMAT[[#This Row],[Subcategory EN]])&gt;0," 
" &amp;DocMAT[[#This Row],[Subcategory EN]],)</f>
        <v>Price per unit</v>
      </c>
      <c r="D250" s="466" t="s">
        <v>1265</v>
      </c>
      <c r="E250" s="869" t="str">
        <f>DocMAT[[#This Row],[Category DE]]&amp;IF(LEN(DocMAT[[#This Row],[Subcategory DE]])&gt;0," 
" &amp;DocMAT[[#This Row],[Subcategory DE]],)</f>
        <v>Preis je Einheit</v>
      </c>
      <c r="F250" s="19" t="s">
        <v>1264</v>
      </c>
      <c r="G250" s="6" t="s">
        <v>1605</v>
      </c>
      <c r="I250" s="6" t="s">
        <v>1606</v>
      </c>
      <c r="K250" s="6">
        <v>1</v>
      </c>
      <c r="L250" s="6"/>
    </row>
    <row r="251" spans="2:12" ht="38.25" hidden="1" outlineLevel="1">
      <c r="B251" s="6" t="s">
        <v>1034</v>
      </c>
      <c r="C251" s="869" t="str">
        <f>DocMAT[[#This Row],[Category EN]]&amp;IF(LEN(DocMAT[[#This Row],[Subcategory EN]])&gt;0," 
" &amp;DocMAT[[#This Row],[Subcategory EN]],)</f>
        <v>Effort in h/year 
Purchasing</v>
      </c>
      <c r="D251" s="466" t="s">
        <v>2214</v>
      </c>
      <c r="E251" s="869" t="str">
        <f>DocMAT[[#This Row],[Category DE]]&amp;IF(LEN(DocMAT[[#This Row],[Subcategory DE]])&gt;0," 
" &amp;DocMAT[[#This Row],[Subcategory DE]],)</f>
        <v>Aufwand in h/Jahr 
Einkauf</v>
      </c>
      <c r="F251" s="19" t="s">
        <v>2196</v>
      </c>
      <c r="G251" s="6" t="s">
        <v>1607</v>
      </c>
      <c r="H251" s="6" t="s">
        <v>1220</v>
      </c>
      <c r="I251" s="6" t="s">
        <v>1044</v>
      </c>
      <c r="J251" s="6" t="s">
        <v>1042</v>
      </c>
      <c r="K251" s="6">
        <v>1</v>
      </c>
      <c r="L251" s="6"/>
    </row>
    <row r="252" spans="2:12" ht="63.75" hidden="1" outlineLevel="1">
      <c r="B252" s="6" t="s">
        <v>1035</v>
      </c>
      <c r="C252" s="869" t="str">
        <f>DocMAT[[#This Row],[Category EN]]&amp;IF(LEN(DocMAT[[#This Row],[Subcategory EN]])&gt;0," 
" &amp;DocMAT[[#This Row],[Subcategory EN]],)</f>
        <v>Effort in h/year 
Quality</v>
      </c>
      <c r="D252" s="466" t="s">
        <v>2215</v>
      </c>
      <c r="E252" s="869" t="str">
        <f>DocMAT[[#This Row],[Category DE]]&amp;IF(LEN(DocMAT[[#This Row],[Subcategory DE]])&gt;0," 
" &amp;DocMAT[[#This Row],[Subcategory DE]],)</f>
        <v>Aufwand in h/Jahr 
Qualität</v>
      </c>
      <c r="F252" s="19" t="s">
        <v>2197</v>
      </c>
      <c r="G252" s="6" t="s">
        <v>1607</v>
      </c>
      <c r="H252" s="6" t="s">
        <v>1221</v>
      </c>
      <c r="I252" s="6" t="s">
        <v>1044</v>
      </c>
      <c r="J252" s="6" t="s">
        <v>1043</v>
      </c>
      <c r="K252" s="6">
        <v>0</v>
      </c>
      <c r="L252" s="6"/>
    </row>
    <row r="253" spans="2:12" ht="51" hidden="1" outlineLevel="1">
      <c r="B253" s="6" t="s">
        <v>1037</v>
      </c>
      <c r="C253" s="869" t="str">
        <f>DocMAT[[#This Row],[Category EN]]&amp;IF(LEN(DocMAT[[#This Row],[Subcategory EN]])&gt;0," 
" &amp;DocMAT[[#This Row],[Subcategory EN]],)</f>
        <v>Effort in h/year 
Stock movement</v>
      </c>
      <c r="D253" s="466" t="s">
        <v>2216</v>
      </c>
      <c r="E253" s="869" t="str">
        <f>DocMAT[[#This Row],[Category DE]]&amp;IF(LEN(DocMAT[[#This Row],[Subcategory DE]])&gt;0," 
" &amp;DocMAT[[#This Row],[Subcategory DE]],)</f>
        <v>Aufwand in h/Jahr 
Lagerbewegung</v>
      </c>
      <c r="F253" s="19" t="s">
        <v>2198</v>
      </c>
      <c r="G253" s="6" t="s">
        <v>1607</v>
      </c>
      <c r="H253" s="6" t="s">
        <v>1222</v>
      </c>
      <c r="I253" s="6" t="s">
        <v>1044</v>
      </c>
      <c r="J253" s="6" t="s">
        <v>1151</v>
      </c>
      <c r="K253" s="6">
        <v>1</v>
      </c>
      <c r="L253" s="6"/>
    </row>
    <row r="254" spans="2:12" ht="51" hidden="1" outlineLevel="1">
      <c r="B254" s="6" t="s">
        <v>135</v>
      </c>
      <c r="C254" s="869" t="str">
        <f>DocMAT[[#This Row],[Category EN]]&amp;IF(LEN(DocMAT[[#This Row],[Subcategory EN]])&gt;0," 
" &amp;DocMAT[[#This Row],[Subcategory EN]],)</f>
        <v>Density</v>
      </c>
      <c r="D254" s="466" t="s">
        <v>1614</v>
      </c>
      <c r="E254" s="869" t="str">
        <f>DocMAT[[#This Row],[Category DE]]&amp;IF(LEN(DocMAT[[#This Row],[Subcategory DE]])&gt;0," 
" &amp;DocMAT[[#This Row],[Subcategory DE]],)</f>
        <v>Dichte</v>
      </c>
      <c r="F254" s="19" t="s">
        <v>1612</v>
      </c>
      <c r="G254" s="6" t="s">
        <v>563</v>
      </c>
      <c r="H254" s="2"/>
      <c r="I254" s="6" t="s">
        <v>135</v>
      </c>
      <c r="K254" s="6">
        <v>1</v>
      </c>
      <c r="L254" s="6"/>
    </row>
    <row r="255" spans="2:12" ht="89.25" hidden="1" outlineLevel="1">
      <c r="B255" s="6" t="s">
        <v>1525</v>
      </c>
      <c r="C255" s="869" t="str">
        <f>DocMAT[[#This Row],[Category EN]]&amp;IF(LEN(DocMAT[[#This Row],[Subcategory EN]])&gt;0," 
" &amp;DocMAT[[#This Row],[Subcategory EN]],)</f>
        <v>CO₂-Emission</v>
      </c>
      <c r="D255" s="466" t="s">
        <v>2226</v>
      </c>
      <c r="E255" s="869" t="str">
        <f>DocMAT[[#This Row],[Category DE]]&amp;IF(LEN(DocMAT[[#This Row],[Subcategory DE]])&gt;0," 
" &amp;DocMAT[[#This Row],[Subcategory DE]],)</f>
        <v>CO₂-Emission</v>
      </c>
      <c r="F255" s="19" t="s">
        <v>2228</v>
      </c>
      <c r="G255" s="6" t="s">
        <v>1599</v>
      </c>
      <c r="I255" s="6" t="s">
        <v>1599</v>
      </c>
      <c r="K255" s="6">
        <v>0</v>
      </c>
      <c r="L255" s="6"/>
    </row>
    <row r="256" spans="2:12" ht="255" hidden="1" outlineLevel="1">
      <c r="B256" s="6" t="s">
        <v>2161</v>
      </c>
      <c r="C256" s="869" t="str">
        <f>DocMAT[[#This Row],[Category EN]]&amp;IF(LEN(DocMAT[[#This Row],[Subcategory EN]])&gt;0," 
" &amp;DocMAT[[#This Row],[Subcategory EN]],)</f>
        <v>AWS material group</v>
      </c>
      <c r="D256" s="466" t="s">
        <v>2165</v>
      </c>
      <c r="E256" s="869" t="str">
        <f>DocMAT[[#This Row],[Category DE]]&amp;IF(LEN(DocMAT[[#This Row],[Subcategory DE]])&gt;0," 
" &amp;DocMAT[[#This Row],[Subcategory DE]],)</f>
        <v>AWS Materialgruppe</v>
      </c>
      <c r="F256" s="19" t="s">
        <v>2174</v>
      </c>
      <c r="G256" s="6" t="s">
        <v>2163</v>
      </c>
      <c r="I256" s="6" t="s">
        <v>2173</v>
      </c>
      <c r="K256" s="6">
        <v>0</v>
      </c>
      <c r="L256" s="6"/>
    </row>
    <row r="257" spans="1:12" ht="51" hidden="1" outlineLevel="1">
      <c r="B257" s="6" t="s">
        <v>2160</v>
      </c>
      <c r="C257" s="869" t="str">
        <f>DocMAT[[#This Row],[Category EN]]&amp;IF(LEN(DocMAT[[#This Row],[Subcategory EN]])&gt;0," 
" &amp;DocMAT[[#This Row],[Subcategory EN]],)</f>
        <v>base material</v>
      </c>
      <c r="D257" s="466" t="s">
        <v>2166</v>
      </c>
      <c r="E257" s="869" t="str">
        <f>DocMAT[[#This Row],[Category DE]]&amp;IF(LEN(DocMAT[[#This Row],[Subcategory DE]])&gt;0," 
" &amp;DocMAT[[#This Row],[Subcategory DE]],)</f>
        <v>Basismaterial</v>
      </c>
      <c r="F257" s="19" t="s">
        <v>2175</v>
      </c>
      <c r="G257" s="6" t="s">
        <v>2164</v>
      </c>
      <c r="I257" s="6" t="s">
        <v>2160</v>
      </c>
      <c r="K257" s="6">
        <v>0</v>
      </c>
      <c r="L257" s="6"/>
    </row>
    <row r="258" spans="1:12" hidden="1" outlineLevel="1">
      <c r="B258" s="6" t="s">
        <v>79</v>
      </c>
      <c r="C258" s="869" t="str">
        <f>DocMAT[[#This Row],[Category EN]]&amp;IF(LEN(DocMAT[[#This Row],[Subcategory EN]])&gt;0," 
" &amp;DocMAT[[#This Row],[Subcategory EN]],)</f>
        <v/>
      </c>
      <c r="E258" s="869" t="str">
        <f>DocMAT[[#This Row],[Category DE]]&amp;IF(LEN(DocMAT[[#This Row],[Subcategory DE]])&gt;0," 
" &amp;DocMAT[[#This Row],[Subcategory DE]],)</f>
        <v>Verwendung</v>
      </c>
      <c r="F258" s="19" t="s">
        <v>1219</v>
      </c>
      <c r="H258" s="2"/>
      <c r="I258" s="6" t="s">
        <v>1148</v>
      </c>
      <c r="K258" s="6">
        <v>1</v>
      </c>
      <c r="L258" s="6"/>
    </row>
    <row r="259" spans="1:12" ht="51" hidden="1" outlineLevel="1">
      <c r="B259" s="6" t="s">
        <v>917</v>
      </c>
      <c r="C259" s="869" t="str">
        <f>DocMAT[[#This Row],[Category EN]]&amp;IF(LEN(DocMAT[[#This Row],[Subcategory EN]])&gt;0," 
" &amp;DocMAT[[#This Row],[Subcategory EN]],)</f>
        <v>Data status</v>
      </c>
      <c r="D259" s="466" t="s">
        <v>1574</v>
      </c>
      <c r="E259" s="869" t="str">
        <f>DocMAT[[#This Row],[Category DE]]&amp;IF(LEN(DocMAT[[#This Row],[Subcategory DE]])&gt;0," 
" &amp;DocMAT[[#This Row],[Subcategory DE]],)</f>
        <v>Datenstand</v>
      </c>
      <c r="F259" s="19" t="s">
        <v>1550</v>
      </c>
      <c r="G259" s="6" t="s">
        <v>1580</v>
      </c>
      <c r="I259" s="6" t="s">
        <v>917</v>
      </c>
      <c r="K259" s="6">
        <v>1</v>
      </c>
      <c r="L259" s="6"/>
    </row>
    <row r="260" spans="1:12" ht="25.5" hidden="1" outlineLevel="1">
      <c r="B260" s="6" t="s">
        <v>918</v>
      </c>
      <c r="C260" s="869" t="str">
        <f>DocMAT[[#This Row],[Category EN]]&amp;IF(LEN(DocMAT[[#This Row],[Subcategory EN]])&gt;0," 
" &amp;DocMAT[[#This Row],[Subcategory EN]],)</f>
        <v>Data origin</v>
      </c>
      <c r="D260" s="466" t="s">
        <v>1594</v>
      </c>
      <c r="E260" s="869" t="str">
        <f>DocMAT[[#This Row],[Category DE]]&amp;IF(LEN(DocMAT[[#This Row],[Subcategory DE]])&gt;0," 
" &amp;DocMAT[[#This Row],[Subcategory DE]],)</f>
        <v>Datenherkunft</v>
      </c>
      <c r="F260" s="19" t="s">
        <v>1613</v>
      </c>
      <c r="G260" s="6" t="s">
        <v>1581</v>
      </c>
      <c r="I260" s="6" t="s">
        <v>1552</v>
      </c>
      <c r="K260" s="6">
        <v>0</v>
      </c>
      <c r="L260" s="6"/>
    </row>
    <row r="261" spans="1:12" hidden="1" outlineLevel="1">
      <c r="B261" s="6" t="s">
        <v>916</v>
      </c>
      <c r="C261" s="869" t="str">
        <f>DocMAT[[#This Row],[Category EN]]&amp;IF(LEN(DocMAT[[#This Row],[Subcategory EN]])&gt;0," 
" &amp;DocMAT[[#This Row],[Subcategory EN]],)</f>
        <v/>
      </c>
      <c r="E261" s="869" t="str">
        <f>DocMAT[[#This Row],[Category DE]]&amp;IF(LEN(DocMAT[[#This Row],[Subcategory DE]])&gt;0," 
" &amp;DocMAT[[#This Row],[Subcategory DE]],)</f>
        <v/>
      </c>
      <c r="K261" s="6">
        <v>0</v>
      </c>
      <c r="L261" s="6"/>
    </row>
    <row r="262" spans="1:12" ht="102" hidden="1" outlineLevel="1">
      <c r="B262" s="6" t="s">
        <v>1155</v>
      </c>
      <c r="C262" s="869" t="str">
        <f>DocMAT[[#This Row],[Category EN]]&amp;IF(LEN(DocMAT[[#This Row],[Subcategory EN]])&gt;0," 
" &amp;DocMAT[[#This Row],[Subcategory EN]],)</f>
        <v>Supplier-specific 
Annual costs: Total</v>
      </c>
      <c r="D262" s="466" t="s">
        <v>1632</v>
      </c>
      <c r="E262" s="869" t="str">
        <f>DocMAT[[#This Row],[Category DE]]&amp;IF(LEN(DocMAT[[#This Row],[Subcategory DE]])&gt;0," 
" &amp;DocMAT[[#This Row],[Subcategory DE]],)</f>
        <v>Lieferantenspezifisch 
Jährliche Kosten: Gesamt</v>
      </c>
      <c r="F262" s="19" t="s">
        <v>1615</v>
      </c>
      <c r="G262" s="6" t="s">
        <v>1640</v>
      </c>
      <c r="H262" s="6" t="s">
        <v>1641</v>
      </c>
      <c r="I262" s="6" t="s">
        <v>1622</v>
      </c>
      <c r="J262" s="6" t="s">
        <v>1621</v>
      </c>
      <c r="K262" s="6">
        <v>1</v>
      </c>
      <c r="L262" s="6"/>
    </row>
    <row r="263" spans="1:12" ht="51" hidden="1" outlineLevel="1">
      <c r="B263" s="6" t="s">
        <v>1042</v>
      </c>
      <c r="C263" s="869" t="str">
        <f>DocMAT[[#This Row],[Category EN]]&amp;IF(LEN(DocMAT[[#This Row],[Subcategory EN]])&gt;0," 
" &amp;DocMAT[[#This Row],[Subcategory EN]],)</f>
        <v>Supplier-specific 
Annual costs: Purchasing</v>
      </c>
      <c r="D263" s="466" t="s">
        <v>1633</v>
      </c>
      <c r="E263" s="869" t="str">
        <f>DocMAT[[#This Row],[Category DE]]&amp;IF(LEN(DocMAT[[#This Row],[Subcategory DE]])&gt;0," 
" &amp;DocMAT[[#This Row],[Subcategory DE]],)</f>
        <v>Lieferantenspezifisch 
Jährliche Kosten: Einkauf</v>
      </c>
      <c r="F263" s="19" t="s">
        <v>1617</v>
      </c>
      <c r="G263" s="6" t="s">
        <v>1640</v>
      </c>
      <c r="H263" s="2" t="s">
        <v>1642</v>
      </c>
      <c r="I263" s="6" t="s">
        <v>1622</v>
      </c>
      <c r="J263" s="6" t="s">
        <v>1623</v>
      </c>
      <c r="K263" s="6">
        <v>1</v>
      </c>
      <c r="L263" s="6"/>
    </row>
    <row r="264" spans="1:12" ht="51" hidden="1" outlineLevel="1">
      <c r="B264" s="6" t="s">
        <v>1043</v>
      </c>
      <c r="C264" s="869" t="str">
        <f>DocMAT[[#This Row],[Category EN]]&amp;IF(LEN(DocMAT[[#This Row],[Subcategory EN]])&gt;0," 
" &amp;DocMAT[[#This Row],[Subcategory EN]],)</f>
        <v>Supplier-specific 
Annual costs: Quality</v>
      </c>
      <c r="D264" s="466" t="s">
        <v>1634</v>
      </c>
      <c r="E264" s="869" t="str">
        <f>DocMAT[[#This Row],[Category DE]]&amp;IF(LEN(DocMAT[[#This Row],[Subcategory DE]])&gt;0," 
" &amp;DocMAT[[#This Row],[Subcategory DE]],)</f>
        <v>Lieferantenspezifisch 
Jährliche Kosten: Qualität</v>
      </c>
      <c r="F264" s="19" t="s">
        <v>1618</v>
      </c>
      <c r="G264" s="6" t="s">
        <v>1640</v>
      </c>
      <c r="H264" s="6" t="s">
        <v>1643</v>
      </c>
      <c r="I264" s="6" t="s">
        <v>1622</v>
      </c>
      <c r="J264" s="6" t="s">
        <v>1624</v>
      </c>
      <c r="K264" s="6">
        <v>1</v>
      </c>
      <c r="L264" s="6"/>
    </row>
    <row r="265" spans="1:12" ht="63.75" hidden="1" outlineLevel="1">
      <c r="B265" s="6" t="s">
        <v>1151</v>
      </c>
      <c r="C265" s="869" t="str">
        <f>DocMAT[[#This Row],[Category EN]]&amp;IF(LEN(DocMAT[[#This Row],[Subcategory EN]])&gt;0," 
" &amp;DocMAT[[#This Row],[Subcategory EN]],)</f>
        <v>Supplier-specific 
Annual cost: Stock movement</v>
      </c>
      <c r="D265" s="466" t="s">
        <v>1635</v>
      </c>
      <c r="E265" s="869" t="str">
        <f>DocMAT[[#This Row],[Category DE]]&amp;IF(LEN(DocMAT[[#This Row],[Subcategory DE]])&gt;0," 
" &amp;DocMAT[[#This Row],[Subcategory DE]],)</f>
        <v>Lieferantenspezifisch 
Jährliche Kosten: Lagerbewegung</v>
      </c>
      <c r="F265" s="19" t="s">
        <v>1630</v>
      </c>
      <c r="G265" s="6" t="s">
        <v>1640</v>
      </c>
      <c r="H265" s="6" t="s">
        <v>1644</v>
      </c>
      <c r="I265" s="6" t="s">
        <v>1622</v>
      </c>
      <c r="J265" s="6" t="s">
        <v>1625</v>
      </c>
      <c r="K265" s="6">
        <v>1</v>
      </c>
      <c r="L265" s="6"/>
    </row>
    <row r="266" spans="1:12" ht="38.25" hidden="1" outlineLevel="1">
      <c r="B266" s="6" t="s">
        <v>1152</v>
      </c>
      <c r="C266" s="869" t="str">
        <f>DocMAT[[#This Row],[Category EN]]&amp;IF(LEN(DocMAT[[#This Row],[Subcategory EN]])&gt;0," 
" &amp;DocMAT[[#This Row],[Subcategory EN]],)</f>
        <v>Supplier-specific 
Cost per unit: Capital commitment</v>
      </c>
      <c r="D266" s="466" t="s">
        <v>1636</v>
      </c>
      <c r="E266" s="869" t="str">
        <f>DocMAT[[#This Row],[Category DE]]&amp;IF(LEN(DocMAT[[#This Row],[Subcategory DE]])&gt;0," 
" &amp;DocMAT[[#This Row],[Subcategory DE]],)</f>
        <v>Lieferantenspezifisch 
Kosten je Einheit: Kapitalbindung</v>
      </c>
      <c r="F266" s="19" t="s">
        <v>1619</v>
      </c>
      <c r="G266" s="6" t="s">
        <v>1640</v>
      </c>
      <c r="H266" s="6" t="s">
        <v>1645</v>
      </c>
      <c r="I266" s="6" t="s">
        <v>1622</v>
      </c>
      <c r="J266" s="6" t="s">
        <v>1626</v>
      </c>
      <c r="K266" s="6">
        <v>1</v>
      </c>
      <c r="L266" s="6"/>
    </row>
    <row r="267" spans="1:12" ht="38.25" hidden="1" outlineLevel="1">
      <c r="B267" s="6" t="s">
        <v>1153</v>
      </c>
      <c r="C267" s="869" t="str">
        <f>DocMAT[[#This Row],[Category EN]]&amp;IF(LEN(DocMAT[[#This Row],[Subcategory EN]])&gt;0," 
" &amp;DocMAT[[#This Row],[Subcategory EN]],)</f>
        <v>Supplier-specific 
Costs per unit: Insurance</v>
      </c>
      <c r="D267" s="466" t="s">
        <v>1637</v>
      </c>
      <c r="E267" s="869" t="str">
        <f>DocMAT[[#This Row],[Category DE]]&amp;IF(LEN(DocMAT[[#This Row],[Subcategory DE]])&gt;0," 
" &amp;DocMAT[[#This Row],[Subcategory DE]],)</f>
        <v>Lieferantenspezifisch 
Kosten je Einheit: Versicherung</v>
      </c>
      <c r="F267" s="19" t="s">
        <v>1620</v>
      </c>
      <c r="G267" s="6" t="s">
        <v>1640</v>
      </c>
      <c r="H267" s="6" t="s">
        <v>1646</v>
      </c>
      <c r="I267" s="6" t="s">
        <v>1622</v>
      </c>
      <c r="J267" s="6" t="s">
        <v>1627</v>
      </c>
      <c r="K267" s="6">
        <v>1</v>
      </c>
      <c r="L267" s="6"/>
    </row>
    <row r="268" spans="1:12" ht="51" hidden="1" outlineLevel="1">
      <c r="B268" s="6" t="s">
        <v>1154</v>
      </c>
      <c r="C268" s="869" t="str">
        <f>DocMAT[[#This Row],[Category EN]]&amp;IF(LEN(DocMAT[[#This Row],[Subcategory EN]])&gt;0," 
" &amp;DocMAT[[#This Row],[Subcategory EN]],)</f>
        <v>Supplier-specific 
Costs per unit: Storage space costs</v>
      </c>
      <c r="D268" s="466" t="s">
        <v>1638</v>
      </c>
      <c r="E268" s="869" t="str">
        <f>DocMAT[[#This Row],[Category DE]]&amp;IF(LEN(DocMAT[[#This Row],[Subcategory DE]])&gt;0," 
" &amp;DocMAT[[#This Row],[Subcategory DE]],)</f>
        <v>Lieferantenspezifisch 
Kosten je Einheit: Lagerplatzkosten</v>
      </c>
      <c r="F268" s="19" t="s">
        <v>1631</v>
      </c>
      <c r="G268" s="6" t="s">
        <v>1640</v>
      </c>
      <c r="H268" s="6" t="s">
        <v>1647</v>
      </c>
      <c r="I268" s="6" t="s">
        <v>1622</v>
      </c>
      <c r="J268" s="6" t="s">
        <v>1628</v>
      </c>
      <c r="K268" s="6">
        <v>1</v>
      </c>
      <c r="L268" s="6"/>
    </row>
    <row r="269" spans="1:12" ht="102" hidden="1" outlineLevel="1">
      <c r="B269" s="6" t="s">
        <v>1156</v>
      </c>
      <c r="C269" s="869" t="str">
        <f>DocMAT[[#This Row],[Category EN]]&amp;IF(LEN(DocMAT[[#This Row],[Subcategory EN]])&gt;0," 
" &amp;DocMAT[[#This Row],[Subcategory EN]],)</f>
        <v>Supplier-specific 
Costs per unit: Total</v>
      </c>
      <c r="D269" s="466" t="s">
        <v>1639</v>
      </c>
      <c r="E269" s="869" t="str">
        <f>DocMAT[[#This Row],[Category DE]]&amp;IF(LEN(DocMAT[[#This Row],[Subcategory DE]])&gt;0," 
" &amp;DocMAT[[#This Row],[Subcategory DE]],)</f>
        <v>Lieferantenspezifisch 
Kosten je Einheit: Gesamt</v>
      </c>
      <c r="F269" s="19" t="s">
        <v>1616</v>
      </c>
      <c r="G269" s="6" t="s">
        <v>1640</v>
      </c>
      <c r="H269" s="6" t="s">
        <v>1648</v>
      </c>
      <c r="I269" s="6" t="s">
        <v>1622</v>
      </c>
      <c r="J269" s="6" t="s">
        <v>1629</v>
      </c>
      <c r="K269" s="6">
        <v>1</v>
      </c>
      <c r="L269" s="6"/>
    </row>
    <row r="271" spans="1:12" collapsed="1">
      <c r="A271" s="475"/>
      <c r="B271" s="476" t="s">
        <v>875</v>
      </c>
    </row>
    <row r="272" spans="1:12" hidden="1" outlineLevel="1">
      <c r="A272" s="278"/>
      <c r="B272" s="277"/>
    </row>
    <row r="273" spans="2:9" ht="30" hidden="1" customHeight="1" outlineLevel="1">
      <c r="B273" s="6" t="s">
        <v>359</v>
      </c>
      <c r="C273" s="869" t="s">
        <v>360</v>
      </c>
      <c r="D273" s="466" t="s">
        <v>361</v>
      </c>
      <c r="E273" s="869" t="s">
        <v>362</v>
      </c>
      <c r="F273" s="19" t="s">
        <v>363</v>
      </c>
      <c r="G273" s="6" t="s">
        <v>367</v>
      </c>
      <c r="H273" s="6" t="s">
        <v>366</v>
      </c>
      <c r="I273" s="6" t="s">
        <v>720</v>
      </c>
    </row>
    <row r="274" spans="2:9" hidden="1" outlineLevel="1">
      <c r="B274" s="6" t="s">
        <v>608</v>
      </c>
      <c r="C274" s="869">
        <f>DocLOC[[#This Row],[Category EN]]</f>
        <v>0</v>
      </c>
      <c r="E274" s="869">
        <f>DocLOC[[#This Row],[Category DE]]</f>
        <v>0</v>
      </c>
    </row>
    <row r="275" spans="2:9" ht="38.25" hidden="1" outlineLevel="1">
      <c r="B275" s="6" t="s">
        <v>23</v>
      </c>
      <c r="C275" s="869" t="str">
        <f>DocLOC[[#This Row],[Category EN]]</f>
        <v>Location</v>
      </c>
      <c r="D275" s="466" t="s">
        <v>1717</v>
      </c>
      <c r="E275" s="869" t="str">
        <f>DocLOC[[#This Row],[Category DE]]</f>
        <v>Standort</v>
      </c>
      <c r="F275" s="19" t="s">
        <v>1718</v>
      </c>
      <c r="G275" s="6" t="s">
        <v>624</v>
      </c>
      <c r="H275" s="6" t="s">
        <v>23</v>
      </c>
      <c r="I275" s="6">
        <v>1</v>
      </c>
    </row>
    <row r="276" spans="2:9" ht="38.25" hidden="1" outlineLevel="1">
      <c r="B276" s="6" t="s">
        <v>3258</v>
      </c>
      <c r="C276" s="869" t="str">
        <f>DocLOC[[#This Row],[Category EN]]</f>
        <v>Machine Operator_x000D_
1-shift [EUR].</v>
      </c>
      <c r="D276" s="466" t="s">
        <v>625</v>
      </c>
      <c r="E276" s="869" t="str">
        <f>DocLOC[[#This Row],[Category DE]]</f>
        <v>Maschinenbediener
1-Schicht [EUR]</v>
      </c>
      <c r="F276" s="19" t="s">
        <v>1719</v>
      </c>
      <c r="G276" s="6" t="s">
        <v>626</v>
      </c>
      <c r="H276" s="6" t="s">
        <v>627</v>
      </c>
      <c r="I276" s="6">
        <v>1</v>
      </c>
    </row>
    <row r="277" spans="2:9" ht="38.25" hidden="1" outlineLevel="1">
      <c r="B277" s="6" t="s">
        <v>3259</v>
      </c>
      <c r="C277" s="869" t="str">
        <f>DocLOC[[#This Row],[Category EN]]</f>
        <v>skilled worker_x000D_
1-shift [EUR].</v>
      </c>
      <c r="D277" s="466" t="s">
        <v>628</v>
      </c>
      <c r="E277" s="869" t="str">
        <f>DocLOC[[#This Row],[Category DE]]</f>
        <v>Facharbeiter
1-Schicht [EUR]</v>
      </c>
      <c r="F277" s="19" t="s">
        <v>1720</v>
      </c>
      <c r="G277" s="6" t="s">
        <v>629</v>
      </c>
      <c r="H277" s="6" t="s">
        <v>630</v>
      </c>
      <c r="I277" s="6">
        <v>1</v>
      </c>
    </row>
    <row r="278" spans="2:9" ht="25.5" hidden="1" outlineLevel="1">
      <c r="B278" s="6" t="s">
        <v>3260</v>
      </c>
      <c r="C278" s="869" t="str">
        <f>DocLOC[[#This Row],[Category EN]]</f>
        <v>Machine Operator_x000D_
2-shift [EUR].</v>
      </c>
      <c r="D278" s="466" t="s">
        <v>631</v>
      </c>
      <c r="E278" s="869" t="str">
        <f>DocLOC[[#This Row],[Category DE]]</f>
        <v>Maschinenbediener
2-Schicht [EUR]</v>
      </c>
      <c r="F278" s="19" t="s">
        <v>632</v>
      </c>
      <c r="G278" s="6" t="s">
        <v>633</v>
      </c>
      <c r="H278" s="6" t="s">
        <v>634</v>
      </c>
      <c r="I278" s="6">
        <v>1</v>
      </c>
    </row>
    <row r="279" spans="2:9" ht="25.5" hidden="1" outlineLevel="1">
      <c r="B279" s="6" t="s">
        <v>3261</v>
      </c>
      <c r="C279" s="869" t="str">
        <f>DocLOC[[#This Row],[Category EN]]</f>
        <v>skilled worker_x000D_
2-shift [EUR].</v>
      </c>
      <c r="D279" s="466" t="s">
        <v>635</v>
      </c>
      <c r="E279" s="869" t="str">
        <f>DocLOC[[#This Row],[Category DE]]</f>
        <v>Facharbeiter
2-Schicht [EUR]</v>
      </c>
      <c r="F279" s="19" t="s">
        <v>636</v>
      </c>
      <c r="G279" s="6" t="s">
        <v>637</v>
      </c>
      <c r="H279" s="6" t="s">
        <v>638</v>
      </c>
      <c r="I279" s="6">
        <v>1</v>
      </c>
    </row>
    <row r="280" spans="2:9" ht="25.5" hidden="1" outlineLevel="1">
      <c r="B280" s="6" t="s">
        <v>3262</v>
      </c>
      <c r="C280" s="869" t="str">
        <f>DocLOC[[#This Row],[Category EN]]</f>
        <v>Machine Operator_x000D_
3-shift [EUR].</v>
      </c>
      <c r="D280" s="466" t="s">
        <v>639</v>
      </c>
      <c r="E280" s="869" t="str">
        <f>DocLOC[[#This Row],[Category DE]]</f>
        <v>Maschinenbediener
3-Schicht [EUR]</v>
      </c>
      <c r="F280" s="19" t="s">
        <v>640</v>
      </c>
      <c r="G280" s="6" t="s">
        <v>641</v>
      </c>
      <c r="H280" s="6" t="s">
        <v>642</v>
      </c>
      <c r="I280" s="6">
        <v>1</v>
      </c>
    </row>
    <row r="281" spans="2:9" ht="25.5" hidden="1" outlineLevel="1">
      <c r="B281" s="6" t="s">
        <v>3263</v>
      </c>
      <c r="C281" s="869" t="str">
        <f>DocLOC[[#This Row],[Category EN]]</f>
        <v>skilled worker_x000D_
3-shift [EUR].</v>
      </c>
      <c r="D281" s="466" t="s">
        <v>643</v>
      </c>
      <c r="E281" s="869" t="str">
        <f>DocLOC[[#This Row],[Category DE]]</f>
        <v>Facharbeiter
3-Schicht [EUR]</v>
      </c>
      <c r="F281" s="19" t="s">
        <v>644</v>
      </c>
      <c r="G281" s="6" t="s">
        <v>645</v>
      </c>
      <c r="H281" s="6" t="s">
        <v>646</v>
      </c>
      <c r="I281" s="6">
        <v>1</v>
      </c>
    </row>
    <row r="282" spans="2:9" ht="63.75" hidden="1" outlineLevel="1">
      <c r="B282" s="6" t="s">
        <v>3264</v>
      </c>
      <c r="C282" s="869" t="str">
        <f>DocLOC[[#This Row],[Category EN]]</f>
        <v>Surcharge _x000D_
2-layer [%].</v>
      </c>
      <c r="D282" s="466" t="s">
        <v>1722</v>
      </c>
      <c r="E282" s="869" t="str">
        <f>DocLOC[[#This Row],[Category DE]]</f>
        <v>Zuschlag 
2-Schicht [%]</v>
      </c>
      <c r="F282" s="19" t="s">
        <v>1721</v>
      </c>
      <c r="G282" s="6" t="s">
        <v>647</v>
      </c>
      <c r="H282" s="6" t="s">
        <v>102</v>
      </c>
      <c r="I282" s="6">
        <v>1</v>
      </c>
    </row>
    <row r="283" spans="2:9" ht="63.75" hidden="1" outlineLevel="1">
      <c r="B283" s="6" t="s">
        <v>3265</v>
      </c>
      <c r="C283" s="869" t="str">
        <f>DocLOC[[#This Row],[Category EN]]</f>
        <v>Surcharge _x000D_
3-layer [%].</v>
      </c>
      <c r="D283" s="466" t="s">
        <v>1724</v>
      </c>
      <c r="E283" s="869" t="str">
        <f>DocLOC[[#This Row],[Category DE]]</f>
        <v>Zuschlag 
3-Schicht [%]</v>
      </c>
      <c r="F283" s="19" t="s">
        <v>1723</v>
      </c>
      <c r="G283" s="6" t="s">
        <v>648</v>
      </c>
      <c r="H283" s="6" t="s">
        <v>103</v>
      </c>
      <c r="I283" s="6">
        <v>1</v>
      </c>
    </row>
    <row r="284" spans="2:9" hidden="1" outlineLevel="1">
      <c r="B284" s="6" t="s">
        <v>578</v>
      </c>
      <c r="I284" s="6">
        <v>1</v>
      </c>
    </row>
    <row r="285" spans="2:9" ht="38.25" hidden="1" outlineLevel="1">
      <c r="B285" s="6" t="s">
        <v>90</v>
      </c>
      <c r="C285" s="869" t="str">
        <f>DocLOC[[#This Row],[Category EN]]</f>
        <v>Economic area</v>
      </c>
      <c r="D285" s="466" t="s">
        <v>1726</v>
      </c>
      <c r="E285" s="869" t="str">
        <f>DocLOC[[#This Row],[Category DE]]</f>
        <v>Wirschaftsbereich</v>
      </c>
      <c r="F285" s="19" t="s">
        <v>1725</v>
      </c>
      <c r="G285" s="6" t="s">
        <v>649</v>
      </c>
      <c r="H285" s="6" t="s">
        <v>90</v>
      </c>
      <c r="I285" s="6">
        <v>1</v>
      </c>
    </row>
    <row r="286" spans="2:9" ht="25.5" hidden="1" outlineLevel="1">
      <c r="B286" s="6" t="s">
        <v>454</v>
      </c>
      <c r="C286" s="869" t="str">
        <f>DocLOC[[#This Row],[Category EN]]</f>
        <v>Monthly rent _x000D_
[EUR/m²]</v>
      </c>
      <c r="D286" s="466" t="s">
        <v>650</v>
      </c>
      <c r="E286" s="869" t="str">
        <f>DocLOC[[#This Row],[Category DE]]</f>
        <v>Monatesmiete 
[EUR/m²]</v>
      </c>
      <c r="F286" s="19" t="s">
        <v>651</v>
      </c>
      <c r="G286" s="6" t="s">
        <v>652</v>
      </c>
      <c r="H286" s="6" t="s">
        <v>653</v>
      </c>
      <c r="I286" s="6">
        <v>1</v>
      </c>
    </row>
    <row r="287" spans="2:9" ht="25.5" hidden="1" outlineLevel="1">
      <c r="B287" s="6" t="s">
        <v>21</v>
      </c>
      <c r="C287" s="869" t="str">
        <f>DocLOC[[#This Row],[Category EN]]</f>
        <v>Energy 
[EUR/kWh]</v>
      </c>
      <c r="D287" s="466" t="s">
        <v>654</v>
      </c>
      <c r="E287" s="869" t="str">
        <f>DocLOC[[#This Row],[Category DE]]</f>
        <v>Strom 
[EUR/kWh]</v>
      </c>
      <c r="F287" s="19" t="s">
        <v>1157</v>
      </c>
      <c r="G287" s="6" t="s">
        <v>876</v>
      </c>
      <c r="H287" s="6" t="s">
        <v>104</v>
      </c>
      <c r="I287" s="6">
        <v>1</v>
      </c>
    </row>
    <row r="288" spans="2:9" ht="25.5" hidden="1" outlineLevel="1">
      <c r="B288" s="6" t="s">
        <v>587</v>
      </c>
      <c r="C288" s="869" t="str">
        <f>DocLOC[[#This Row],[Category EN]]</f>
        <v>Natural gas 
[EUR/kWh]</v>
      </c>
      <c r="D288" s="466" t="s">
        <v>1161</v>
      </c>
      <c r="E288" s="869" t="str">
        <f>DocLOC[[#This Row],[Category DE]]</f>
        <v>Erdgas 
[EUR/kWh]</v>
      </c>
      <c r="F288" s="19" t="s">
        <v>1160</v>
      </c>
      <c r="G288" s="6" t="s">
        <v>1159</v>
      </c>
      <c r="H288" s="6" t="s">
        <v>1158</v>
      </c>
      <c r="I288" s="6">
        <v>1</v>
      </c>
    </row>
    <row r="289" spans="1:9" ht="38.25" hidden="1" outlineLevel="1">
      <c r="B289" s="6" t="s">
        <v>45</v>
      </c>
      <c r="C289" s="869" t="str">
        <f>DocLOC[[#This Row],[Category EN]]</f>
        <v>Imp. Interest 
[%]</v>
      </c>
      <c r="D289" s="466" t="s">
        <v>1728</v>
      </c>
      <c r="E289" s="869" t="str">
        <f>DocLOC[[#This Row],[Category DE]]</f>
        <v>Kalk. Zins 
[%]</v>
      </c>
      <c r="F289" s="19" t="s">
        <v>1727</v>
      </c>
      <c r="G289" s="6" t="s">
        <v>1272</v>
      </c>
      <c r="H289" s="6" t="s">
        <v>105</v>
      </c>
      <c r="I289" s="6">
        <v>1</v>
      </c>
    </row>
    <row r="290" spans="1:9" ht="38.25" hidden="1" outlineLevel="1">
      <c r="B290" s="6" t="s">
        <v>24</v>
      </c>
      <c r="C290" s="869" t="str">
        <f>DocLOC[[#This Row],[Category EN]]</f>
        <v>Currency</v>
      </c>
      <c r="D290" s="466" t="s">
        <v>1601</v>
      </c>
      <c r="E290" s="869" t="str">
        <f>DocLOC[[#This Row],[Category DE]]</f>
        <v>Währung</v>
      </c>
      <c r="F290" s="19" t="s">
        <v>1600</v>
      </c>
      <c r="G290" s="6" t="s">
        <v>553</v>
      </c>
      <c r="H290" s="6" t="s">
        <v>24</v>
      </c>
      <c r="I290" s="6">
        <v>1</v>
      </c>
    </row>
    <row r="291" spans="1:9" hidden="1" outlineLevel="1">
      <c r="B291" s="6" t="s">
        <v>36</v>
      </c>
      <c r="C291" s="869">
        <f>DocLOC[[#This Row],[Category EN]]</f>
        <v>0</v>
      </c>
      <c r="E291" s="869">
        <f>DocLOC[[#This Row],[Category DE]]</f>
        <v>0</v>
      </c>
      <c r="I291" s="6">
        <v>1</v>
      </c>
    </row>
    <row r="292" spans="1:9" hidden="1" outlineLevel="1">
      <c r="B292" s="6" t="s">
        <v>36</v>
      </c>
      <c r="C292" s="869">
        <f>DocLOC[[#This Row],[Category EN]]</f>
        <v>0</v>
      </c>
      <c r="E292" s="869">
        <f>DocLOC[[#This Row],[Category DE]]</f>
        <v>0</v>
      </c>
      <c r="I292" s="6">
        <v>1</v>
      </c>
    </row>
    <row r="293" spans="1:9" hidden="1" outlineLevel="1">
      <c r="B293" s="6" t="s">
        <v>36</v>
      </c>
      <c r="C293" s="869">
        <f>DocLOC[[#This Row],[Category EN]]</f>
        <v>0</v>
      </c>
      <c r="E293" s="869">
        <f>DocLOC[[#This Row],[Category DE]]</f>
        <v>0</v>
      </c>
      <c r="I293" s="6">
        <v>1</v>
      </c>
    </row>
    <row r="294" spans="1:9" hidden="1" outlineLevel="1">
      <c r="B294" s="6" t="s">
        <v>1525</v>
      </c>
      <c r="C294" s="869">
        <f>DocLOC[[#This Row],[Category EN]]</f>
        <v>0</v>
      </c>
      <c r="E294" s="869">
        <f>DocLOC[[#This Row],[Category DE]]</f>
        <v>0</v>
      </c>
      <c r="I294" s="6">
        <v>0</v>
      </c>
    </row>
    <row r="295" spans="1:9" ht="51" hidden="1" outlineLevel="1">
      <c r="B295" s="6" t="s">
        <v>917</v>
      </c>
      <c r="C295" s="869" t="str">
        <f>DocLOC[[#This Row],[Category EN]]</f>
        <v>Data status</v>
      </c>
      <c r="D295" s="466" t="s">
        <v>1574</v>
      </c>
      <c r="E295" s="869" t="str">
        <f>DocLOC[[#This Row],[Category DE]]</f>
        <v>Datenstand</v>
      </c>
      <c r="F295" s="19" t="s">
        <v>1550</v>
      </c>
      <c r="G295" s="6" t="s">
        <v>1580</v>
      </c>
      <c r="H295" s="6" t="s">
        <v>917</v>
      </c>
      <c r="I295" s="6">
        <v>1</v>
      </c>
    </row>
    <row r="296" spans="1:9" ht="25.5" hidden="1" outlineLevel="1">
      <c r="B296" s="6" t="s">
        <v>918</v>
      </c>
      <c r="C296" s="869" t="str">
        <f>DocLOC[[#This Row],[Category EN]]</f>
        <v>Data origin</v>
      </c>
      <c r="D296" s="466" t="s">
        <v>1594</v>
      </c>
      <c r="E296" s="869" t="str">
        <f>DocLOC[[#This Row],[Category DE]]</f>
        <v>Datenherkunft</v>
      </c>
      <c r="F296" s="19" t="s">
        <v>1595</v>
      </c>
      <c r="G296" s="6" t="s">
        <v>1581</v>
      </c>
      <c r="H296" s="6" t="s">
        <v>1552</v>
      </c>
      <c r="I296" s="6">
        <v>0</v>
      </c>
    </row>
    <row r="297" spans="1:9" hidden="1" outlineLevel="1">
      <c r="B297" s="6" t="s">
        <v>916</v>
      </c>
      <c r="C297" s="869">
        <f>DocLOC[[#This Row],[Category EN]]</f>
        <v>0</v>
      </c>
      <c r="E297" s="869">
        <f>DocLOC[[#This Row],[Category DE]]</f>
        <v>0</v>
      </c>
      <c r="I297" s="6">
        <v>0</v>
      </c>
    </row>
    <row r="299" spans="1:9" collapsed="1">
      <c r="A299" s="475"/>
      <c r="B299" s="476" t="s">
        <v>856</v>
      </c>
    </row>
    <row r="300" spans="1:9" hidden="1" outlineLevel="1">
      <c r="A300" s="278"/>
      <c r="B300" s="277"/>
    </row>
    <row r="301" spans="1:9" ht="30" hidden="1" customHeight="1" outlineLevel="1">
      <c r="B301" s="6" t="s">
        <v>359</v>
      </c>
      <c r="C301" s="869" t="s">
        <v>360</v>
      </c>
      <c r="D301" s="466" t="s">
        <v>361</v>
      </c>
      <c r="E301" s="869" t="s">
        <v>362</v>
      </c>
      <c r="F301" s="19" t="s">
        <v>363</v>
      </c>
      <c r="G301" s="6" t="s">
        <v>367</v>
      </c>
      <c r="H301" s="6" t="s">
        <v>366</v>
      </c>
      <c r="I301" s="6" t="s">
        <v>720</v>
      </c>
    </row>
    <row r="302" spans="1:9" ht="38.25" hidden="1" outlineLevel="1">
      <c r="B302" s="6" t="s">
        <v>940</v>
      </c>
      <c r="C302" s="869" t="str">
        <f>IF(NOT(ISBLANK(DocInfo[[#This Row],[Body EN]])),DocInfo[[#This Row],[Category EN]],0)</f>
        <v>Part</v>
      </c>
      <c r="D302" s="466" t="s">
        <v>1504</v>
      </c>
      <c r="E302" s="869" t="str">
        <f>IF(NOT(ISBLANK(DocInfo[[#This Row],[Body DE]])),DocInfo[[#This Row],[Category DE]],0)</f>
        <v>Bauteil</v>
      </c>
      <c r="F302" s="19" t="s">
        <v>1294</v>
      </c>
      <c r="G302" s="6" t="s">
        <v>952</v>
      </c>
      <c r="H302" s="6" t="s">
        <v>940</v>
      </c>
    </row>
    <row r="303" spans="1:9" ht="25.5" hidden="1" outlineLevel="1">
      <c r="B303" s="6" t="s">
        <v>945</v>
      </c>
      <c r="C303" s="869" t="str">
        <f>IF(NOT(ISBLANK(DocInfo[[#This Row],[Body EN]])),DocInfo[[#This Row],[Category EN]],0)</f>
        <v>Shape</v>
      </c>
      <c r="D303" s="466" t="s">
        <v>1505</v>
      </c>
      <c r="E303" s="869" t="str">
        <f>IF(NOT(ISBLANK(DocInfo[[#This Row],[Body DE]])),DocInfo[[#This Row],[Category DE]],0)</f>
        <v>Form</v>
      </c>
      <c r="F303" s="19" t="s">
        <v>1283</v>
      </c>
      <c r="G303" s="6" t="s">
        <v>953</v>
      </c>
      <c r="H303" s="6" t="s">
        <v>945</v>
      </c>
      <c r="I303" s="6">
        <v>1</v>
      </c>
    </row>
    <row r="304" spans="1:9" ht="25.5" hidden="1" outlineLevel="1">
      <c r="B304" s="6" t="s">
        <v>34</v>
      </c>
      <c r="C304" s="869" t="str">
        <f>IF(NOT(ISBLANK(DocInfo[[#This Row],[Body EN]])),DocInfo[[#This Row],[Category EN]],0)</f>
        <v>Material</v>
      </c>
      <c r="D304" s="466" t="s">
        <v>1506</v>
      </c>
      <c r="E304" s="869" t="str">
        <f>IF(NOT(ISBLANK(DocInfo[[#This Row],[Body DE]])),DocInfo[[#This Row],[Category DE]],0)</f>
        <v>Material</v>
      </c>
      <c r="F304" s="19" t="s">
        <v>1285</v>
      </c>
      <c r="G304" s="6" t="s">
        <v>34</v>
      </c>
      <c r="H304" s="6" t="s">
        <v>34</v>
      </c>
      <c r="I304" s="6">
        <v>1</v>
      </c>
    </row>
    <row r="305" spans="1:9" ht="51" hidden="1" outlineLevel="1">
      <c r="B305" s="6" t="s">
        <v>135</v>
      </c>
      <c r="C305" s="869" t="str">
        <f>IF(NOT(ISBLANK(DocInfo[[#This Row],[Body EN]])),DocInfo[[#This Row],[Category EN]],0)</f>
        <v>Density 
in kg/dm³</v>
      </c>
      <c r="D305" s="466" t="s">
        <v>1507</v>
      </c>
      <c r="E305" s="869" t="str">
        <f>IF(NOT(ISBLANK(DocInfo[[#This Row],[Body DE]])),DocInfo[[#This Row],[Category DE]],0)</f>
        <v>Dichte 
in kg/dm³</v>
      </c>
      <c r="F305" s="19" t="s">
        <v>1284</v>
      </c>
      <c r="G305" s="6" t="s">
        <v>954</v>
      </c>
      <c r="H305" s="6" t="s">
        <v>941</v>
      </c>
      <c r="I305" s="6">
        <v>1</v>
      </c>
    </row>
    <row r="306" spans="1:9" hidden="1" outlineLevel="1">
      <c r="B306" s="6" t="s">
        <v>38</v>
      </c>
      <c r="C306" s="869">
        <f>IF(NOT(ISBLANK(DocInfo[[#This Row],[Body EN]])),DocInfo[[#This Row],[Category EN]],0)</f>
        <v>0</v>
      </c>
      <c r="E306" s="869">
        <f>IF(NOT(ISBLANK(DocInfo[[#This Row],[Body DE]])),DocInfo[[#This Row],[Category DE]],0)</f>
        <v>0</v>
      </c>
      <c r="G306" s="6" t="s">
        <v>38</v>
      </c>
      <c r="H306" s="6" t="s">
        <v>38</v>
      </c>
      <c r="I306" s="6">
        <v>1</v>
      </c>
    </row>
    <row r="307" spans="1:9" hidden="1" outlineLevel="1">
      <c r="B307" s="6" t="s">
        <v>121</v>
      </c>
      <c r="C307" s="869">
        <f>IF(NOT(ISBLANK(DocInfo[[#This Row],[Body EN]])),DocInfo[[#This Row],[Category EN]],0)</f>
        <v>0</v>
      </c>
      <c r="E307" s="869">
        <f>IF(NOT(ISBLANK(DocInfo[[#This Row],[Body DE]])),DocInfo[[#This Row],[Category DE]],0)</f>
        <v>0</v>
      </c>
      <c r="G307" s="6" t="s">
        <v>121</v>
      </c>
      <c r="H307" s="6" t="s">
        <v>121</v>
      </c>
      <c r="I307" s="6">
        <v>1</v>
      </c>
    </row>
    <row r="308" spans="1:9" hidden="1" outlineLevel="1">
      <c r="B308" s="6" t="s">
        <v>122</v>
      </c>
      <c r="C308" s="869">
        <f>IF(NOT(ISBLANK(DocInfo[[#This Row],[Body EN]])),DocInfo[[#This Row],[Category EN]],0)</f>
        <v>0</v>
      </c>
      <c r="E308" s="869">
        <f>IF(NOT(ISBLANK(DocInfo[[#This Row],[Body DE]])),DocInfo[[#This Row],[Category DE]],0)</f>
        <v>0</v>
      </c>
      <c r="G308" s="6" t="s">
        <v>122</v>
      </c>
      <c r="H308" s="6" t="s">
        <v>122</v>
      </c>
      <c r="I308" s="6">
        <v>1</v>
      </c>
    </row>
    <row r="309" spans="1:9" hidden="1" outlineLevel="1">
      <c r="B309" s="6" t="s">
        <v>183</v>
      </c>
      <c r="C309" s="869">
        <f>IF(NOT(ISBLANK(DocInfo[[#This Row],[Body EN]])),DocInfo[[#This Row],[Category EN]],0)</f>
        <v>0</v>
      </c>
      <c r="E309" s="869">
        <f>IF(NOT(ISBLANK(DocInfo[[#This Row],[Body DE]])),DocInfo[[#This Row],[Category DE]],0)</f>
        <v>0</v>
      </c>
      <c r="G309" s="6" t="s">
        <v>183</v>
      </c>
      <c r="H309" s="6" t="s">
        <v>183</v>
      </c>
      <c r="I309" s="6">
        <v>1</v>
      </c>
    </row>
    <row r="310" spans="1:9" hidden="1" outlineLevel="1">
      <c r="B310" s="6" t="s">
        <v>947</v>
      </c>
      <c r="C310" s="869">
        <f>IF(NOT(ISBLANK(DocInfo[[#This Row],[Body EN]])),DocInfo[[#This Row],[Category EN]],0)</f>
        <v>0</v>
      </c>
      <c r="E310" s="869">
        <f>IF(NOT(ISBLANK(DocInfo[[#This Row],[Body DE]])),DocInfo[[#This Row],[Category DE]],0)</f>
        <v>0</v>
      </c>
      <c r="G310" s="6" t="s">
        <v>955</v>
      </c>
      <c r="H310" s="6" t="s">
        <v>947</v>
      </c>
      <c r="I310" s="6">
        <v>1</v>
      </c>
    </row>
    <row r="311" spans="1:9" hidden="1" outlineLevel="1">
      <c r="B311" s="6" t="s">
        <v>948</v>
      </c>
      <c r="C311" s="869">
        <f>IF(NOT(ISBLANK(DocInfo[[#This Row],[Body EN]])),DocInfo[[#This Row],[Category EN]],0)</f>
        <v>0</v>
      </c>
      <c r="E311" s="869">
        <f>IF(NOT(ISBLANK(DocInfo[[#This Row],[Body DE]])),DocInfo[[#This Row],[Category DE]],0)</f>
        <v>0</v>
      </c>
      <c r="G311" s="6" t="s">
        <v>956</v>
      </c>
      <c r="H311" s="6" t="s">
        <v>948</v>
      </c>
      <c r="I311" s="6">
        <v>1</v>
      </c>
    </row>
    <row r="312" spans="1:9" ht="76.5" hidden="1" outlineLevel="1">
      <c r="B312" s="6" t="s">
        <v>439</v>
      </c>
      <c r="C312" s="869" t="str">
        <f>IF(NOT(ISBLANK(DocInfo[[#This Row],[Body EN]])),DocInfo[[#This Row],[Category EN]],0)</f>
        <v>Correction factor</v>
      </c>
      <c r="D312" s="466" t="s">
        <v>1513</v>
      </c>
      <c r="E312" s="869" t="str">
        <f>IF(NOT(ISBLANK(DocInfo[[#This Row],[Body DE]])),DocInfo[[#This Row],[Category DE]],0)</f>
        <v>Korrekturfaktor</v>
      </c>
      <c r="F312" s="19" t="s">
        <v>1295</v>
      </c>
      <c r="G312" s="6" t="s">
        <v>957</v>
      </c>
      <c r="H312" s="6" t="s">
        <v>1286</v>
      </c>
      <c r="I312" s="6">
        <v>1</v>
      </c>
    </row>
    <row r="313" spans="1:9" hidden="1" outlineLevel="1">
      <c r="B313" s="6" t="s">
        <v>1281</v>
      </c>
      <c r="C313" s="869" t="str">
        <f>IF(NOT(ISBLANK(DocInfo[[#This Row],[Body EN]])),DocInfo[[#This Row],[Category EN]],0)</f>
        <v>Surface area</v>
      </c>
      <c r="D313" s="466" t="s">
        <v>1508</v>
      </c>
      <c r="E313" s="869" t="str">
        <f>IF(NOT(ISBLANK(DocInfo[[#This Row],[Body DE]])),DocInfo[[#This Row],[Category DE]],0)</f>
        <v>Oberfläche</v>
      </c>
      <c r="F313" s="19" t="s">
        <v>1299</v>
      </c>
      <c r="G313" s="6" t="s">
        <v>1289</v>
      </c>
      <c r="H313" s="6" t="s">
        <v>1281</v>
      </c>
      <c r="I313" s="6">
        <v>1</v>
      </c>
    </row>
    <row r="314" spans="1:9" hidden="1" outlineLevel="1">
      <c r="B314" s="6" t="s">
        <v>1282</v>
      </c>
      <c r="C314" s="869" t="str">
        <f>IF(NOT(ISBLANK(DocInfo[[#This Row],[Body EN]])),DocInfo[[#This Row],[Category EN]],0)</f>
        <v>Projected area</v>
      </c>
      <c r="D314" s="466" t="s">
        <v>1509</v>
      </c>
      <c r="E314" s="869" t="str">
        <f>IF(NOT(ISBLANK(DocInfo[[#This Row],[Body DE]])),DocInfo[[#This Row],[Category DE]],0)</f>
        <v>Projizierte Fläche</v>
      </c>
      <c r="F314" s="19" t="s">
        <v>1300</v>
      </c>
      <c r="G314" s="6" t="s">
        <v>1287</v>
      </c>
      <c r="H314" s="6" t="s">
        <v>1288</v>
      </c>
      <c r="I314" s="6">
        <v>1</v>
      </c>
    </row>
    <row r="315" spans="1:9" hidden="1" outlineLevel="1">
      <c r="B315" s="6" t="s">
        <v>949</v>
      </c>
      <c r="C315" s="869" t="str">
        <f>IF(NOT(ISBLANK(DocInfo[[#This Row],[Body EN]])),DocInfo[[#This Row],[Category EN]],0)</f>
        <v>Volume</v>
      </c>
      <c r="D315" s="466" t="s">
        <v>1510</v>
      </c>
      <c r="E315" s="869" t="str">
        <f>IF(NOT(ISBLANK(DocInfo[[#This Row],[Body DE]])),DocInfo[[#This Row],[Category DE]],0)</f>
        <v>Volumen</v>
      </c>
      <c r="F315" s="19" t="s">
        <v>1296</v>
      </c>
      <c r="G315" s="6" t="s">
        <v>1290</v>
      </c>
      <c r="H315" s="6" t="s">
        <v>949</v>
      </c>
      <c r="I315" s="6">
        <v>1</v>
      </c>
    </row>
    <row r="316" spans="1:9" hidden="1" outlineLevel="1">
      <c r="B316" s="6" t="s">
        <v>950</v>
      </c>
      <c r="C316" s="869" t="str">
        <f>IF(NOT(ISBLANK(DocInfo[[#This Row],[Body EN]])),DocInfo[[#This Row],[Category EN]],0)</f>
        <v>Mass in g</v>
      </c>
      <c r="D316" s="466" t="s">
        <v>1511</v>
      </c>
      <c r="E316" s="869" t="str">
        <f>IF(NOT(ISBLANK(DocInfo[[#This Row],[Body DE]])),DocInfo[[#This Row],[Category DE]],0)</f>
        <v>Masse in g</v>
      </c>
      <c r="F316" s="19" t="s">
        <v>1297</v>
      </c>
      <c r="G316" s="6" t="s">
        <v>1291</v>
      </c>
      <c r="H316" s="6" t="s">
        <v>950</v>
      </c>
      <c r="I316" s="6">
        <v>1</v>
      </c>
    </row>
    <row r="317" spans="1:9" hidden="1" outlineLevel="1">
      <c r="B317" s="6" t="s">
        <v>951</v>
      </c>
      <c r="C317" s="869" t="str">
        <f>IF(NOT(ISBLANK(DocInfo[[#This Row],[Body EN]])),DocInfo[[#This Row],[Category EN]],0)</f>
        <v>Mass in kg</v>
      </c>
      <c r="D317" s="466" t="s">
        <v>1512</v>
      </c>
      <c r="E317" s="869" t="str">
        <f>IF(NOT(ISBLANK(DocInfo[[#This Row],[Body DE]])),DocInfo[[#This Row],[Category DE]],0)</f>
        <v>Masse in kg</v>
      </c>
      <c r="F317" s="19" t="s">
        <v>1298</v>
      </c>
      <c r="G317" s="6" t="s">
        <v>1292</v>
      </c>
      <c r="H317" s="6" t="s">
        <v>1293</v>
      </c>
      <c r="I317" s="6">
        <v>1</v>
      </c>
    </row>
    <row r="318" spans="1:9" hidden="1" outlineLevel="1">
      <c r="B318" s="6" t="s">
        <v>170</v>
      </c>
      <c r="C318" s="869">
        <f>IF(NOT(ISBLANK(DocInfo[[#This Row],[Body EN]])),DocInfo[[#This Row],[Category EN]],0)</f>
        <v>0</v>
      </c>
      <c r="E318" s="869">
        <f>IF(NOT(ISBLANK(DocInfo[[#This Row],[Body DE]])),DocInfo[[#This Row],[Category DE]],0)</f>
        <v>0</v>
      </c>
      <c r="G318" s="6" t="s">
        <v>171</v>
      </c>
      <c r="H318" s="6" t="s">
        <v>170</v>
      </c>
      <c r="I318" s="6">
        <v>1</v>
      </c>
    </row>
    <row r="320" spans="1:9" collapsed="1">
      <c r="A320" s="475"/>
      <c r="B320" s="476" t="s">
        <v>1918</v>
      </c>
    </row>
    <row r="321" spans="1:12" hidden="1" outlineLevel="1">
      <c r="A321" s="278"/>
      <c r="B321" s="277"/>
    </row>
    <row r="322" spans="1:12" ht="30" hidden="1" customHeight="1" outlineLevel="1">
      <c r="B322" s="6" t="s">
        <v>559</v>
      </c>
      <c r="C322" s="869" t="s">
        <v>360</v>
      </c>
      <c r="D322" s="466" t="s">
        <v>361</v>
      </c>
      <c r="E322" s="869" t="s">
        <v>362</v>
      </c>
      <c r="F322" s="19" t="s">
        <v>363</v>
      </c>
      <c r="G322" s="6" t="s">
        <v>367</v>
      </c>
      <c r="H322" s="6" t="s">
        <v>368</v>
      </c>
      <c r="I322" s="6" t="s">
        <v>366</v>
      </c>
      <c r="J322" s="6" t="s">
        <v>369</v>
      </c>
      <c r="K322" s="6" t="s">
        <v>720</v>
      </c>
      <c r="L322" s="6"/>
    </row>
    <row r="323" spans="1:12" ht="25.5" hidden="1" outlineLevel="1">
      <c r="B323" s="6" t="s">
        <v>148</v>
      </c>
      <c r="C323" s="869" t="str">
        <f>DocIndirectCosts[[#This Row],[Category EN]]&amp;IF(LEN(DocIndirectCosts[[#This Row],[Subcategory EN]])&gt;0," 
" &amp;DocIndirectCosts[[#This Row],[Subcategory EN]],)</f>
        <v>Indirect material class 
Description</v>
      </c>
      <c r="D323" s="466" t="s">
        <v>2217</v>
      </c>
      <c r="E323" s="869" t="str">
        <f>DocIndirectCosts[[#This Row],[Category DE]]&amp;IF(LEN(DocIndirectCosts[[#This Row],[Subcategory DE]])&gt;0," 
" &amp;DocIndirectCosts[[#This Row],[Subcategory DE]],)</f>
        <v>MGK Materialklasse 
Bezeichnung</v>
      </c>
      <c r="F323" s="19" t="s">
        <v>2199</v>
      </c>
      <c r="G323" s="6" t="s">
        <v>2167</v>
      </c>
      <c r="H323" s="6" t="s">
        <v>69</v>
      </c>
      <c r="I323" s="6" t="s">
        <v>2169</v>
      </c>
      <c r="J323" s="6" t="s">
        <v>2</v>
      </c>
      <c r="K323" s="6">
        <v>1</v>
      </c>
      <c r="L323" s="6"/>
    </row>
    <row r="324" spans="1:12" ht="25.5" hidden="1" outlineLevel="1">
      <c r="B324" s="6" t="s">
        <v>50</v>
      </c>
      <c r="C324" s="869" t="str">
        <f>DocIndirectCosts[[#This Row],[Category EN]]&amp;IF(LEN(DocIndirectCosts[[#This Row],[Subcategory EN]])&gt;0," 
" &amp;DocIndirectCosts[[#This Row],[Subcategory EN]],)</f>
        <v>Indirect material class 
Description DE</v>
      </c>
      <c r="D324" s="466" t="s">
        <v>2218</v>
      </c>
      <c r="E324" s="869" t="str">
        <f>DocIndirectCosts[[#This Row],[Category DE]]&amp;IF(LEN(DocIndirectCosts[[#This Row],[Subcategory DE]])&gt;0," 
" &amp;DocIndirectCosts[[#This Row],[Subcategory DE]],)</f>
        <v>MGK Materialklasse 
Bezeichnung DE</v>
      </c>
      <c r="F324" s="19" t="s">
        <v>2200</v>
      </c>
      <c r="G324" s="6" t="s">
        <v>2167</v>
      </c>
      <c r="H324" s="6" t="s">
        <v>1206</v>
      </c>
      <c r="I324" s="6" t="s">
        <v>2169</v>
      </c>
      <c r="J324" s="6" t="s">
        <v>1201</v>
      </c>
      <c r="K324" s="6">
        <v>1</v>
      </c>
      <c r="L324" s="6"/>
    </row>
    <row r="325" spans="1:12" ht="25.5" hidden="1" outlineLevel="1">
      <c r="B325" s="6" t="s">
        <v>54</v>
      </c>
      <c r="C325" s="869" t="str">
        <f>DocIndirectCosts[[#This Row],[Category EN]]&amp;IF(LEN(DocIndirectCosts[[#This Row],[Subcategory EN]])&gt;0," 
" &amp;DocIndirectCosts[[#This Row],[Subcategory EN]],)</f>
        <v>Indirect material class 
Description EN</v>
      </c>
      <c r="D325" s="466" t="s">
        <v>2219</v>
      </c>
      <c r="E325" s="869" t="str">
        <f>DocIndirectCosts[[#This Row],[Category DE]]&amp;IF(LEN(DocIndirectCosts[[#This Row],[Subcategory DE]])&gt;0," 
" &amp;DocIndirectCosts[[#This Row],[Subcategory DE]],)</f>
        <v>MGK Materialklasse 
Bezeichnung EN</v>
      </c>
      <c r="F325" s="19" t="s">
        <v>2201</v>
      </c>
      <c r="G325" s="6" t="s">
        <v>2167</v>
      </c>
      <c r="H325" s="6" t="s">
        <v>1207</v>
      </c>
      <c r="I325" s="6" t="s">
        <v>2169</v>
      </c>
      <c r="J325" s="6" t="s">
        <v>1198</v>
      </c>
      <c r="K325" s="6">
        <v>1</v>
      </c>
      <c r="L325" s="6"/>
    </row>
    <row r="326" spans="1:12" ht="89.25" hidden="1" outlineLevel="1">
      <c r="B326" s="6" t="s">
        <v>988</v>
      </c>
      <c r="C326" s="869" t="str">
        <f>DocIndirectCosts[[#This Row],[Category EN]]&amp;IF(LEN(DocIndirectCosts[[#This Row],[Subcategory EN]])&gt;0," 
" &amp;DocIndirectCosts[[#This Row],[Subcategory EN]],)</f>
        <v>Indirect material class 
Order effort</v>
      </c>
      <c r="D326" s="466" t="s">
        <v>1665</v>
      </c>
      <c r="E326" s="869" t="str">
        <f>DocIndirectCosts[[#This Row],[Category DE]]&amp;IF(LEN(DocIndirectCosts[[#This Row],[Subcategory DE]])&gt;0," 
" &amp;DocIndirectCosts[[#This Row],[Subcategory DE]],)</f>
        <v>MGK Materialklasse 
Bestellaufwand</v>
      </c>
      <c r="F326" s="19" t="s">
        <v>1661</v>
      </c>
      <c r="G326" s="6" t="s">
        <v>2167</v>
      </c>
      <c r="H326" s="6" t="s">
        <v>1169</v>
      </c>
      <c r="I326" s="6" t="s">
        <v>2169</v>
      </c>
      <c r="J326" s="6" t="s">
        <v>988</v>
      </c>
      <c r="K326" s="6">
        <v>1</v>
      </c>
      <c r="L326" s="6"/>
    </row>
    <row r="327" spans="1:12" ht="52.5" hidden="1" customHeight="1" outlineLevel="1">
      <c r="B327" s="6" t="s">
        <v>989</v>
      </c>
      <c r="C327" s="869" t="str">
        <f>DocIndirectCosts[[#This Row],[Category EN]]&amp;IF(LEN(DocIndirectCosts[[#This Row],[Subcategory EN]])&gt;0," 
" &amp;DocIndirectCosts[[#This Row],[Subcategory EN]],)</f>
        <v>Indirect material class 
Storage type</v>
      </c>
      <c r="D327" s="466" t="s">
        <v>1666</v>
      </c>
      <c r="E327" s="869" t="str">
        <f>DocIndirectCosts[[#This Row],[Category DE]]&amp;IF(LEN(DocIndirectCosts[[#This Row],[Subcategory DE]])&gt;0," 
" &amp;DocIndirectCosts[[#This Row],[Subcategory DE]],)</f>
        <v>MGK Materialklasse 
Lagerart</v>
      </c>
      <c r="F327" s="19" t="s">
        <v>1662</v>
      </c>
      <c r="G327" s="6" t="s">
        <v>2167</v>
      </c>
      <c r="H327" s="6" t="s">
        <v>1192</v>
      </c>
      <c r="I327" s="6" t="s">
        <v>2169</v>
      </c>
      <c r="J327" s="6" t="s">
        <v>989</v>
      </c>
      <c r="K327" s="6">
        <v>1</v>
      </c>
      <c r="L327" s="6"/>
    </row>
    <row r="328" spans="1:12" ht="38.25" hidden="1" outlineLevel="1">
      <c r="B328" s="6" t="s">
        <v>1045</v>
      </c>
      <c r="C328" s="869" t="str">
        <f>DocIndirectCosts[[#This Row],[Category EN]]&amp;IF(LEN(DocIndirectCosts[[#This Row],[Subcategory EN]])&gt;0," 
" &amp;DocIndirectCosts[[#This Row],[Subcategory EN]],)</f>
        <v>Indirect material class 
Handling effort</v>
      </c>
      <c r="D328" s="466" t="s">
        <v>1667</v>
      </c>
      <c r="E328" s="869" t="str">
        <f>DocIndirectCosts[[#This Row],[Category DE]]&amp;IF(LEN(DocIndirectCosts[[#This Row],[Subcategory DE]])&gt;0," 
" &amp;DocIndirectCosts[[#This Row],[Subcategory DE]],)</f>
        <v>MGK Materialklasse 
Handlingsaufwand</v>
      </c>
      <c r="F328" s="19" t="s">
        <v>1917</v>
      </c>
      <c r="G328" s="6" t="s">
        <v>2167</v>
      </c>
      <c r="H328" s="6" t="s">
        <v>1170</v>
      </c>
      <c r="I328" s="6" t="s">
        <v>2169</v>
      </c>
      <c r="J328" s="6" t="s">
        <v>1068</v>
      </c>
      <c r="K328" s="6">
        <v>1</v>
      </c>
      <c r="L328" s="6"/>
    </row>
    <row r="329" spans="1:12" ht="38.25" hidden="1" outlineLevel="1">
      <c r="B329" s="6" t="s">
        <v>990</v>
      </c>
      <c r="C329" s="869" t="str">
        <f>DocIndirectCosts[[#This Row],[Category EN]]&amp;IF(LEN(DocIndirectCosts[[#This Row],[Subcategory EN]])&gt;0," 
" &amp;DocIndirectCosts[[#This Row],[Subcategory EN]],)</f>
        <v>Indirect material class 
Inspection effort</v>
      </c>
      <c r="D329" s="466" t="s">
        <v>1668</v>
      </c>
      <c r="E329" s="869" t="str">
        <f>DocIndirectCosts[[#This Row],[Category DE]]&amp;IF(LEN(DocIndirectCosts[[#This Row],[Subcategory DE]])&gt;0," 
" &amp;DocIndirectCosts[[#This Row],[Subcategory DE]],)</f>
        <v>MGK Materialklasse 
Prüfaufwand</v>
      </c>
      <c r="F329" s="19" t="s">
        <v>1660</v>
      </c>
      <c r="G329" s="6" t="s">
        <v>2167</v>
      </c>
      <c r="H329" s="6" t="s">
        <v>1171</v>
      </c>
      <c r="I329" s="6" t="s">
        <v>2169</v>
      </c>
      <c r="J329" s="6" t="s">
        <v>990</v>
      </c>
      <c r="K329" s="6">
        <v>1</v>
      </c>
      <c r="L329" s="6"/>
    </row>
    <row r="330" spans="1:12" ht="51" hidden="1" outlineLevel="1">
      <c r="B330" s="6" t="s">
        <v>1013</v>
      </c>
      <c r="C330" s="869" t="str">
        <f>DocIndirectCosts[[#This Row],[Category EN]]&amp;IF(LEN(DocIndirectCosts[[#This Row],[Subcategory EN]])&gt;0," 
" &amp;DocIndirectCosts[[#This Row],[Subcategory EN]],)</f>
        <v>Indirect material class 
Specification</v>
      </c>
      <c r="D330" s="466" t="s">
        <v>1669</v>
      </c>
      <c r="E330" s="869" t="str">
        <f>DocIndirectCosts[[#This Row],[Category DE]]&amp;IF(LEN(DocIndirectCosts[[#This Row],[Subcategory DE]])&gt;0," 
" &amp;DocIndirectCosts[[#This Row],[Subcategory DE]],)</f>
        <v>MGK Materialklasse 
Spezifiaktion</v>
      </c>
      <c r="F330" s="19" t="s">
        <v>1659</v>
      </c>
      <c r="G330" s="6" t="s">
        <v>2167</v>
      </c>
      <c r="H330" s="6" t="s">
        <v>1172</v>
      </c>
      <c r="I330" s="6" t="s">
        <v>2169</v>
      </c>
      <c r="J330" s="6" t="s">
        <v>1015</v>
      </c>
      <c r="K330" s="6">
        <v>1</v>
      </c>
      <c r="L330" s="6"/>
    </row>
    <row r="331" spans="1:12" ht="51" hidden="1" outlineLevel="1">
      <c r="B331" s="6" t="s">
        <v>2186</v>
      </c>
      <c r="C331" s="869" t="str">
        <f>DocIndirectCosts[[#This Row],[Category EN]]&amp;IF(LEN(DocIndirectCosts[[#This Row],[Subcategory EN]])&gt;0," 
" &amp;DocIndirectCosts[[#This Row],[Subcategory EN]],)</f>
        <v>Indirect material class 
Ordering
cycle</v>
      </c>
      <c r="D331" s="466" t="s">
        <v>2224</v>
      </c>
      <c r="E331" s="869" t="str">
        <f>DocIndirectCosts[[#This Row],[Category DE]]&amp;IF(LEN(DocIndirectCosts[[#This Row],[Subcategory DE]])&gt;0," 
" &amp;DocIndirectCosts[[#This Row],[Subcategory DE]],)</f>
        <v>MGK Materialklasse 
Bestellzyklus</v>
      </c>
      <c r="F331" s="19" t="s">
        <v>2223</v>
      </c>
      <c r="G331" s="6" t="s">
        <v>2167</v>
      </c>
      <c r="H331" s="6" t="s">
        <v>2222</v>
      </c>
      <c r="I331" s="6" t="s">
        <v>2169</v>
      </c>
      <c r="J331" s="6" t="s">
        <v>2186</v>
      </c>
      <c r="K331" s="6"/>
      <c r="L331" s="6"/>
    </row>
    <row r="332" spans="1:12" ht="76.5" hidden="1" outlineLevel="1">
      <c r="B332" s="6" t="s">
        <v>1018</v>
      </c>
      <c r="C332" s="869" t="str">
        <f>DocIndirectCosts[[#This Row],[Category EN]]&amp;IF(LEN(DocIndirectCosts[[#This Row],[Subcategory EN]])&gt;0," 
" &amp;DocIndirectCosts[[#This Row],[Subcategory EN]],)</f>
        <v>Indirect material class 
Stock range_x000D_
in weeks</v>
      </c>
      <c r="D332" s="466" t="s">
        <v>1670</v>
      </c>
      <c r="E332" s="869" t="str">
        <f>DocIndirectCosts[[#This Row],[Category DE]]&amp;IF(LEN(DocIndirectCosts[[#This Row],[Subcategory DE]])&gt;0," 
" &amp;DocIndirectCosts[[#This Row],[Subcategory DE]],)</f>
        <v>MGK Materialklasse 
Lagerreichweite in Wochen</v>
      </c>
      <c r="F332" s="19" t="s">
        <v>2225</v>
      </c>
      <c r="G332" s="6" t="s">
        <v>2167</v>
      </c>
      <c r="H332" s="6" t="s">
        <v>1173</v>
      </c>
      <c r="I332" s="6" t="s">
        <v>2169</v>
      </c>
      <c r="J332" s="6" t="s">
        <v>1211</v>
      </c>
      <c r="K332" s="6">
        <v>1</v>
      </c>
      <c r="L332" s="6"/>
    </row>
    <row r="333" spans="1:12" ht="89.25" hidden="1" outlineLevel="1">
      <c r="B333" s="6" t="s">
        <v>1528</v>
      </c>
      <c r="C333" s="869" t="str">
        <f>DocIndirectCosts[[#This Row],[Category EN]]&amp;IF(LEN(DocIndirectCosts[[#This Row],[Subcategory EN]])&gt;0," 
" &amp;DocIndirectCosts[[#This Row],[Subcategory EN]],)</f>
        <v>Indirect material class 
Quantity per storage unit [pcs.]</v>
      </c>
      <c r="D333" s="466" t="s">
        <v>1671</v>
      </c>
      <c r="E333" s="869" t="str">
        <f>DocIndirectCosts[[#This Row],[Category DE]]&amp;IF(LEN(DocIndirectCosts[[#This Row],[Subcategory DE]])&gt;0," 
" &amp;DocIndirectCosts[[#This Row],[Subcategory DE]],)</f>
        <v>MGK Materialklasse 
Menge je Lagereinheit [Stk.]</v>
      </c>
      <c r="F333" s="19" t="s">
        <v>1663</v>
      </c>
      <c r="G333" s="6" t="s">
        <v>2167</v>
      </c>
      <c r="H333" s="6" t="str">
        <f>"Quantity per storage unit ["&amp;"pcs."&amp;"]"</f>
        <v>Quantity per storage unit [pcs.]</v>
      </c>
      <c r="I333" s="6" t="s">
        <v>2169</v>
      </c>
      <c r="J333" s="6" t="str">
        <f>"Menge je Lagereinheit ["&amp;DocIndirectCosts[[#This Row],[Range]]&amp;"]"</f>
        <v>Menge je Lagereinheit [Stk.]</v>
      </c>
      <c r="K333" s="6">
        <v>1</v>
      </c>
      <c r="L333" s="6"/>
    </row>
    <row r="334" spans="1:12" ht="51" hidden="1" outlineLevel="1">
      <c r="B334" s="6" t="s">
        <v>1238</v>
      </c>
      <c r="C334" s="869" t="str">
        <f>DocIndirectCosts[[#This Row],[Category EN]]&amp;IF(LEN(DocIndirectCosts[[#This Row],[Subcategory EN]])&gt;0," 
" &amp;DocIndirectCosts[[#This Row],[Subcategory EN]],)</f>
        <v>Indirect material class 
Quantity per storage unit [kg]</v>
      </c>
      <c r="D334" s="466" t="str">
        <f>"Quantity of the material in "&amp;DocIndirectCosts[[#This Row],[Range]]&amp;" that can be grouped into one storage unit.
If this cell is empty, the corresponding unit is not provided for materials of this group by default, but can be added if required."</f>
        <v>Quantity of the material in kg that can be grouped into one storage unit.
If this cell is empty, the corresponding unit is not provided for materials of this group by default, but can be added if required.</v>
      </c>
      <c r="E334" s="869" t="str">
        <f>DocIndirectCosts[[#This Row],[Category DE]]&amp;IF(LEN(DocIndirectCosts[[#This Row],[Subcategory DE]])&gt;0," 
" &amp;DocIndirectCosts[[#This Row],[Subcategory DE]],)</f>
        <v>MGK Materialklasse 
Menge je Lagereinheit [kg]</v>
      </c>
      <c r="F334"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kg, die sich zu einer Lagereinheit zusammenfassen lässt.
Ist diese Zelle leer, ist die entsprechende Einheit für Materialien dieser Gruppe standardmäßig nicht vorgesehen, kann aber bei Bedarf ergänzt werden.</v>
      </c>
      <c r="G334" s="6" t="s">
        <v>2167</v>
      </c>
      <c r="H334" s="6" t="str">
        <f>"Quantity per storage unit ["&amp;DocIndirectCosts[[#This Row],[Range]]&amp;"]"</f>
        <v>Quantity per storage unit [kg]</v>
      </c>
      <c r="I334" s="6" t="s">
        <v>2169</v>
      </c>
      <c r="J334" s="6" t="str">
        <f>"Menge je Lagereinheit ["&amp;DocIndirectCosts[[#This Row],[Range]]&amp;"]"</f>
        <v>Menge je Lagereinheit [kg]</v>
      </c>
      <c r="K334" s="6">
        <v>1</v>
      </c>
      <c r="L334" s="6"/>
    </row>
    <row r="335" spans="1:12" ht="51" hidden="1" outlineLevel="1">
      <c r="B335" s="6" t="s">
        <v>1266</v>
      </c>
      <c r="C335" s="869" t="str">
        <f>DocIndirectCosts[[#This Row],[Category EN]]&amp;IF(LEN(DocIndirectCosts[[#This Row],[Subcategory EN]])&gt;0," 
" &amp;DocIndirectCosts[[#This Row],[Subcategory EN]],)</f>
        <v>Indirect material class 
Quantity per storage unit [l]</v>
      </c>
      <c r="D335" s="466" t="str">
        <f>"Quantity of the material in "&amp;DocIndirectCosts[[#This Row],[Range]]&amp;" that can be grouped into one storage unit.
If this cell is empty, the corresponding unit is not provided for materials of this group by default, but can be added if required."</f>
        <v>Quantity of the material in l that can be grouped into one storage unit.
If this cell is empty, the corresponding unit is not provided for materials of this group by default, but can be added if required.</v>
      </c>
      <c r="E335" s="869" t="str">
        <f>DocIndirectCosts[[#This Row],[Category DE]]&amp;IF(LEN(DocIndirectCosts[[#This Row],[Subcategory DE]])&gt;0," 
" &amp;DocIndirectCosts[[#This Row],[Subcategory DE]],)</f>
        <v>MGK Materialklasse 
Menge je Lagereinheit [l]</v>
      </c>
      <c r="F335"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l, die sich zu einer Lagereinheit zusammenfassen lässt.
Ist diese Zelle leer, ist die entsprechende Einheit für Materialien dieser Gruppe standardmäßig nicht vorgesehen, kann aber bei Bedarf ergänzt werden.</v>
      </c>
      <c r="G335" s="6" t="s">
        <v>2167</v>
      </c>
      <c r="H335" s="6" t="str">
        <f>"Quantity per storage unit ["&amp;DocIndirectCosts[[#This Row],[Range]]&amp;"]"</f>
        <v>Quantity per storage unit [l]</v>
      </c>
      <c r="I335" s="6" t="s">
        <v>2169</v>
      </c>
      <c r="J335" s="6" t="str">
        <f>"Menge je Lagereinheit ["&amp;DocIndirectCosts[[#This Row],[Range]]&amp;"]"</f>
        <v>Menge je Lagereinheit [l]</v>
      </c>
      <c r="K335" s="6">
        <v>1</v>
      </c>
      <c r="L335" s="6"/>
    </row>
    <row r="336" spans="1:12" ht="51" hidden="1" outlineLevel="1">
      <c r="B336" s="6" t="s">
        <v>1267</v>
      </c>
      <c r="C336" s="869" t="str">
        <f>DocIndirectCosts[[#This Row],[Category EN]]&amp;IF(LEN(DocIndirectCosts[[#This Row],[Subcategory EN]])&gt;0," 
" &amp;DocIndirectCosts[[#This Row],[Subcategory EN]],)</f>
        <v>Indirect material class 
Quantity per storage unit [m]</v>
      </c>
      <c r="D336" s="466" t="str">
        <f>"Quantity of the material in "&amp;DocIndirectCosts[[#This Row],[Range]]&amp;" that can be grouped into one storage unit.
If this cell is empty, the corresponding unit is not provided for materials of this group by default, but can be added if required."</f>
        <v>Quantity of the material in m that can be grouped into one storage unit.
If this cell is empty, the corresponding unit is not provided for materials of this group by default, but can be added if required.</v>
      </c>
      <c r="E336" s="869" t="str">
        <f>DocIndirectCosts[[#This Row],[Category DE]]&amp;IF(LEN(DocIndirectCosts[[#This Row],[Subcategory DE]])&gt;0," 
" &amp;DocIndirectCosts[[#This Row],[Subcategory DE]],)</f>
        <v>MGK Materialklasse 
Menge je Lagereinheit [m]</v>
      </c>
      <c r="F336"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m, die sich zu einer Lagereinheit zusammenfassen lässt.
Ist diese Zelle leer, ist die entsprechende Einheit für Materialien dieser Gruppe standardmäßig nicht vorgesehen, kann aber bei Bedarf ergänzt werden.</v>
      </c>
      <c r="G336" s="6" t="s">
        <v>2167</v>
      </c>
      <c r="H336" s="6" t="str">
        <f>"Quantity per storage unit ["&amp;DocIndirectCosts[[#This Row],[Range]]&amp;"]"</f>
        <v>Quantity per storage unit [m]</v>
      </c>
      <c r="I336" s="6" t="s">
        <v>2169</v>
      </c>
      <c r="J336" s="6" t="str">
        <f>"Menge je Lagereinheit ["&amp;DocIndirectCosts[[#This Row],[Range]]&amp;"]"</f>
        <v>Menge je Lagereinheit [m]</v>
      </c>
      <c r="K336" s="6">
        <v>1</v>
      </c>
      <c r="L336" s="6"/>
    </row>
    <row r="337" spans="2:12" ht="51" hidden="1" outlineLevel="1">
      <c r="B337" s="6" t="s">
        <v>913</v>
      </c>
      <c r="C337" s="869" t="str">
        <f>DocIndirectCosts[[#This Row],[Category EN]]&amp;IF(LEN(DocIndirectCosts[[#This Row],[Subcategory EN]])&gt;0," 
" &amp;DocIndirectCosts[[#This Row],[Subcategory EN]],)</f>
        <v>Indirect material class 
Quantity per storage unit [m²]</v>
      </c>
      <c r="D337" s="466" t="str">
        <f>"Quantity of the material in "&amp;DocIndirectCosts[[#This Row],[Range]]&amp;" that can be grouped into one storage unit.
If this cell is empty, the corresponding unit is not provided for materials of this group by default, but can be added if required."</f>
        <v>Quantity of the material in m² that can be grouped into one storage unit.
If this cell is empty, the corresponding unit is not provided for materials of this group by default, but can be added if required.</v>
      </c>
      <c r="E337" s="869" t="str">
        <f>DocIndirectCosts[[#This Row],[Category DE]]&amp;IF(LEN(DocIndirectCosts[[#This Row],[Subcategory DE]])&gt;0," 
" &amp;DocIndirectCosts[[#This Row],[Subcategory DE]],)</f>
        <v>MGK Materialklasse 
Menge je Lagereinheit [m²]</v>
      </c>
      <c r="F337"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m², die sich zu einer Lagereinheit zusammenfassen lässt.
Ist diese Zelle leer, ist die entsprechende Einheit für Materialien dieser Gruppe standardmäßig nicht vorgesehen, kann aber bei Bedarf ergänzt werden.</v>
      </c>
      <c r="G337" s="6" t="s">
        <v>2167</v>
      </c>
      <c r="H337" s="6" t="str">
        <f>"Quantity per storage unit ["&amp;DocIndirectCosts[[#This Row],[Range]]&amp;"]"</f>
        <v>Quantity per storage unit [m²]</v>
      </c>
      <c r="I337" s="6" t="s">
        <v>2169</v>
      </c>
      <c r="J337" s="6" t="str">
        <f>"Menge je Lagereinheit ["&amp;DocIndirectCosts[[#This Row],[Range]]&amp;"]"</f>
        <v>Menge je Lagereinheit [m²]</v>
      </c>
      <c r="K337" s="6">
        <v>1</v>
      </c>
      <c r="L337" s="6"/>
    </row>
    <row r="338" spans="2:12" ht="51" hidden="1" outlineLevel="1">
      <c r="B338" s="6" t="s">
        <v>1268</v>
      </c>
      <c r="C338" s="869" t="str">
        <f>DocIndirectCosts[[#This Row],[Category EN]]&amp;IF(LEN(DocIndirectCosts[[#This Row],[Subcategory EN]])&gt;0," 
" &amp;DocIndirectCosts[[#This Row],[Subcategory EN]],)</f>
        <v>Indirect material class 
Quantity per storage unit [m³]</v>
      </c>
      <c r="D338" s="466" t="str">
        <f>"Quantity of the material in "&amp;DocIndirectCosts[[#This Row],[Range]]&amp;" that can be grouped into one storage unit.
If this cell is empty, the corresponding unit is not provided for materials of this group by default, but can be added if required."</f>
        <v>Quantity of the material in m³ that can be grouped into one storage unit.
If this cell is empty, the corresponding unit is not provided for materials of this group by default, but can be added if required.</v>
      </c>
      <c r="E338" s="869" t="str">
        <f>DocIndirectCosts[[#This Row],[Category DE]]&amp;IF(LEN(DocIndirectCosts[[#This Row],[Subcategory DE]])&gt;0," 
" &amp;DocIndirectCosts[[#This Row],[Subcategory DE]],)</f>
        <v>MGK Materialklasse 
Menge je Lagereinheit [m³]</v>
      </c>
      <c r="F338"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m³, die sich zu einer Lagereinheit zusammenfassen lässt.
Ist diese Zelle leer, ist die entsprechende Einheit für Materialien dieser Gruppe standardmäßig nicht vorgesehen, kann aber bei Bedarf ergänzt werden.</v>
      </c>
      <c r="G338" s="6" t="s">
        <v>2167</v>
      </c>
      <c r="H338" s="6" t="str">
        <f>"Quantity per storage unit ["&amp;DocIndirectCosts[[#This Row],[Range]]&amp;"]"</f>
        <v>Quantity per storage unit [m³]</v>
      </c>
      <c r="I338" s="6" t="s">
        <v>2169</v>
      </c>
      <c r="J338" s="6" t="str">
        <f>"Menge je Lagereinheit ["&amp;DocIndirectCosts[[#This Row],[Range]]&amp;"]"</f>
        <v>Menge je Lagereinheit [m³]</v>
      </c>
      <c r="K338" s="6">
        <v>1</v>
      </c>
      <c r="L338" s="6"/>
    </row>
    <row r="339" spans="2:12" ht="38.25" hidden="1" outlineLevel="1">
      <c r="B339" s="6" t="s">
        <v>1019</v>
      </c>
      <c r="C339" s="869" t="str">
        <f>DocIndirectCosts[[#This Row],[Category EN]]&amp;IF(LEN(DocIndirectCosts[[#This Row],[Subcategory EN]])&gt;0," 
" &amp;DocIndirectCosts[[#This Row],[Subcategory EN]],)</f>
        <v>Indirect material class 
Area per storage unit_x000D_
in m²</v>
      </c>
      <c r="D339" s="466" t="s">
        <v>1672</v>
      </c>
      <c r="E339" s="869" t="str">
        <f>DocIndirectCosts[[#This Row],[Category DE]]&amp;IF(LEN(DocIndirectCosts[[#This Row],[Subcategory DE]])&gt;0," 
" &amp;DocIndirectCosts[[#This Row],[Subcategory DE]],)</f>
        <v>MGK Materialklasse 
Fläche je Lagereinheit in m²</v>
      </c>
      <c r="F339" s="19" t="s">
        <v>1657</v>
      </c>
      <c r="G339" s="6" t="s">
        <v>2167</v>
      </c>
      <c r="H339" s="6" t="s">
        <v>1175</v>
      </c>
      <c r="I339" s="6" t="s">
        <v>2169</v>
      </c>
      <c r="J339" s="6" t="s">
        <v>1210</v>
      </c>
      <c r="K339" s="6">
        <v>1</v>
      </c>
      <c r="L339" s="6"/>
    </row>
    <row r="340" spans="2:12" ht="38.25" hidden="1" outlineLevel="1">
      <c r="B340" s="6" t="s">
        <v>1084</v>
      </c>
      <c r="C340" s="869" t="str">
        <f>DocIndirectCosts[[#This Row],[Category EN]]&amp;IF(LEN(DocIndirectCosts[[#This Row],[Subcategory EN]])&gt;0," 
" &amp;DocIndirectCosts[[#This Row],[Subcategory EN]],)</f>
        <v>Indirect material class 
Storage handling equipment</v>
      </c>
      <c r="D340" s="466" t="s">
        <v>1673</v>
      </c>
      <c r="E340" s="869" t="str">
        <f>DocIndirectCosts[[#This Row],[Category DE]]&amp;IF(LEN(DocIndirectCosts[[#This Row],[Subcategory DE]])&gt;0," 
" &amp;DocIndirectCosts[[#This Row],[Subcategory DE]],)</f>
        <v>MGK Materialklasse 
Lagerbediengerät</v>
      </c>
      <c r="F340" s="19" t="s">
        <v>1658</v>
      </c>
      <c r="G340" s="6" t="s">
        <v>2167</v>
      </c>
      <c r="H340" s="6" t="s">
        <v>1190</v>
      </c>
      <c r="I340" s="6" t="s">
        <v>2169</v>
      </c>
      <c r="J340" s="6" t="s">
        <v>1084</v>
      </c>
      <c r="K340" s="6">
        <v>1</v>
      </c>
      <c r="L340" s="6"/>
    </row>
    <row r="341" spans="2:12" ht="38.25" hidden="1" outlineLevel="1">
      <c r="B341" s="6" t="s">
        <v>1034</v>
      </c>
      <c r="C341" s="869" t="str">
        <f>DocIndirectCosts[[#This Row],[Category EN]]&amp;IF(LEN(DocIndirectCosts[[#This Row],[Subcategory EN]])&gt;0," 
" &amp;DocIndirectCosts[[#This Row],[Subcategory EN]],)</f>
        <v>Personnel expenditure 
Buyer</v>
      </c>
      <c r="D341" s="466" t="s">
        <v>2211</v>
      </c>
      <c r="E341" s="869" t="str">
        <f>DocIndirectCosts[[#This Row],[Category DE]]&amp;IF(LEN(DocIndirectCosts[[#This Row],[Subcategory DE]])&gt;0," 
" &amp;DocIndirectCosts[[#This Row],[Subcategory DE]],)</f>
        <v>Personalaufwand 
Einkäufer</v>
      </c>
      <c r="F341" s="19" t="s">
        <v>2193</v>
      </c>
      <c r="G341" s="6" t="s">
        <v>1208</v>
      </c>
      <c r="H341" s="6" t="s">
        <v>1176</v>
      </c>
      <c r="I341" s="6" t="s">
        <v>1202</v>
      </c>
      <c r="J341" s="6" t="s">
        <v>1055</v>
      </c>
      <c r="K341" s="6">
        <v>1</v>
      </c>
      <c r="L341" s="6"/>
    </row>
    <row r="342" spans="2:12" ht="63.75" hidden="1" outlineLevel="1">
      <c r="B342" s="6" t="s">
        <v>1035</v>
      </c>
      <c r="C342" s="869" t="str">
        <f>DocIndirectCosts[[#This Row],[Category EN]]&amp;IF(LEN(DocIndirectCosts[[#This Row],[Subcategory EN]])&gt;0," 
" &amp;DocIndirectCosts[[#This Row],[Subcategory EN]],)</f>
        <v>Personnel expenditure 
Inspection engineer</v>
      </c>
      <c r="D342" s="466" t="s">
        <v>2212</v>
      </c>
      <c r="E342" s="869" t="str">
        <f>DocIndirectCosts[[#This Row],[Category DE]]&amp;IF(LEN(DocIndirectCosts[[#This Row],[Subcategory DE]])&gt;0," 
" &amp;DocIndirectCosts[[#This Row],[Subcategory DE]],)</f>
        <v>Personalaufwand 
Prüfingenieur</v>
      </c>
      <c r="F342" s="19" t="s">
        <v>2194</v>
      </c>
      <c r="G342" s="6" t="s">
        <v>1208</v>
      </c>
      <c r="H342" s="6" t="s">
        <v>1177</v>
      </c>
      <c r="I342" s="6" t="s">
        <v>1202</v>
      </c>
      <c r="J342" s="6" t="s">
        <v>1056</v>
      </c>
      <c r="K342" s="6">
        <v>1</v>
      </c>
      <c r="L342" s="6"/>
    </row>
    <row r="343" spans="2:12" ht="38.25" hidden="1" outlineLevel="1">
      <c r="B343" s="6" t="s">
        <v>1037</v>
      </c>
      <c r="C343" s="869" t="str">
        <f>DocIndirectCosts[[#This Row],[Category EN]]&amp;IF(LEN(DocIndirectCosts[[#This Row],[Subcategory EN]])&gt;0," 
" &amp;DocIndirectCosts[[#This Row],[Subcategory EN]],)</f>
        <v>Personnel expenditure 
Warehouse worker</v>
      </c>
      <c r="D343" s="466" t="s">
        <v>2213</v>
      </c>
      <c r="E343" s="869" t="str">
        <f>DocIndirectCosts[[#This Row],[Category DE]]&amp;IF(LEN(DocIndirectCosts[[#This Row],[Subcategory DE]])&gt;0," 
" &amp;DocIndirectCosts[[#This Row],[Subcategory DE]],)</f>
        <v>Personalaufwand 
Lagerarbeiter</v>
      </c>
      <c r="F343" s="19" t="s">
        <v>2195</v>
      </c>
      <c r="G343" s="6" t="s">
        <v>1208</v>
      </c>
      <c r="H343" s="6" t="s">
        <v>1178</v>
      </c>
      <c r="I343" s="6" t="s">
        <v>1202</v>
      </c>
      <c r="J343" s="6" t="s">
        <v>1057</v>
      </c>
      <c r="K343" s="6">
        <v>1</v>
      </c>
      <c r="L343" s="6"/>
    </row>
    <row r="344" spans="2:12" ht="76.5" hidden="1" outlineLevel="1">
      <c r="B344" s="6" t="s">
        <v>1047</v>
      </c>
      <c r="C344" s="869" t="str">
        <f>DocIndirectCosts[[#This Row],[Category EN]]&amp;IF(LEN(DocIndirectCosts[[#This Row],[Subcategory EN]])&gt;0," 
" &amp;DocIndirectCosts[[#This Row],[Subcategory EN]],)</f>
        <v>Test stand occupancy 
Dimensions</v>
      </c>
      <c r="D344" s="466" t="s">
        <v>1674</v>
      </c>
      <c r="E344" s="869" t="str">
        <f>DocIndirectCosts[[#This Row],[Category DE]]&amp;IF(LEN(DocIndirectCosts[[#This Row],[Subcategory DE]])&gt;0," 
" &amp;DocIndirectCosts[[#This Row],[Subcategory DE]],)</f>
        <v>Prüfstandbelegung 
Maße</v>
      </c>
      <c r="F344" s="19" t="s">
        <v>1664</v>
      </c>
      <c r="G344" s="6" t="s">
        <v>1209</v>
      </c>
      <c r="H344" s="6" t="s">
        <v>134</v>
      </c>
      <c r="I344" s="6" t="s">
        <v>1203</v>
      </c>
      <c r="J344" s="6" t="s">
        <v>1047</v>
      </c>
      <c r="K344" s="6">
        <v>1</v>
      </c>
      <c r="L344" s="6"/>
    </row>
    <row r="345" spans="2:12" ht="76.5" hidden="1" outlineLevel="1">
      <c r="B345" s="6" t="s">
        <v>140</v>
      </c>
      <c r="C345" s="869" t="str">
        <f>DocIndirectCosts[[#This Row],[Category EN]]&amp;IF(LEN(DocIndirectCosts[[#This Row],[Subcategory EN]])&gt;0," 
" &amp;DocIndirectCosts[[#This Row],[Subcategory EN]],)</f>
        <v>Test stand occupancy 
Weight</v>
      </c>
      <c r="D345" s="466" t="str">
        <f>D344</f>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5" s="869" t="str">
        <f>DocIndirectCosts[[#This Row],[Category DE]]&amp;IF(LEN(DocIndirectCosts[[#This Row],[Subcategory DE]])&gt;0," 
" &amp;DocIndirectCosts[[#This Row],[Subcategory DE]],)</f>
        <v>Prüfstandbelegung 
Gewicht</v>
      </c>
      <c r="F345" s="19" t="str">
        <f>F344</f>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5" s="6" t="s">
        <v>1209</v>
      </c>
      <c r="H345" s="6" t="s">
        <v>902</v>
      </c>
      <c r="I345" s="6" t="s">
        <v>1203</v>
      </c>
      <c r="J345" s="6" t="s">
        <v>140</v>
      </c>
      <c r="K345" s="6">
        <v>1</v>
      </c>
      <c r="L345" s="6"/>
    </row>
    <row r="346" spans="2:12" ht="76.5" hidden="1" outlineLevel="1">
      <c r="B346" s="6" t="s">
        <v>1048</v>
      </c>
      <c r="C346" s="869" t="str">
        <f>DocIndirectCosts[[#This Row],[Category EN]]&amp;IF(LEN(DocIndirectCosts[[#This Row],[Subcategory EN]])&gt;0," 
" &amp;DocIndirectCosts[[#This Row],[Subcategory EN]],)</f>
        <v>Test stand occupancy 
Material</v>
      </c>
      <c r="D346" s="466" t="str">
        <f t="shared" ref="D346:D352" si="0">D345</f>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6" s="869" t="str">
        <f>DocIndirectCosts[[#This Row],[Category DE]]&amp;IF(LEN(DocIndirectCosts[[#This Row],[Subcategory DE]])&gt;0," 
" &amp;DocIndirectCosts[[#This Row],[Subcategory DE]],)</f>
        <v>Prüfstandbelegung 
Werkstoff</v>
      </c>
      <c r="F346" s="19" t="str">
        <f t="shared" ref="F346:F352" si="1">F345</f>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6" s="6" t="s">
        <v>1209</v>
      </c>
      <c r="H346" s="6" t="s">
        <v>34</v>
      </c>
      <c r="I346" s="6" t="s">
        <v>1203</v>
      </c>
      <c r="J346" s="6" t="s">
        <v>1048</v>
      </c>
      <c r="K346" s="6">
        <v>1</v>
      </c>
      <c r="L346" s="6"/>
    </row>
    <row r="347" spans="2:12" ht="76.5" hidden="1" outlineLevel="1">
      <c r="B347" s="6" t="s">
        <v>1049</v>
      </c>
      <c r="C347" s="869" t="str">
        <f>DocIndirectCosts[[#This Row],[Category EN]]&amp;IF(LEN(DocIndirectCosts[[#This Row],[Subcategory EN]])&gt;0," 
" &amp;DocIndirectCosts[[#This Row],[Subcategory EN]],)</f>
        <v>Test stand occupancy 
Function</v>
      </c>
      <c r="D347" s="466"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7" s="869" t="str">
        <f>DocIndirectCosts[[#This Row],[Category DE]]&amp;IF(LEN(DocIndirectCosts[[#This Row],[Subcategory DE]])&gt;0," 
" &amp;DocIndirectCosts[[#This Row],[Subcategory DE]],)</f>
        <v>Prüfstandbelegung 
Funktion</v>
      </c>
      <c r="F347"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7" s="6" t="s">
        <v>1209</v>
      </c>
      <c r="H347" s="6" t="s">
        <v>1179</v>
      </c>
      <c r="I347" s="6" t="s">
        <v>1203</v>
      </c>
      <c r="J347" s="6" t="s">
        <v>1049</v>
      </c>
      <c r="K347" s="6">
        <v>1</v>
      </c>
      <c r="L347" s="6"/>
    </row>
    <row r="348" spans="2:12" ht="76.5" hidden="1" outlineLevel="1">
      <c r="B348" s="6" t="s">
        <v>1050</v>
      </c>
      <c r="C348" s="869" t="str">
        <f>DocIndirectCosts[[#This Row],[Category EN]]&amp;IF(LEN(DocIndirectCosts[[#This Row],[Subcategory EN]])&gt;0," 
" &amp;DocIndirectCosts[[#This Row],[Subcategory EN]],)</f>
        <v>Test stand occupancy 
X-ray</v>
      </c>
      <c r="D348" s="466"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8" s="869" t="str">
        <f>DocIndirectCosts[[#This Row],[Category DE]]&amp;IF(LEN(DocIndirectCosts[[#This Row],[Subcategory DE]])&gt;0," 
" &amp;DocIndirectCosts[[#This Row],[Subcategory DE]],)</f>
        <v>Prüfstandbelegung 
Röntgen</v>
      </c>
      <c r="F348"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8" s="6" t="s">
        <v>1209</v>
      </c>
      <c r="H348" s="6" t="s">
        <v>1180</v>
      </c>
      <c r="I348" s="6" t="s">
        <v>1203</v>
      </c>
      <c r="J348" s="6" t="s">
        <v>1050</v>
      </c>
      <c r="K348" s="6">
        <v>1</v>
      </c>
      <c r="L348" s="6"/>
    </row>
    <row r="349" spans="2:12" ht="76.5" hidden="1" outlineLevel="1">
      <c r="B349" s="6" t="s">
        <v>1051</v>
      </c>
      <c r="C349" s="869" t="str">
        <f>DocIndirectCosts[[#This Row],[Category EN]]&amp;IF(LEN(DocIndirectCosts[[#This Row],[Subcategory EN]])&gt;0," 
" &amp;DocIndirectCosts[[#This Row],[Subcategory EN]],)</f>
        <v>Test stand occupancy 
Magnetic powder</v>
      </c>
      <c r="D349" s="466"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9" s="869" t="str">
        <f>DocIndirectCosts[[#This Row],[Category DE]]&amp;IF(LEN(DocIndirectCosts[[#This Row],[Subcategory DE]])&gt;0," 
" &amp;DocIndirectCosts[[#This Row],[Subcategory DE]],)</f>
        <v>Prüfstandbelegung 
Magnetpulver</v>
      </c>
      <c r="F349"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9" s="6" t="s">
        <v>1209</v>
      </c>
      <c r="H349" s="6" t="s">
        <v>1181</v>
      </c>
      <c r="I349" s="6" t="s">
        <v>1203</v>
      </c>
      <c r="J349" s="6" t="s">
        <v>1051</v>
      </c>
      <c r="K349" s="6">
        <v>1</v>
      </c>
      <c r="L349" s="6"/>
    </row>
    <row r="350" spans="2:12" ht="76.5" hidden="1" outlineLevel="1">
      <c r="B350" s="6" t="s">
        <v>1052</v>
      </c>
      <c r="C350" s="869" t="str">
        <f>DocIndirectCosts[[#This Row],[Category EN]]&amp;IF(LEN(DocIndirectCosts[[#This Row],[Subcategory EN]])&gt;0," 
" &amp;DocIndirectCosts[[#This Row],[Subcategory EN]],)</f>
        <v>Test stand occupancy 
Endurance test</v>
      </c>
      <c r="D350" s="466"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50" s="869" t="str">
        <f>DocIndirectCosts[[#This Row],[Category DE]]&amp;IF(LEN(DocIndirectCosts[[#This Row],[Subcategory DE]])&gt;0," 
" &amp;DocIndirectCosts[[#This Row],[Subcategory DE]],)</f>
        <v>Prüfstandbelegung 
Dauertest</v>
      </c>
      <c r="F350"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50" s="6" t="s">
        <v>1209</v>
      </c>
      <c r="H350" s="6" t="s">
        <v>1182</v>
      </c>
      <c r="I350" s="6" t="s">
        <v>1203</v>
      </c>
      <c r="J350" s="6" t="s">
        <v>1052</v>
      </c>
      <c r="K350" s="6">
        <v>1</v>
      </c>
      <c r="L350" s="6"/>
    </row>
    <row r="351" spans="2:12" ht="76.5" hidden="1" outlineLevel="1">
      <c r="B351" s="6" t="s">
        <v>1053</v>
      </c>
      <c r="C351" s="869" t="str">
        <f>DocIndirectCosts[[#This Row],[Category EN]]&amp;IF(LEN(DocIndirectCosts[[#This Row],[Subcategory EN]])&gt;0," 
" &amp;DocIndirectCosts[[#This Row],[Subcategory EN]],)</f>
        <v>Test stand occupancy 
Colour fastness</v>
      </c>
      <c r="D351" s="466"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51" s="869" t="str">
        <f>DocIndirectCosts[[#This Row],[Category DE]]&amp;IF(LEN(DocIndirectCosts[[#This Row],[Subcategory DE]])&gt;0," 
" &amp;DocIndirectCosts[[#This Row],[Subcategory DE]],)</f>
        <v>Prüfstandbelegung 
Farbechtheit</v>
      </c>
      <c r="F351"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51" s="6" t="s">
        <v>1209</v>
      </c>
      <c r="H351" s="6" t="s">
        <v>1184</v>
      </c>
      <c r="I351" s="6" t="s">
        <v>1203</v>
      </c>
      <c r="J351" s="6" t="s">
        <v>1053</v>
      </c>
      <c r="K351" s="6">
        <v>1</v>
      </c>
      <c r="L351" s="6"/>
    </row>
    <row r="352" spans="2:12" ht="76.5" hidden="1" outlineLevel="1">
      <c r="B352" s="6" t="s">
        <v>1054</v>
      </c>
      <c r="C352" s="869" t="str">
        <f>DocIndirectCosts[[#This Row],[Category EN]]&amp;IF(LEN(DocIndirectCosts[[#This Row],[Subcategory EN]])&gt;0," 
" &amp;DocIndirectCosts[[#This Row],[Subcategory EN]],)</f>
        <v>Test stand occupancy 
Electronics</v>
      </c>
      <c r="D352" s="466"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52" s="869" t="str">
        <f>DocIndirectCosts[[#This Row],[Category DE]]&amp;IF(LEN(DocIndirectCosts[[#This Row],[Subcategory DE]])&gt;0," 
" &amp;DocIndirectCosts[[#This Row],[Subcategory DE]],)</f>
        <v>Prüfstandbelegung 
Elekronik</v>
      </c>
      <c r="F352"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52" s="6" t="s">
        <v>1209</v>
      </c>
      <c r="H352" s="6" t="s">
        <v>962</v>
      </c>
      <c r="I352" s="6" t="s">
        <v>1203</v>
      </c>
      <c r="J352" s="6" t="s">
        <v>1054</v>
      </c>
      <c r="K352" s="6">
        <v>1</v>
      </c>
      <c r="L352" s="6"/>
    </row>
    <row r="353" spans="2:12" ht="140.25" hidden="1" outlineLevel="1">
      <c r="B353" s="6" t="s">
        <v>1071</v>
      </c>
      <c r="C353" s="869" t="str">
        <f>DocIndirectCosts[[#This Row],[Category EN]]&amp;IF(LEN(DocIndirectCosts[[#This Row],[Subcategory EN]])&gt;0," 
" &amp;DocIndirectCosts[[#This Row],[Subcategory EN]],)</f>
        <v>Carry forward test stand 
Interest bearing investment</v>
      </c>
      <c r="D353" s="466" t="s">
        <v>1656</v>
      </c>
      <c r="E353" s="869" t="str">
        <f>DocIndirectCosts[[#This Row],[Category DE]]&amp;IF(LEN(DocIndirectCosts[[#This Row],[Subcategory DE]])&gt;0," 
" &amp;DocIndirectCosts[[#This Row],[Subcategory DE]],)</f>
        <v>Übertrag Prüfstand 
Zu verzinsender Invest</v>
      </c>
      <c r="F353" s="19" t="s">
        <v>1491</v>
      </c>
      <c r="G353" s="6" t="s">
        <v>1187</v>
      </c>
      <c r="H353" s="6" t="s">
        <v>1183</v>
      </c>
      <c r="I353" s="6" t="s">
        <v>1067</v>
      </c>
      <c r="J353" s="6" t="s">
        <v>1036</v>
      </c>
      <c r="K353" s="6">
        <v>1</v>
      </c>
      <c r="L353" s="6"/>
    </row>
    <row r="354" spans="2:12" ht="25.5" hidden="1" customHeight="1" outlineLevel="1">
      <c r="B354" s="6" t="s">
        <v>1072</v>
      </c>
      <c r="C354" s="869" t="str">
        <f>DocIndirectCosts[[#This Row],[Category EN]]&amp;IF(LEN(DocIndirectCosts[[#This Row],[Subcategory EN]])&gt;0," 
" &amp;DocIndirectCosts[[#This Row],[Subcategory EN]],)</f>
        <v>Carry forward test stand 
€</v>
      </c>
      <c r="D354" s="466" t="s">
        <v>1652</v>
      </c>
      <c r="E354" s="869" t="str">
        <f>DocIndirectCosts[[#This Row],[Category DE]]&amp;IF(LEN(DocIndirectCosts[[#This Row],[Subcategory DE]])&gt;0," 
" &amp;DocIndirectCosts[[#This Row],[Subcategory DE]],)</f>
        <v>Übertrag Prüfstand 
€</v>
      </c>
      <c r="F354" s="19" t="s">
        <v>1216</v>
      </c>
      <c r="G354" s="6" t="s">
        <v>1187</v>
      </c>
      <c r="H354" s="6" t="s">
        <v>1022</v>
      </c>
      <c r="I354" s="6" t="s">
        <v>1067</v>
      </c>
      <c r="J354" s="6" t="s">
        <v>1022</v>
      </c>
      <c r="K354" s="6">
        <v>1</v>
      </c>
      <c r="L354" s="6"/>
    </row>
    <row r="355" spans="2:12" ht="38.25" hidden="1" outlineLevel="1">
      <c r="B355" s="6" t="s">
        <v>1073</v>
      </c>
      <c r="C355" s="869" t="str">
        <f>DocIndirectCosts[[#This Row],[Category EN]]&amp;IF(LEN(DocIndirectCosts[[#This Row],[Subcategory EN]])&gt;0," 
" &amp;DocIndirectCosts[[#This Row],[Subcategory EN]],)</f>
        <v>Carry forward test stand 
kWh</v>
      </c>
      <c r="D355" s="466" t="s">
        <v>1653</v>
      </c>
      <c r="E355" s="869" t="str">
        <f>DocIndirectCosts[[#This Row],[Category DE]]&amp;IF(LEN(DocIndirectCosts[[#This Row],[Subcategory DE]])&gt;0," 
" &amp;DocIndirectCosts[[#This Row],[Subcategory DE]],)</f>
        <v>Übertrag Prüfstand 
kWh</v>
      </c>
      <c r="F355" s="19" t="s">
        <v>1216</v>
      </c>
      <c r="G355" s="6" t="s">
        <v>1187</v>
      </c>
      <c r="H355" s="6" t="s">
        <v>1023</v>
      </c>
      <c r="I355" s="6" t="s">
        <v>1067</v>
      </c>
      <c r="J355" s="6" t="s">
        <v>1023</v>
      </c>
      <c r="K355" s="6">
        <v>1</v>
      </c>
      <c r="L355" s="6"/>
    </row>
    <row r="356" spans="2:12" ht="38.25" hidden="1" outlineLevel="1">
      <c r="B356" s="6" t="s">
        <v>1074</v>
      </c>
      <c r="C356" s="869" t="str">
        <f>DocIndirectCosts[[#This Row],[Category EN]]&amp;IF(LEN(DocIndirectCosts[[#This Row],[Subcategory EN]])&gt;0," 
" &amp;DocIndirectCosts[[#This Row],[Subcategory EN]],)</f>
        <v>Carry forward test stand 
m²</v>
      </c>
      <c r="D356" s="466" t="s">
        <v>1653</v>
      </c>
      <c r="E356" s="869" t="str">
        <f>DocIndirectCosts[[#This Row],[Category DE]]&amp;IF(LEN(DocIndirectCosts[[#This Row],[Subcategory DE]])&gt;0," 
" &amp;DocIndirectCosts[[#This Row],[Subcategory DE]],)</f>
        <v>Übertrag Prüfstand 
m²</v>
      </c>
      <c r="F356" s="19" t="s">
        <v>1216</v>
      </c>
      <c r="G356" s="6" t="s">
        <v>1187</v>
      </c>
      <c r="H356" s="6" t="s">
        <v>913</v>
      </c>
      <c r="I356" s="6" t="s">
        <v>1067</v>
      </c>
      <c r="J356" s="6" t="s">
        <v>913</v>
      </c>
      <c r="K356" s="6">
        <v>1</v>
      </c>
      <c r="L356" s="6"/>
    </row>
    <row r="357" spans="2:12" ht="51" hidden="1" outlineLevel="1">
      <c r="B357" s="6" t="s">
        <v>1075</v>
      </c>
      <c r="C357" s="869" t="str">
        <f>DocIndirectCosts[[#This Row],[Category EN]]&amp;IF(LEN(DocIndirectCosts[[#This Row],[Subcategory EN]])&gt;0," 
" &amp;DocIndirectCosts[[#This Row],[Subcategory EN]],)</f>
        <v>Carry forward place of storage 
Interest bearing investment</v>
      </c>
      <c r="D357" s="466" t="s">
        <v>1654</v>
      </c>
      <c r="E357" s="869" t="str">
        <f>DocIndirectCosts[[#This Row],[Category DE]]&amp;IF(LEN(DocIndirectCosts[[#This Row],[Subcategory DE]])&gt;0," 
" &amp;DocIndirectCosts[[#This Row],[Subcategory DE]],)</f>
        <v>Übertrag Lagerplatz 
Zu verzinsender Invest</v>
      </c>
      <c r="F357" s="19" t="s">
        <v>1492</v>
      </c>
      <c r="G357" s="6" t="s">
        <v>1189</v>
      </c>
      <c r="H357" s="6" t="s">
        <v>1183</v>
      </c>
      <c r="I357" s="6" t="s">
        <v>1070</v>
      </c>
      <c r="J357" s="6" t="s">
        <v>1036</v>
      </c>
      <c r="K357" s="6">
        <v>1</v>
      </c>
      <c r="L357" s="6"/>
    </row>
    <row r="358" spans="2:12" ht="38.25" hidden="1" outlineLevel="1">
      <c r="B358" s="6" t="s">
        <v>1076</v>
      </c>
      <c r="C358" s="869" t="str">
        <f>DocIndirectCosts[[#This Row],[Category EN]]&amp;IF(LEN(DocIndirectCosts[[#This Row],[Subcategory EN]])&gt;0," 
" &amp;DocIndirectCosts[[#This Row],[Subcategory EN]],)</f>
        <v>Carry forward place of storage 
€</v>
      </c>
      <c r="D358" s="466" t="s">
        <v>1652</v>
      </c>
      <c r="E358" s="869" t="str">
        <f>DocIndirectCosts[[#This Row],[Category DE]]&amp;IF(LEN(DocIndirectCosts[[#This Row],[Subcategory DE]])&gt;0," 
" &amp;DocIndirectCosts[[#This Row],[Subcategory DE]],)</f>
        <v>Übertrag Lagerplatz 
€</v>
      </c>
      <c r="F358" s="19" t="s">
        <v>1216</v>
      </c>
      <c r="G358" s="6" t="s">
        <v>1189</v>
      </c>
      <c r="H358" s="6" t="s">
        <v>1022</v>
      </c>
      <c r="I358" s="6" t="s">
        <v>1070</v>
      </c>
      <c r="J358" s="6" t="s">
        <v>1022</v>
      </c>
      <c r="K358" s="6">
        <v>1</v>
      </c>
      <c r="L358" s="6"/>
    </row>
    <row r="359" spans="2:12" ht="38.25" hidden="1" outlineLevel="1">
      <c r="B359" s="6" t="s">
        <v>1077</v>
      </c>
      <c r="C359" s="869" t="str">
        <f>DocIndirectCosts[[#This Row],[Category EN]]&amp;IF(LEN(DocIndirectCosts[[#This Row],[Subcategory EN]])&gt;0," 
" &amp;DocIndirectCosts[[#This Row],[Subcategory EN]],)</f>
        <v>Carry forward place of storage 
kWh</v>
      </c>
      <c r="D359" s="466" t="s">
        <v>1653</v>
      </c>
      <c r="E359" s="869" t="str">
        <f>DocIndirectCosts[[#This Row],[Category DE]]&amp;IF(LEN(DocIndirectCosts[[#This Row],[Subcategory DE]])&gt;0," 
" &amp;DocIndirectCosts[[#This Row],[Subcategory DE]],)</f>
        <v>Übertrag Lagerplatz 
kWh</v>
      </c>
      <c r="F359" s="19" t="s">
        <v>1216</v>
      </c>
      <c r="G359" s="6" t="s">
        <v>1189</v>
      </c>
      <c r="H359" s="6" t="s">
        <v>1023</v>
      </c>
      <c r="I359" s="6" t="s">
        <v>1070</v>
      </c>
      <c r="J359" s="6" t="s">
        <v>1023</v>
      </c>
      <c r="K359" s="6">
        <v>1</v>
      </c>
      <c r="L359" s="6"/>
    </row>
    <row r="360" spans="2:12" ht="38.25" hidden="1" outlineLevel="1">
      <c r="B360" s="6" t="s">
        <v>1078</v>
      </c>
      <c r="C360" s="869" t="str">
        <f>DocIndirectCosts[[#This Row],[Category EN]]&amp;IF(LEN(DocIndirectCosts[[#This Row],[Subcategory EN]])&gt;0," 
" &amp;DocIndirectCosts[[#This Row],[Subcategory EN]],)</f>
        <v>Carry forward place of storage 
m²</v>
      </c>
      <c r="D360" s="466" t="s">
        <v>1653</v>
      </c>
      <c r="E360" s="869" t="str">
        <f>DocIndirectCosts[[#This Row],[Category DE]]&amp;IF(LEN(DocIndirectCosts[[#This Row],[Subcategory DE]])&gt;0," 
" &amp;DocIndirectCosts[[#This Row],[Subcategory DE]],)</f>
        <v>Übertrag Lagerplatz 
m²</v>
      </c>
      <c r="F360" s="19" t="s">
        <v>1216</v>
      </c>
      <c r="G360" s="6" t="s">
        <v>1189</v>
      </c>
      <c r="H360" s="6" t="s">
        <v>913</v>
      </c>
      <c r="I360" s="6" t="s">
        <v>1070</v>
      </c>
      <c r="J360" s="6" t="s">
        <v>913</v>
      </c>
      <c r="K360" s="6">
        <v>1</v>
      </c>
      <c r="L360" s="6"/>
    </row>
    <row r="361" spans="2:12" ht="51" hidden="1" outlineLevel="1">
      <c r="B361" s="6" t="s">
        <v>1079</v>
      </c>
      <c r="C361" s="869" t="str">
        <f>DocIndirectCosts[[#This Row],[Category EN]]&amp;IF(LEN(DocIndirectCosts[[#This Row],[Subcategory EN]])&gt;0," 
" &amp;DocIndirectCosts[[#This Row],[Subcategory EN]],)</f>
        <v>Carry forward storage device 
Interest bearing investment</v>
      </c>
      <c r="D361" s="466" t="s">
        <v>1655</v>
      </c>
      <c r="E361" s="869" t="str">
        <f>DocIndirectCosts[[#This Row],[Category DE]]&amp;IF(LEN(DocIndirectCosts[[#This Row],[Subcategory DE]])&gt;0," 
" &amp;DocIndirectCosts[[#This Row],[Subcategory DE]],)</f>
        <v>Übertrag Lagerbediengerät 
Zu verzinsender Invest</v>
      </c>
      <c r="F361" s="19" t="s">
        <v>1492</v>
      </c>
      <c r="G361" s="6" t="s">
        <v>1188</v>
      </c>
      <c r="H361" s="6" t="s">
        <v>1183</v>
      </c>
      <c r="I361" s="6" t="s">
        <v>1083</v>
      </c>
      <c r="J361" s="6" t="s">
        <v>1036</v>
      </c>
      <c r="K361" s="6">
        <v>1</v>
      </c>
      <c r="L361" s="6"/>
    </row>
    <row r="362" spans="2:12" ht="38.25" hidden="1" outlineLevel="1">
      <c r="B362" s="6" t="s">
        <v>1080</v>
      </c>
      <c r="C362" s="869" t="str">
        <f>DocIndirectCosts[[#This Row],[Category EN]]&amp;IF(LEN(DocIndirectCosts[[#This Row],[Subcategory EN]])&gt;0," 
" &amp;DocIndirectCosts[[#This Row],[Subcategory EN]],)</f>
        <v>Carry forward storage device 
€</v>
      </c>
      <c r="D362" s="466" t="s">
        <v>1652</v>
      </c>
      <c r="E362" s="869" t="str">
        <f>DocIndirectCosts[[#This Row],[Category DE]]&amp;IF(LEN(DocIndirectCosts[[#This Row],[Subcategory DE]])&gt;0," 
" &amp;DocIndirectCosts[[#This Row],[Subcategory DE]],)</f>
        <v>Übertrag Lagerbediengerät 
€</v>
      </c>
      <c r="F362" s="19" t="s">
        <v>1216</v>
      </c>
      <c r="G362" s="6" t="s">
        <v>1188</v>
      </c>
      <c r="H362" s="6" t="s">
        <v>1022</v>
      </c>
      <c r="I362" s="6" t="s">
        <v>1083</v>
      </c>
      <c r="J362" s="6" t="s">
        <v>1022</v>
      </c>
      <c r="K362" s="6">
        <v>1</v>
      </c>
      <c r="L362" s="6"/>
    </row>
    <row r="363" spans="2:12" ht="38.25" hidden="1" outlineLevel="1">
      <c r="B363" s="6" t="s">
        <v>1081</v>
      </c>
      <c r="C363" s="869" t="str">
        <f>DocIndirectCosts[[#This Row],[Category EN]]&amp;IF(LEN(DocIndirectCosts[[#This Row],[Subcategory EN]])&gt;0," 
" &amp;DocIndirectCosts[[#This Row],[Subcategory EN]],)</f>
        <v>Carry forward storage device 
kWh</v>
      </c>
      <c r="D363" s="466" t="s">
        <v>1652</v>
      </c>
      <c r="E363" s="869" t="str">
        <f>DocIndirectCosts[[#This Row],[Category DE]]&amp;IF(LEN(DocIndirectCosts[[#This Row],[Subcategory DE]])&gt;0," 
" &amp;DocIndirectCosts[[#This Row],[Subcategory DE]],)</f>
        <v>Übertrag Lagerbediengerät 
kWh</v>
      </c>
      <c r="F363" s="19" t="s">
        <v>1216</v>
      </c>
      <c r="G363" s="6" t="s">
        <v>1188</v>
      </c>
      <c r="H363" s="6" t="s">
        <v>1023</v>
      </c>
      <c r="I363" s="6" t="s">
        <v>1083</v>
      </c>
      <c r="J363" s="6" t="s">
        <v>1023</v>
      </c>
      <c r="K363" s="6">
        <v>1</v>
      </c>
      <c r="L363" s="6"/>
    </row>
    <row r="364" spans="2:12" ht="38.25" hidden="1" outlineLevel="1">
      <c r="B364" s="6" t="s">
        <v>1082</v>
      </c>
      <c r="C364" s="869" t="str">
        <f>DocIndirectCosts[[#This Row],[Category EN]]&amp;IF(LEN(DocIndirectCosts[[#This Row],[Subcategory EN]])&gt;0," 
" &amp;DocIndirectCosts[[#This Row],[Subcategory EN]],)</f>
        <v>Carry forward storage device 
m²</v>
      </c>
      <c r="D364" s="466" t="s">
        <v>1653</v>
      </c>
      <c r="E364" s="869" t="str">
        <f>DocIndirectCosts[[#This Row],[Category DE]]&amp;IF(LEN(DocIndirectCosts[[#This Row],[Subcategory DE]])&gt;0," 
" &amp;DocIndirectCosts[[#This Row],[Subcategory DE]],)</f>
        <v>Übertrag Lagerbediengerät 
m²</v>
      </c>
      <c r="F364" s="19" t="s">
        <v>1216</v>
      </c>
      <c r="G364" s="6" t="s">
        <v>1188</v>
      </c>
      <c r="H364" s="6" t="s">
        <v>913</v>
      </c>
      <c r="I364" s="6" t="s">
        <v>1083</v>
      </c>
      <c r="J364" s="6" t="s">
        <v>913</v>
      </c>
      <c r="K364" s="6">
        <v>1</v>
      </c>
      <c r="L364" s="6"/>
    </row>
    <row r="365" spans="2:12" ht="38.25" hidden="1" outlineLevel="1">
      <c r="B365" s="6" t="s">
        <v>1193</v>
      </c>
      <c r="C365" s="869" t="str">
        <f>DocIndirectCosts[[#This Row],[Category EN]]&amp;IF(LEN(DocIndirectCosts[[#This Row],[Subcategory EN]])&gt;0," 
" &amp;DocIndirectCosts[[#This Row],[Subcategory EN]],)</f>
        <v>SG&amp;A 
Distribution &amp; Shipping</v>
      </c>
      <c r="D365" s="466" t="s">
        <v>655</v>
      </c>
      <c r="E365" s="869" t="str">
        <f>DocIndirectCosts[[#This Row],[Category DE]]&amp;IF(LEN(DocIndirectCosts[[#This Row],[Subcategory DE]])&gt;0," 
" &amp;DocIndirectCosts[[#This Row],[Subcategory DE]],)</f>
        <v>VVGK 
Vertrieb &amp; Versand</v>
      </c>
      <c r="F365" s="19" t="s">
        <v>560</v>
      </c>
      <c r="G365" s="6" t="s">
        <v>210</v>
      </c>
      <c r="H365" s="6" t="s">
        <v>1217</v>
      </c>
      <c r="I365" s="6" t="s">
        <v>13</v>
      </c>
      <c r="J365" s="6" t="s">
        <v>1218</v>
      </c>
      <c r="K365" s="6">
        <v>1</v>
      </c>
      <c r="L365" s="6"/>
    </row>
    <row r="366" spans="2:12" ht="25.5" hidden="1" outlineLevel="1">
      <c r="B366" s="6" t="s">
        <v>1194</v>
      </c>
      <c r="C366" s="869" t="str">
        <f>DocIndirectCosts[[#This Row],[Category EN]]&amp;IF(LEN(DocIndirectCosts[[#This Row],[Subcategory EN]])&gt;0," 
" &amp;DocIndirectCosts[[#This Row],[Subcategory EN]],)</f>
        <v>SG&amp;A 
Administration</v>
      </c>
      <c r="D366" s="466" t="s">
        <v>656</v>
      </c>
      <c r="E366" s="869" t="str">
        <f>DocIndirectCosts[[#This Row],[Category DE]]&amp;IF(LEN(DocIndirectCosts[[#This Row],[Subcategory DE]])&gt;0," 
" &amp;DocIndirectCosts[[#This Row],[Subcategory DE]],)</f>
        <v>VVGK 
Verwaltung</v>
      </c>
      <c r="F366" s="19" t="s">
        <v>657</v>
      </c>
      <c r="G366" s="6" t="s">
        <v>210</v>
      </c>
      <c r="H366" s="6" t="s">
        <v>1212</v>
      </c>
      <c r="I366" s="6" t="s">
        <v>13</v>
      </c>
      <c r="J366" s="6" t="s">
        <v>1213</v>
      </c>
      <c r="K366" s="6">
        <v>1</v>
      </c>
      <c r="L366" s="6"/>
    </row>
    <row r="367" spans="2:12" ht="38.25" hidden="1" outlineLevel="1">
      <c r="B367" s="6" t="s">
        <v>1195</v>
      </c>
      <c r="C367" s="869" t="str">
        <f>DocIndirectCosts[[#This Row],[Category EN]]&amp;IF(LEN(DocIndirectCosts[[#This Row],[Subcategory EN]])&gt;0," 
" &amp;DocIndirectCosts[[#This Row],[Subcategory EN]],)</f>
        <v>SG&amp;A 
Research &amp; Development</v>
      </c>
      <c r="D367" s="466" t="s">
        <v>658</v>
      </c>
      <c r="E367" s="869" t="str">
        <f>DocIndirectCosts[[#This Row],[Category DE]]&amp;IF(LEN(DocIndirectCosts[[#This Row],[Subcategory DE]])&gt;0," 
" &amp;DocIndirectCosts[[#This Row],[Subcategory DE]],)</f>
        <v>VVGK 
Forschung &amp; Entwicklung</v>
      </c>
      <c r="F367" s="19" t="s">
        <v>659</v>
      </c>
      <c r="G367" s="6" t="s">
        <v>210</v>
      </c>
      <c r="H367" s="6" t="s">
        <v>1215</v>
      </c>
      <c r="I367" s="6" t="s">
        <v>13</v>
      </c>
      <c r="J367" s="6" t="s">
        <v>1214</v>
      </c>
      <c r="K367" s="6">
        <v>1</v>
      </c>
      <c r="L367" s="6"/>
    </row>
    <row r="368" spans="2:12" ht="25.5" hidden="1" outlineLevel="1">
      <c r="B368" s="6" t="s">
        <v>1196</v>
      </c>
      <c r="C368" s="869" t="str">
        <f>DocIndirectCosts[[#This Row],[Category EN]]&amp;IF(LEN(DocIndirectCosts[[#This Row],[Subcategory EN]])&gt;0," 
" &amp;DocIndirectCosts[[#This Row],[Subcategory EN]],)</f>
        <v>Profit</v>
      </c>
      <c r="D368" s="466" t="s">
        <v>660</v>
      </c>
      <c r="E368" s="869" t="str">
        <f>DocIndirectCosts[[#This Row],[Category DE]]&amp;IF(LEN(DocIndirectCosts[[#This Row],[Subcategory DE]])&gt;0," 
" &amp;DocIndirectCosts[[#This Row],[Subcategory DE]],)</f>
        <v>Gewinn</v>
      </c>
      <c r="F368" s="19" t="s">
        <v>661</v>
      </c>
      <c r="G368" s="6" t="s">
        <v>209</v>
      </c>
      <c r="I368" s="6" t="s">
        <v>14</v>
      </c>
      <c r="K368" s="6">
        <v>1</v>
      </c>
      <c r="L368" s="6"/>
    </row>
    <row r="369" spans="1:12">
      <c r="K369" s="6"/>
      <c r="L369" s="6"/>
    </row>
    <row r="370" spans="1:12" collapsed="1">
      <c r="A370" s="475"/>
      <c r="B370" s="476" t="s">
        <v>284</v>
      </c>
    </row>
    <row r="371" spans="1:12" hidden="1" outlineLevel="1">
      <c r="A371" s="473"/>
      <c r="B371" s="473"/>
    </row>
    <row r="372" spans="1:12" ht="30" hidden="1" customHeight="1" outlineLevel="1">
      <c r="B372" s="6" t="s">
        <v>559</v>
      </c>
      <c r="C372" s="869" t="s">
        <v>360</v>
      </c>
      <c r="D372" s="466" t="s">
        <v>361</v>
      </c>
      <c r="E372" s="869" t="s">
        <v>362</v>
      </c>
      <c r="F372" s="19" t="s">
        <v>363</v>
      </c>
      <c r="G372" s="6" t="s">
        <v>367</v>
      </c>
      <c r="H372" s="6" t="s">
        <v>366</v>
      </c>
      <c r="I372" s="6" t="s">
        <v>720</v>
      </c>
    </row>
    <row r="373" spans="1:12" ht="204" hidden="1" outlineLevel="1">
      <c r="B373" s="6" t="s">
        <v>1378</v>
      </c>
      <c r="C373" s="869" t="str">
        <f>DocAnalysis[[#This Row],[Category EN]]</f>
        <v>Analysis</v>
      </c>
      <c r="D373" s="466" t="s">
        <v>2504</v>
      </c>
      <c r="E373" s="869" t="str">
        <f>DocAnalysis[[#This Row],[Category DE]]</f>
        <v>Analyse</v>
      </c>
      <c r="F373" s="19" t="s">
        <v>2503</v>
      </c>
      <c r="G373" s="6" t="s">
        <v>284</v>
      </c>
      <c r="H373" s="6" t="s">
        <v>759</v>
      </c>
      <c r="I373" s="6">
        <v>1</v>
      </c>
    </row>
    <row r="374" spans="1:12">
      <c r="K374" s="6"/>
      <c r="L374" s="6"/>
    </row>
    <row r="375" spans="1:12" collapsed="1">
      <c r="A375" s="475"/>
      <c r="B375" s="476" t="s">
        <v>204</v>
      </c>
    </row>
    <row r="376" spans="1:12" hidden="1" outlineLevel="1">
      <c r="A376" s="473"/>
      <c r="B376" s="473"/>
    </row>
    <row r="377" spans="1:12" ht="30" hidden="1" customHeight="1" outlineLevel="1">
      <c r="B377" s="6" t="s">
        <v>559</v>
      </c>
      <c r="C377" s="869" t="s">
        <v>360</v>
      </c>
      <c r="D377" s="466" t="s">
        <v>361</v>
      </c>
      <c r="E377" s="869" t="s">
        <v>362</v>
      </c>
      <c r="F377" s="19" t="s">
        <v>363</v>
      </c>
      <c r="G377" s="6" t="s">
        <v>367</v>
      </c>
      <c r="H377" s="6" t="s">
        <v>366</v>
      </c>
      <c r="I377" s="6" t="s">
        <v>720</v>
      </c>
    </row>
    <row r="378" spans="1:12" ht="178.5" hidden="1" outlineLevel="1">
      <c r="B378" s="6" t="s">
        <v>1378</v>
      </c>
      <c r="C378" s="869" t="str">
        <f>DocCluster[[#This Row],[Category EN]]</f>
        <v>Cluster</v>
      </c>
      <c r="D378" s="466" t="s">
        <v>2623</v>
      </c>
      <c r="E378" s="869" t="str">
        <f>DocCluster[[#This Row],[Category DE]]</f>
        <v>Cluster</v>
      </c>
      <c r="F378" s="19" t="s">
        <v>2622</v>
      </c>
      <c r="G378" s="6" t="s">
        <v>204</v>
      </c>
      <c r="H378" s="6" t="s">
        <v>204</v>
      </c>
      <c r="I378" s="6">
        <v>1</v>
      </c>
    </row>
    <row r="379" spans="1:12">
      <c r="K379" s="6"/>
      <c r="L379" s="6"/>
    </row>
    <row r="380" spans="1:12" collapsed="1">
      <c r="A380" s="475"/>
      <c r="B380" s="476" t="s">
        <v>877</v>
      </c>
    </row>
    <row r="381" spans="1:12" hidden="1" outlineLevel="1">
      <c r="A381" s="278"/>
      <c r="B381" s="277"/>
    </row>
    <row r="382" spans="1:12" ht="30" hidden="1" customHeight="1" outlineLevel="1">
      <c r="B382" s="6" t="s">
        <v>877</v>
      </c>
      <c r="C382" s="869" t="s">
        <v>360</v>
      </c>
      <c r="D382" s="466" t="s">
        <v>361</v>
      </c>
      <c r="E382" s="869" t="s">
        <v>362</v>
      </c>
      <c r="F382" s="19" t="s">
        <v>363</v>
      </c>
      <c r="G382" s="6" t="s">
        <v>720</v>
      </c>
    </row>
    <row r="383" spans="1:12" ht="204" hidden="1" outlineLevel="1">
      <c r="B383" s="6" t="s">
        <v>284</v>
      </c>
      <c r="C383" s="869" t="str">
        <f>"Userform " &amp;DocUserForm[[#This Row],[UserForm]]</f>
        <v>Userform Analysis</v>
      </c>
      <c r="D383" s="466" t="s">
        <v>1678</v>
      </c>
      <c r="E383" s="869" t="str">
        <f>DocUserForm[[#This Row],[Header EN]]</f>
        <v>Userform Analysis</v>
      </c>
      <c r="F383" s="19" t="s">
        <v>1675</v>
      </c>
      <c r="G383" s="6">
        <v>1</v>
      </c>
    </row>
    <row r="384" spans="1:12" ht="120" hidden="1" customHeight="1" outlineLevel="1">
      <c r="B384" s="6" t="s">
        <v>878</v>
      </c>
      <c r="C384" s="869" t="s">
        <v>887</v>
      </c>
      <c r="D384" s="466" t="s">
        <v>1677</v>
      </c>
      <c r="E384" s="869" t="str">
        <f>DocUserForm[[#This Row],[Header EN]]</f>
        <v>Userform Analysis Settings</v>
      </c>
      <c r="F384" s="19" t="s">
        <v>1676</v>
      </c>
      <c r="G384" s="6">
        <v>1</v>
      </c>
    </row>
    <row r="385" spans="1:12" ht="191.25" hidden="1" outlineLevel="1">
      <c r="B385" s="6" t="s">
        <v>744</v>
      </c>
      <c r="C385" s="869" t="str">
        <f>"Userform " &amp;DocUserForm[[#This Row],[UserForm]]</f>
        <v>Userform Check</v>
      </c>
      <c r="D385" s="466" t="s">
        <v>2027</v>
      </c>
      <c r="E385" s="869" t="str">
        <f>DocUserForm[[#This Row],[Header EN]]</f>
        <v>Userform Check</v>
      </c>
      <c r="F385" s="19" t="s">
        <v>1816</v>
      </c>
      <c r="G385" s="6">
        <v>0</v>
      </c>
    </row>
    <row r="386" spans="1:12" ht="191.25" hidden="1" outlineLevel="1">
      <c r="B386" s="6" t="s">
        <v>2006</v>
      </c>
      <c r="C386" s="869" t="s">
        <v>2007</v>
      </c>
      <c r="D386" s="466" t="s">
        <v>2009</v>
      </c>
      <c r="E386" s="869" t="str">
        <f>DocUserForm[[#This Row],[Header EN]]</f>
        <v>Userform Edit View</v>
      </c>
      <c r="F386" s="19" t="s">
        <v>2008</v>
      </c>
      <c r="G386" s="6">
        <v>1</v>
      </c>
    </row>
    <row r="387" spans="1:12" ht="89.25" hidden="1" outlineLevel="1">
      <c r="B387" s="6" t="s">
        <v>247</v>
      </c>
      <c r="C387" s="869" t="str">
        <f>"Userform " &amp;DocUserForm[[#This Row],[UserForm]]</f>
        <v>Userform Project</v>
      </c>
      <c r="D387" s="466" t="s">
        <v>2088</v>
      </c>
      <c r="E387" s="869" t="str">
        <f>DocUserForm[[#This Row],[Header EN]]</f>
        <v>Userform Project</v>
      </c>
      <c r="F387" s="19" t="s">
        <v>2087</v>
      </c>
      <c r="G387" s="6">
        <v>0</v>
      </c>
    </row>
    <row r="388" spans="1:12" ht="127.5" hidden="1" outlineLevel="1">
      <c r="B388" s="6" t="s">
        <v>879</v>
      </c>
      <c r="C388" s="869" t="str">
        <f>"Userform " &amp;DocUserForm[[#This Row],[UserForm]]</f>
        <v>Userform Settings</v>
      </c>
      <c r="D388" s="466" t="s">
        <v>1679</v>
      </c>
      <c r="E388" s="869" t="str">
        <f>DocUserForm[[#This Row],[Header EN]]</f>
        <v>Userform Settings</v>
      </c>
      <c r="F388" s="19" t="s">
        <v>1680</v>
      </c>
      <c r="G388" s="6">
        <v>0</v>
      </c>
    </row>
    <row r="389" spans="1:12" ht="127.5" hidden="1" outlineLevel="1">
      <c r="B389" s="6" t="s">
        <v>880</v>
      </c>
      <c r="C389" s="869" t="s">
        <v>888</v>
      </c>
      <c r="D389" s="466" t="s">
        <v>2028</v>
      </c>
      <c r="E389" s="869" t="str">
        <f>DocUserForm[[#This Row],[Header EN]]</f>
        <v>Userform Supply Chain</v>
      </c>
      <c r="F389" s="19" t="s">
        <v>889</v>
      </c>
      <c r="G389" s="6">
        <v>1</v>
      </c>
    </row>
    <row r="390" spans="1:12" ht="267.75" hidden="1" outlineLevel="1">
      <c r="B390" s="6" t="s">
        <v>818</v>
      </c>
      <c r="C390" s="869" t="str">
        <f>"Userform " &amp;DocUserForm[[#This Row],[UserForm]]</f>
        <v>Userform Sync</v>
      </c>
      <c r="D390" s="466" t="s">
        <v>3887</v>
      </c>
      <c r="E390" s="869" t="str">
        <f>DocUserForm[[#This Row],[Header EN]]</f>
        <v>Userform Sync</v>
      </c>
      <c r="F390" s="19" t="s">
        <v>3886</v>
      </c>
      <c r="G390" s="6">
        <v>0</v>
      </c>
    </row>
    <row r="391" spans="1:12" ht="127.5" hidden="1" outlineLevel="1">
      <c r="B391" s="6" t="s">
        <v>1525</v>
      </c>
      <c r="C391" s="869" t="str">
        <f>"Userform " &amp;DocUserForm[[#This Row],[UserForm]]</f>
        <v>Userform CO2</v>
      </c>
      <c r="D391" s="466" t="s">
        <v>2227</v>
      </c>
      <c r="E391" s="869" t="str">
        <f>DocUserForm[[#This Row],[Header EN]]</f>
        <v>Userform CO2</v>
      </c>
      <c r="F391" s="19" t="s">
        <v>2256</v>
      </c>
      <c r="G391" s="6">
        <v>1</v>
      </c>
    </row>
    <row r="392" spans="1:12" hidden="1" outlineLevel="1"/>
    <row r="394" spans="1:12" collapsed="1">
      <c r="A394" s="475"/>
      <c r="B394" s="476" t="s">
        <v>2136</v>
      </c>
    </row>
    <row r="395" spans="1:12" hidden="1" outlineLevel="1">
      <c r="A395" s="473"/>
      <c r="B395" s="473"/>
    </row>
    <row r="396" spans="1:12" ht="30" hidden="1" customHeight="1" outlineLevel="1">
      <c r="B396" s="6" t="s">
        <v>559</v>
      </c>
      <c r="C396" s="869" t="s">
        <v>360</v>
      </c>
      <c r="D396" s="466" t="s">
        <v>361</v>
      </c>
      <c r="E396" s="869" t="s">
        <v>362</v>
      </c>
      <c r="F396" s="19" t="s">
        <v>363</v>
      </c>
      <c r="G396" s="6" t="s">
        <v>367</v>
      </c>
      <c r="H396" s="6" t="s">
        <v>368</v>
      </c>
      <c r="I396" s="6" t="s">
        <v>366</v>
      </c>
      <c r="J396" s="6" t="s">
        <v>369</v>
      </c>
      <c r="K396" s="6" t="s">
        <v>720</v>
      </c>
      <c r="L396" s="6"/>
    </row>
    <row r="397" spans="1:12" ht="63.75" hidden="1" outlineLevel="1">
      <c r="B397" s="6" t="s">
        <v>2549</v>
      </c>
      <c r="C397" s="869" t="str">
        <f>DocLogistics[[#This Row],[Category EN]]&amp;IF(LEN(DocLogistics[[#This Row],[Subcategory EN]])&gt;0," 
" &amp;DocLogistics[[#This Row],[Subcategory EN]],)</f>
        <v>Logistics</v>
      </c>
      <c r="E397" s="869" t="str">
        <f>DocLogistics[[#This Row],[Category DE]]&amp;IF(LEN(DocLogistics[[#This Row],[Subcategory DE]])&gt;0," 
" &amp;DocLogistics[[#This Row],[Subcategory DE]],)</f>
        <v>Logistik</v>
      </c>
      <c r="F397" s="19" t="s">
        <v>2581</v>
      </c>
      <c r="G397" s="6" t="s">
        <v>2136</v>
      </c>
      <c r="I397" s="6" t="s">
        <v>202</v>
      </c>
      <c r="K397" s="6">
        <v>1</v>
      </c>
      <c r="L397" s="6"/>
    </row>
    <row r="398" spans="1:12" hidden="1" outlineLevel="1">
      <c r="B398" s="876" t="s">
        <v>940</v>
      </c>
      <c r="C398" s="869" t="str">
        <f>DocLogistics[[#This Row],[Category EN]]&amp;IF(LEN(DocLogistics[[#This Row],[Subcategory EN]])&gt;0," 
" &amp;DocLogistics[[#This Row],[Subcategory EN]],)</f>
        <v/>
      </c>
      <c r="D398" s="931"/>
      <c r="E398" s="869" t="str">
        <f>DocLogistics[[#This Row],[Category DE]]&amp;IF(LEN(DocLogistics[[#This Row],[Subcategory DE]])&gt;0," 
" &amp;DocLogistics[[#This Row],[Subcategory DE]],)</f>
        <v/>
      </c>
      <c r="F398" s="878"/>
      <c r="G398" s="876"/>
      <c r="H398" s="876"/>
      <c r="I398" s="876"/>
      <c r="J398" s="876"/>
      <c r="K398" s="876"/>
      <c r="L398" s="6"/>
    </row>
    <row r="399" spans="1:12" hidden="1" outlineLevel="1">
      <c r="B399" s="876" t="s">
        <v>408</v>
      </c>
      <c r="C399" s="869" t="str">
        <f>DocLogistics[[#This Row],[Category EN]]&amp;IF(LEN(DocLogistics[[#This Row],[Subcategory EN]])&gt;0," 
" &amp;DocLogistics[[#This Row],[Subcategory EN]],)</f>
        <v/>
      </c>
      <c r="D399" s="931"/>
      <c r="E399" s="869" t="str">
        <f>DocLogistics[[#This Row],[Category DE]]&amp;IF(LEN(DocLogistics[[#This Row],[Subcategory DE]])&gt;0," 
" &amp;DocLogistics[[#This Row],[Subcategory DE]],)</f>
        <v/>
      </c>
      <c r="F399" s="878"/>
      <c r="G399" s="876"/>
      <c r="H399" s="876"/>
      <c r="I399" s="876"/>
      <c r="J399" s="876"/>
      <c r="K399" s="876"/>
      <c r="L399" s="6"/>
    </row>
    <row r="400" spans="1:12" hidden="1" outlineLevel="1">
      <c r="B400" s="876" t="s">
        <v>140</v>
      </c>
      <c r="C400" s="869" t="str">
        <f>DocLogistics[[#This Row],[Category EN]]&amp;IF(LEN(DocLogistics[[#This Row],[Subcategory EN]])&gt;0," 
" &amp;DocLogistics[[#This Row],[Subcategory EN]],)</f>
        <v/>
      </c>
      <c r="D400" s="931"/>
      <c r="E400" s="869" t="str">
        <f>DocLogistics[[#This Row],[Category DE]]&amp;IF(LEN(DocLogistics[[#This Row],[Subcategory DE]])&gt;0," 
" &amp;DocLogistics[[#This Row],[Subcategory DE]],)</f>
        <v/>
      </c>
      <c r="F400" s="878"/>
      <c r="G400" s="876"/>
      <c r="H400" s="876"/>
      <c r="I400" s="876"/>
      <c r="J400" s="876"/>
      <c r="K400" s="876"/>
      <c r="L400" s="6"/>
    </row>
    <row r="401" spans="2:12" hidden="1" outlineLevel="1">
      <c r="B401" s="876" t="s">
        <v>38</v>
      </c>
      <c r="C401" s="869" t="str">
        <f>DocLogistics[[#This Row],[Category EN]]&amp;IF(LEN(DocLogistics[[#This Row],[Subcategory EN]])&gt;0," 
" &amp;DocLogistics[[#This Row],[Subcategory EN]],)</f>
        <v/>
      </c>
      <c r="D401" s="931"/>
      <c r="E401" s="869" t="str">
        <f>DocLogistics[[#This Row],[Category DE]]&amp;IF(LEN(DocLogistics[[#This Row],[Subcategory DE]])&gt;0," 
" &amp;DocLogistics[[#This Row],[Subcategory DE]],)</f>
        <v/>
      </c>
      <c r="F401" s="878"/>
      <c r="G401" s="876"/>
      <c r="H401" s="876"/>
      <c r="I401" s="876"/>
      <c r="J401" s="876"/>
      <c r="K401" s="876"/>
      <c r="L401" s="6"/>
    </row>
    <row r="402" spans="2:12" hidden="1" outlineLevel="1">
      <c r="B402" s="876" t="s">
        <v>121</v>
      </c>
      <c r="C402" s="869" t="str">
        <f>DocLogistics[[#This Row],[Category EN]]&amp;IF(LEN(DocLogistics[[#This Row],[Subcategory EN]])&gt;0," 
" &amp;DocLogistics[[#This Row],[Subcategory EN]],)</f>
        <v/>
      </c>
      <c r="D402" s="931"/>
      <c r="E402" s="869" t="str">
        <f>DocLogistics[[#This Row],[Category DE]]&amp;IF(LEN(DocLogistics[[#This Row],[Subcategory DE]])&gt;0," 
" &amp;DocLogistics[[#This Row],[Subcategory DE]],)</f>
        <v/>
      </c>
      <c r="F402" s="878"/>
      <c r="G402" s="876"/>
      <c r="H402" s="876"/>
      <c r="I402" s="876"/>
      <c r="J402" s="876"/>
      <c r="K402" s="876"/>
      <c r="L402" s="6"/>
    </row>
    <row r="403" spans="2:12" hidden="1" outlineLevel="1">
      <c r="B403" s="876" t="s">
        <v>122</v>
      </c>
      <c r="C403" s="869" t="str">
        <f>DocLogistics[[#This Row],[Category EN]]&amp;IF(LEN(DocLogistics[[#This Row],[Subcategory EN]])&gt;0," 
" &amp;DocLogistics[[#This Row],[Subcategory EN]],)</f>
        <v/>
      </c>
      <c r="D403" s="931"/>
      <c r="E403" s="869" t="str">
        <f>DocLogistics[[#This Row],[Category DE]]&amp;IF(LEN(DocLogistics[[#This Row],[Subcategory DE]])&gt;0," 
" &amp;DocLogistics[[#This Row],[Subcategory DE]],)</f>
        <v/>
      </c>
      <c r="F403" s="878"/>
      <c r="G403" s="876"/>
      <c r="H403" s="876"/>
      <c r="I403" s="876"/>
      <c r="J403" s="876"/>
      <c r="K403" s="876"/>
      <c r="L403" s="6"/>
    </row>
    <row r="404" spans="2:12" hidden="1" outlineLevel="1">
      <c r="B404" s="876" t="s">
        <v>2540</v>
      </c>
      <c r="C404" s="869" t="str">
        <f>DocLogistics[[#This Row],[Category EN]]&amp;IF(LEN(DocLogistics[[#This Row],[Subcategory EN]])&gt;0," 
" &amp;DocLogistics[[#This Row],[Subcategory EN]],)</f>
        <v/>
      </c>
      <c r="D404" s="931"/>
      <c r="E404" s="869" t="str">
        <f>DocLogistics[[#This Row],[Category DE]]&amp;IF(LEN(DocLogistics[[#This Row],[Subcategory DE]])&gt;0," 
" &amp;DocLogistics[[#This Row],[Subcategory DE]],)</f>
        <v>Geometrie</v>
      </c>
      <c r="F404" s="878"/>
      <c r="G404" s="876"/>
      <c r="H404" s="876"/>
      <c r="I404" s="876" t="s">
        <v>2540</v>
      </c>
      <c r="J404" s="876"/>
      <c r="K404" s="876"/>
      <c r="L404" s="6"/>
    </row>
    <row r="405" spans="2:12" ht="25.5" hidden="1" outlineLevel="1">
      <c r="B405" s="876" t="s">
        <v>2548</v>
      </c>
      <c r="C405" s="869" t="str">
        <f>DocLogistics[[#This Row],[Category EN]]&amp;IF(LEN(DocLogistics[[#This Row],[Subcategory EN]])&gt;0," 
" &amp;DocLogistics[[#This Row],[Subcategory EN]],)</f>
        <v/>
      </c>
      <c r="D405" s="931"/>
      <c r="E405" s="869" t="str">
        <f>DocLogistics[[#This Row],[Category DE]]&amp;IF(LEN(DocLogistics[[#This Row],[Subcategory DE]])&gt;0," 
" &amp;DocLogistics[[#This Row],[Subcategory DE]],)</f>
        <v>Indivudualverpackung</v>
      </c>
      <c r="F405" s="878"/>
      <c r="G405" s="876"/>
      <c r="H405" s="876"/>
      <c r="I405" s="876" t="s">
        <v>2548</v>
      </c>
      <c r="J405" s="876"/>
      <c r="K405" s="876"/>
      <c r="L405" s="6"/>
    </row>
    <row r="406" spans="2:12" hidden="1" outlineLevel="1">
      <c r="B406" s="876" t="s">
        <v>2545</v>
      </c>
      <c r="C406" s="869" t="str">
        <f>DocLogistics[[#This Row],[Category EN]]&amp;IF(LEN(DocLogistics[[#This Row],[Subcategory EN]])&gt;0," 
" &amp;DocLogistics[[#This Row],[Subcategory EN]],)</f>
        <v/>
      </c>
      <c r="D406" s="931"/>
      <c r="E406" s="869" t="str">
        <f>DocLogistics[[#This Row],[Category DE]]&amp;IF(LEN(DocLogistics[[#This Row],[Subcategory DE]])&gt;0," 
" &amp;DocLogistics[[#This Row],[Subcategory DE]],)</f>
        <v>Umverpackung</v>
      </c>
      <c r="F406" s="878"/>
      <c r="G406" s="876"/>
      <c r="H406" s="876"/>
      <c r="I406" s="876" t="s">
        <v>2545</v>
      </c>
      <c r="J406" s="876"/>
      <c r="K406" s="876"/>
      <c r="L406" s="6"/>
    </row>
    <row r="407" spans="2:12" hidden="1" outlineLevel="1">
      <c r="B407" s="876" t="s">
        <v>2539</v>
      </c>
      <c r="C407" s="869" t="str">
        <f>DocLogistics[[#This Row],[Category EN]]&amp;IF(LEN(DocLogistics[[#This Row],[Subcategory EN]])&gt;0," 
" &amp;DocLogistics[[#This Row],[Subcategory EN]],)</f>
        <v/>
      </c>
      <c r="D407" s="931"/>
      <c r="E407" s="869" t="str">
        <f>DocLogistics[[#This Row],[Category DE]]&amp;IF(LEN(DocLogistics[[#This Row],[Subcategory DE]])&gt;0," 
" &amp;DocLogistics[[#This Row],[Subcategory DE]],)</f>
        <v>Ladungsträger</v>
      </c>
      <c r="F407" s="878"/>
      <c r="G407" s="876"/>
      <c r="H407" s="876"/>
      <c r="I407" s="876" t="s">
        <v>2544</v>
      </c>
      <c r="J407" s="876"/>
      <c r="K407" s="876"/>
      <c r="L407" s="6"/>
    </row>
    <row r="408" spans="2:12" ht="25.5" hidden="1" outlineLevel="1">
      <c r="B408" s="876" t="s">
        <v>2547</v>
      </c>
      <c r="C408" s="869" t="str">
        <f>DocLogistics[[#This Row],[Category EN]]&amp;IF(LEN(DocLogistics[[#This Row],[Subcategory EN]])&gt;0," 
" &amp;DocLogistics[[#This Row],[Subcategory EN]],)</f>
        <v/>
      </c>
      <c r="D408" s="931"/>
      <c r="E408" s="869" t="str">
        <f>DocLogistics[[#This Row],[Category DE]]&amp;IF(LEN(DocLogistics[[#This Row],[Subcategory DE]])&gt;0," 
" &amp;DocLogistics[[#This Row],[Subcategory DE]],)</f>
        <v>Bauteile je Umverpackung</v>
      </c>
      <c r="F408" s="878"/>
      <c r="G408" s="876"/>
      <c r="H408" s="876"/>
      <c r="I408" s="876" t="s">
        <v>2550</v>
      </c>
      <c r="J408" s="876"/>
      <c r="K408" s="876"/>
      <c r="L408" s="6"/>
    </row>
    <row r="409" spans="2:12" ht="25.5" hidden="1" outlineLevel="1">
      <c r="B409" s="876" t="s">
        <v>2546</v>
      </c>
      <c r="C409" s="869" t="str">
        <f>DocLogistics[[#This Row],[Category EN]]&amp;IF(LEN(DocLogistics[[#This Row],[Subcategory EN]])&gt;0," 
" &amp;DocLogistics[[#This Row],[Subcategory EN]],)</f>
        <v/>
      </c>
      <c r="D409" s="931"/>
      <c r="E409" s="869" t="str">
        <f>DocLogistics[[#This Row],[Category DE]]&amp;IF(LEN(DocLogistics[[#This Row],[Subcategory DE]])&gt;0," 
" &amp;DocLogistics[[#This Row],[Subcategory DE]],)</f>
        <v>Umverpackungen je Ladungsträger</v>
      </c>
      <c r="F409" s="878"/>
      <c r="G409" s="876"/>
      <c r="H409" s="876"/>
      <c r="I409" s="876" t="s">
        <v>2551</v>
      </c>
      <c r="J409" s="876"/>
      <c r="K409" s="876"/>
      <c r="L409" s="6"/>
    </row>
    <row r="410" spans="2:12" hidden="1" outlineLevel="1">
      <c r="B410" s="876" t="s">
        <v>2515</v>
      </c>
      <c r="C410" s="869" t="str">
        <f>DocLogistics[[#This Row],[Category EN]]&amp;IF(LEN(DocLogistics[[#This Row],[Subcategory EN]])&gt;0," 
" &amp;DocLogistics[[#This Row],[Subcategory EN]],)</f>
        <v/>
      </c>
      <c r="D410" s="931"/>
      <c r="E410" s="869" t="str">
        <f>DocLogistics[[#This Row],[Category DE]]&amp;IF(LEN(DocLogistics[[#This Row],[Subcategory DE]])&gt;0," 
" &amp;DocLogistics[[#This Row],[Subcategory DE]],)</f>
        <v>Fahrzeug</v>
      </c>
      <c r="F410" s="878"/>
      <c r="G410" s="876"/>
      <c r="H410" s="876"/>
      <c r="I410" s="876" t="s">
        <v>2552</v>
      </c>
      <c r="J410" s="876"/>
      <c r="K410" s="876"/>
      <c r="L410" s="6"/>
    </row>
    <row r="411" spans="2:12" ht="25.5" hidden="1" outlineLevel="1">
      <c r="B411" s="876" t="s">
        <v>2538</v>
      </c>
      <c r="C411" s="869" t="str">
        <f>DocLogistics[[#This Row],[Category EN]]&amp;IF(LEN(DocLogistics[[#This Row],[Subcategory EN]])&gt;0," 
" &amp;DocLogistics[[#This Row],[Subcategory EN]],)</f>
        <v/>
      </c>
      <c r="D411" s="931"/>
      <c r="E411" s="869" t="str">
        <f>DocLogistics[[#This Row],[Category DE]]&amp;IF(LEN(DocLogistics[[#This Row],[Subcategory DE]])&gt;0," 
" &amp;DocLogistics[[#This Row],[Subcategory DE]],)</f>
        <v>Ladungsträger je Fahrzeug</v>
      </c>
      <c r="F411" s="878"/>
      <c r="G411" s="876"/>
      <c r="H411" s="876"/>
      <c r="I411" s="876" t="s">
        <v>2553</v>
      </c>
      <c r="J411" s="876"/>
      <c r="K411" s="876"/>
      <c r="L411" s="6"/>
    </row>
    <row r="412" spans="2:12" hidden="1" outlineLevel="1">
      <c r="B412" s="876" t="s">
        <v>2537</v>
      </c>
      <c r="C412" s="869" t="str">
        <f>DocLogistics[[#This Row],[Category EN]]&amp;IF(LEN(DocLogistics[[#This Row],[Subcategory EN]])&gt;0," 
" &amp;DocLogistics[[#This Row],[Subcategory EN]],)</f>
        <v/>
      </c>
      <c r="D412" s="931"/>
      <c r="E412" s="869" t="str">
        <f>DocLogistics[[#This Row],[Category DE]]&amp;IF(LEN(DocLogistics[[#This Row],[Subcategory DE]])&gt;0," 
" &amp;DocLogistics[[#This Row],[Subcategory DE]],)</f>
        <v>Container</v>
      </c>
      <c r="F412" s="878"/>
      <c r="G412" s="876"/>
      <c r="H412" s="876"/>
      <c r="I412" s="876" t="s">
        <v>2537</v>
      </c>
      <c r="J412" s="876"/>
      <c r="K412" s="876"/>
      <c r="L412" s="6"/>
    </row>
    <row r="413" spans="2:12" ht="25.5" hidden="1" outlineLevel="1">
      <c r="B413" s="876" t="s">
        <v>2536</v>
      </c>
      <c r="C413" s="869" t="str">
        <f>DocLogistics[[#This Row],[Category EN]]&amp;IF(LEN(DocLogistics[[#This Row],[Subcategory EN]])&gt;0," 
" &amp;DocLogistics[[#This Row],[Subcategory EN]],)</f>
        <v/>
      </c>
      <c r="D413" s="931"/>
      <c r="E413" s="869" t="str">
        <f>DocLogistics[[#This Row],[Category DE]]&amp;IF(LEN(DocLogistics[[#This Row],[Subcategory DE]])&gt;0," 
" &amp;DocLogistics[[#This Row],[Subcategory DE]],)</f>
        <v>Ladungsträger je Container</v>
      </c>
      <c r="F413" s="878"/>
      <c r="G413" s="876"/>
      <c r="H413" s="876"/>
      <c r="I413" s="876" t="s">
        <v>2554</v>
      </c>
      <c r="J413" s="876"/>
      <c r="K413" s="876"/>
      <c r="L413" s="6"/>
    </row>
    <row r="414" spans="2:12" hidden="1" outlineLevel="1">
      <c r="B414" s="876" t="s">
        <v>2535</v>
      </c>
      <c r="C414" s="869" t="str">
        <f>DocLogistics[[#This Row],[Category EN]]&amp;IF(LEN(DocLogistics[[#This Row],[Subcategory EN]])&gt;0," 
" &amp;DocLogistics[[#This Row],[Subcategory EN]],)</f>
        <v/>
      </c>
      <c r="D414" s="931"/>
      <c r="E414" s="869" t="str">
        <f>DocLogistics[[#This Row],[Category DE]]&amp;IF(LEN(DocLogistics[[#This Row],[Subcategory DE]])&gt;0," 
" &amp;DocLogistics[[#This Row],[Subcategory DE]],)</f>
        <v>Verpackungskosten</v>
      </c>
      <c r="F414" s="878"/>
      <c r="G414" s="876"/>
      <c r="H414" s="876"/>
      <c r="I414" s="876" t="s">
        <v>2555</v>
      </c>
      <c r="J414" s="876"/>
      <c r="K414" s="876"/>
      <c r="L414" s="6"/>
    </row>
    <row r="415" spans="2:12" hidden="1" outlineLevel="1">
      <c r="B415" s="876" t="s">
        <v>2534</v>
      </c>
      <c r="C415" s="869" t="str">
        <f>DocLogistics[[#This Row],[Category EN]]&amp;IF(LEN(DocLogistics[[#This Row],[Subcategory EN]])&gt;0," 
" &amp;DocLogistics[[#This Row],[Subcategory EN]],)</f>
        <v/>
      </c>
      <c r="D415" s="931"/>
      <c r="E415" s="869" t="str">
        <f>DocLogistics[[#This Row],[Category DE]]&amp;IF(LEN(DocLogistics[[#This Row],[Subcategory DE]])&gt;0," 
" &amp;DocLogistics[[#This Row],[Subcategory DE]],)</f>
        <v>Transportkosten</v>
      </c>
      <c r="F415" s="878"/>
      <c r="G415" s="876"/>
      <c r="H415" s="876"/>
      <c r="I415" s="876" t="s">
        <v>2556</v>
      </c>
      <c r="J415" s="876"/>
      <c r="K415" s="876"/>
      <c r="L415" s="6"/>
    </row>
    <row r="416" spans="2:12" ht="25.5" hidden="1" outlineLevel="1">
      <c r="B416" s="6" t="s">
        <v>2531</v>
      </c>
      <c r="C416" s="869" t="str">
        <f>C429</f>
        <v>Start</v>
      </c>
      <c r="D416" s="869">
        <f t="shared" ref="D416:J416" si="2">D429</f>
        <v>0</v>
      </c>
      <c r="E416" s="869" t="str">
        <f t="shared" si="2"/>
        <v>Start 
Lieferant</v>
      </c>
      <c r="F416" s="869" t="str">
        <f t="shared" si="2"/>
        <v>Die ID des Lieferanten (siehe Prämissen) am Anfang des Transportweges.</v>
      </c>
      <c r="G416" s="869" t="str">
        <f t="shared" si="2"/>
        <v>Start</v>
      </c>
      <c r="H416" s="869">
        <f t="shared" si="2"/>
        <v>0</v>
      </c>
      <c r="I416" s="869" t="str">
        <f t="shared" si="2"/>
        <v>Start</v>
      </c>
      <c r="J416" s="869" t="str">
        <f t="shared" si="2"/>
        <v>Lieferant</v>
      </c>
      <c r="K416" s="6"/>
      <c r="L416" s="6"/>
    </row>
    <row r="417" spans="2:12" ht="25.5" hidden="1" outlineLevel="1">
      <c r="B417" s="6" t="s">
        <v>2525</v>
      </c>
      <c r="C417" s="869" t="str">
        <f>C435</f>
        <v>Destination</v>
      </c>
      <c r="D417" s="869">
        <f t="shared" ref="D417:J417" si="3">D435</f>
        <v>0</v>
      </c>
      <c r="E417" s="869" t="str">
        <f>E435</f>
        <v>Ziel 
Lieferant</v>
      </c>
      <c r="F417" s="869" t="str">
        <f>F435</f>
        <v>Die ID des Lieferanten (siehe Prämissen) am Ende des Transportweges.</v>
      </c>
      <c r="G417" s="869" t="str">
        <f t="shared" si="3"/>
        <v>Destination</v>
      </c>
      <c r="H417" s="869">
        <f t="shared" si="3"/>
        <v>0</v>
      </c>
      <c r="I417" s="869" t="str">
        <f t="shared" si="3"/>
        <v>Ziel</v>
      </c>
      <c r="J417" s="869" t="str">
        <f t="shared" si="3"/>
        <v>Lieferant</v>
      </c>
      <c r="K417" s="6"/>
      <c r="L417" s="6"/>
    </row>
    <row r="418" spans="2:12" ht="38.25" hidden="1" outlineLevel="1">
      <c r="B418" s="6" t="s">
        <v>2386</v>
      </c>
      <c r="C418" s="869" t="str">
        <f>DocLogistics[[#This Row],[Category EN]]&amp;IF(LEN(DocLogistics[[#This Row],[Subcategory EN]])&gt;0," 
" &amp;DocLogistics[[#This Row],[Subcategory EN]],)</f>
        <v/>
      </c>
      <c r="E418" s="869" t="str">
        <f>DocLogistics[[#This Row],[Category DE]]&amp;IF(LEN(DocLogistics[[#This Row],[Subcategory DE]])&gt;0," 
" &amp;DocLogistics[[#This Row],[Subcategory DE]],)</f>
        <v>Transportkosten Straße 
Total</v>
      </c>
      <c r="F418" s="19" t="s">
        <v>3252</v>
      </c>
      <c r="I418" s="6" t="s">
        <v>3250</v>
      </c>
      <c r="J418" s="6" t="s">
        <v>70</v>
      </c>
      <c r="K418" s="6"/>
      <c r="L418" s="6"/>
    </row>
    <row r="419" spans="2:12" ht="38.25" hidden="1" outlineLevel="1">
      <c r="B419" s="6" t="s">
        <v>3244</v>
      </c>
      <c r="C419" s="869" t="str">
        <f>DocLogistics[[#This Row],[Category EN]]&amp;IF(LEN(DocLogistics[[#This Row],[Subcategory EN]])&gt;0," 
" &amp;DocLogistics[[#This Row],[Subcategory EN]],)</f>
        <v/>
      </c>
      <c r="E419" s="869" t="str">
        <f>DocLogistics[[#This Row],[Category DE]]&amp;IF(LEN(DocLogistics[[#This Row],[Subcategory DE]])&gt;0," 
" &amp;DocLogistics[[#This Row],[Subcategory DE]],)</f>
        <v>Transportkosten Straße 
Kraftstoff</v>
      </c>
      <c r="F419" s="19" t="s">
        <v>3251</v>
      </c>
      <c r="I419" s="6" t="s">
        <v>3250</v>
      </c>
      <c r="J419" s="6" t="s">
        <v>3239</v>
      </c>
      <c r="K419" s="6"/>
      <c r="L419" s="6"/>
    </row>
    <row r="420" spans="2:12" ht="38.25" hidden="1" outlineLevel="1">
      <c r="B420" s="6" t="s">
        <v>3245</v>
      </c>
      <c r="C420" s="869" t="str">
        <f>DocLogistics[[#This Row],[Category EN]]&amp;IF(LEN(DocLogistics[[#This Row],[Subcategory EN]])&gt;0," 
" &amp;DocLogistics[[#This Row],[Subcategory EN]],)</f>
        <v/>
      </c>
      <c r="E420" s="869" t="str">
        <f>DocLogistics[[#This Row],[Category DE]]&amp;IF(LEN(DocLogistics[[#This Row],[Subcategory DE]])&gt;0," 
" &amp;DocLogistics[[#This Row],[Subcategory DE]],)</f>
        <v>Transportkosten Straße 
Personal</v>
      </c>
      <c r="F420" s="19" t="s">
        <v>3254</v>
      </c>
      <c r="I420" s="6" t="s">
        <v>3250</v>
      </c>
      <c r="J420" s="6" t="s">
        <v>2516</v>
      </c>
      <c r="K420" s="6"/>
      <c r="L420" s="6"/>
    </row>
    <row r="421" spans="2:12" ht="51" hidden="1" outlineLevel="1">
      <c r="B421" s="6" t="s">
        <v>3246</v>
      </c>
      <c r="C421" s="869" t="str">
        <f>DocLogistics[[#This Row],[Category EN]]&amp;IF(LEN(DocLogistics[[#This Row],[Subcategory EN]])&gt;0," 
" &amp;DocLogistics[[#This Row],[Subcategory EN]],)</f>
        <v/>
      </c>
      <c r="E421" s="869" t="str">
        <f>DocLogistics[[#This Row],[Category DE]]&amp;IF(LEN(DocLogistics[[#This Row],[Subcategory DE]])&gt;0," 
" &amp;DocLogistics[[#This Row],[Subcategory DE]],)</f>
        <v>Transportkosten Straße 
Sonstige</v>
      </c>
      <c r="F421" s="19" t="s">
        <v>3253</v>
      </c>
      <c r="I421" s="6" t="s">
        <v>3250</v>
      </c>
      <c r="J421" s="6" t="s">
        <v>666</v>
      </c>
      <c r="K421" s="6"/>
      <c r="L421" s="6"/>
    </row>
    <row r="422" spans="2:12" ht="25.5" hidden="1" outlineLevel="1">
      <c r="B422" s="6" t="s">
        <v>2385</v>
      </c>
      <c r="C422" s="869" t="str">
        <f>DocLogistics[[#This Row],[Category EN]]&amp;IF(LEN(DocLogistics[[#This Row],[Subcategory EN]])&gt;0," 
" &amp;DocLogistics[[#This Row],[Subcategory EN]],)</f>
        <v/>
      </c>
      <c r="E422" s="869" t="str">
        <f>DocLogistics[[#This Row],[Category DE]]&amp;IF(LEN(DocLogistics[[#This Row],[Subcategory DE]])&gt;0," 
" &amp;DocLogistics[[#This Row],[Subcategory DE]],)</f>
        <v>Transportkosten Schiene</v>
      </c>
      <c r="I422" s="6" t="s">
        <v>3248</v>
      </c>
      <c r="K422" s="6"/>
      <c r="L422" s="6"/>
    </row>
    <row r="423" spans="2:12" hidden="1" outlineLevel="1">
      <c r="B423" s="6" t="s">
        <v>2383</v>
      </c>
      <c r="C423" s="869" t="str">
        <f>DocLogistics[[#This Row],[Category EN]]&amp;IF(LEN(DocLogistics[[#This Row],[Subcategory EN]])&gt;0," 
" &amp;DocLogistics[[#This Row],[Subcategory EN]],)</f>
        <v/>
      </c>
      <c r="E423" s="869" t="str">
        <f>DocLogistics[[#This Row],[Category DE]]&amp;IF(LEN(DocLogistics[[#This Row],[Subcategory DE]])&gt;0," 
" &amp;DocLogistics[[#This Row],[Subcategory DE]],)</f>
        <v>Transportkosten Luft</v>
      </c>
      <c r="I423" s="6" t="s">
        <v>3249</v>
      </c>
      <c r="K423" s="6"/>
      <c r="L423" s="6"/>
    </row>
    <row r="424" spans="2:12" ht="25.5" hidden="1" outlineLevel="1">
      <c r="B424" s="876" t="s">
        <v>2384</v>
      </c>
      <c r="D424" s="931"/>
      <c r="E424" s="869" t="str">
        <f>DocLogistics[[#This Row],[Category DE]]&amp;IF(LEN(DocLogistics[[#This Row],[Subcategory DE]])&gt;0," 
" &amp;DocLogistics[[#This Row],[Subcategory DE]],)</f>
        <v>Transportkosten See 
Total</v>
      </c>
      <c r="F424" s="878"/>
      <c r="G424" s="876"/>
      <c r="H424" s="876"/>
      <c r="I424" s="6" t="s">
        <v>3247</v>
      </c>
      <c r="J424" s="6" t="s">
        <v>70</v>
      </c>
      <c r="K424" s="876"/>
      <c r="L424" s="6"/>
    </row>
    <row r="425" spans="2:12" ht="25.5" hidden="1" outlineLevel="1">
      <c r="B425" s="6" t="s">
        <v>3279</v>
      </c>
      <c r="C425" s="869" t="str">
        <f>DocLogistics[[#This Row],[Category EN]]&amp;IF(LEN(DocLogistics[[#This Row],[Subcategory EN]])&gt;0," 
" &amp;DocLogistics[[#This Row],[Subcategory EN]],)</f>
        <v/>
      </c>
      <c r="E425" s="869" t="str">
        <f>DocLogistics[[#This Row],[Category DE]]&amp;IF(LEN(DocLogistics[[#This Row],[Subcategory DE]])&gt;0," 
" &amp;DocLogistics[[#This Row],[Subcategory DE]],)</f>
        <v>Transportkosten See 
Transport</v>
      </c>
      <c r="I425" s="6" t="s">
        <v>3247</v>
      </c>
      <c r="J425" s="6" t="s">
        <v>2249</v>
      </c>
      <c r="K425" s="6"/>
      <c r="L425" s="6"/>
    </row>
    <row r="426" spans="2:12" ht="38.25" hidden="1" outlineLevel="1">
      <c r="B426" s="6" t="s">
        <v>3280</v>
      </c>
      <c r="C426" s="869" t="str">
        <f>DocLogistics[[#This Row],[Category EN]]&amp;IF(LEN(DocLogistics[[#This Row],[Subcategory EN]])&gt;0," 
" &amp;DocLogistics[[#This Row],[Subcategory EN]],)</f>
        <v/>
      </c>
      <c r="E426" s="869" t="str">
        <f>DocLogistics[[#This Row],[Category DE]]&amp;IF(LEN(DocLogistics[[#This Row],[Subcategory DE]])&gt;0," 
" &amp;DocLogistics[[#This Row],[Subcategory DE]],)</f>
        <v>Transportkosten See 
Laden und Entladen des Containers</v>
      </c>
      <c r="I426" s="6" t="s">
        <v>3247</v>
      </c>
      <c r="J426" s="6" t="s">
        <v>3281</v>
      </c>
      <c r="K426" s="6"/>
      <c r="L426" s="6"/>
    </row>
    <row r="427" spans="2:12" hidden="1" outlineLevel="1">
      <c r="B427" s="876" t="s">
        <v>2533</v>
      </c>
      <c r="C427" s="869" t="str">
        <f>DocLogistics[[#This Row],[Category EN]]&amp;IF(LEN(DocLogistics[[#This Row],[Subcategory EN]])&gt;0," 
" &amp;DocLogistics[[#This Row],[Subcategory EN]],)</f>
        <v/>
      </c>
      <c r="D427" s="931"/>
      <c r="E427" s="869" t="str">
        <f>DocLogistics[[#This Row],[Category DE]]&amp;IF(LEN(DocLogistics[[#This Row],[Subcategory DE]])&gt;0," 
" &amp;DocLogistics[[#This Row],[Subcategory DE]],)</f>
        <v>Zollkosten</v>
      </c>
      <c r="F427" s="878"/>
      <c r="G427" s="876"/>
      <c r="H427" s="876"/>
      <c r="I427" s="876" t="s">
        <v>2557</v>
      </c>
      <c r="J427" s="876"/>
      <c r="K427" s="876"/>
      <c r="L427" s="6"/>
    </row>
    <row r="428" spans="2:12" hidden="1" outlineLevel="1">
      <c r="B428" s="876" t="s">
        <v>2532</v>
      </c>
      <c r="C428" s="869" t="str">
        <f>DocLogistics[[#This Row],[Category EN]]&amp;IF(LEN(DocLogistics[[#This Row],[Subcategory EN]])&gt;0," 
" &amp;DocLogistics[[#This Row],[Subcategory EN]],)</f>
        <v/>
      </c>
      <c r="D428" s="931"/>
      <c r="E428" s="869" t="str">
        <f>DocLogistics[[#This Row],[Category DE]]&amp;IF(LEN(DocLogistics[[#This Row],[Subcategory DE]])&gt;0," 
" &amp;DocLogistics[[#This Row],[Subcategory DE]],)</f>
        <v>Logistikkosten</v>
      </c>
      <c r="F428" s="878"/>
      <c r="G428" s="876"/>
      <c r="H428" s="876"/>
      <c r="I428" s="876" t="s">
        <v>2558</v>
      </c>
      <c r="J428" s="876"/>
      <c r="K428" s="876"/>
      <c r="L428" s="6"/>
    </row>
    <row r="429" spans="2:12" ht="25.5" hidden="1" outlineLevel="1">
      <c r="B429" s="6" t="s">
        <v>2531</v>
      </c>
      <c r="C429" s="869" t="str">
        <f>DocLogistics[[#This Row],[Category EN]]&amp;IF(LEN(DocLogistics[[#This Row],[Subcategory EN]])&gt;0," 
" &amp;DocLogistics[[#This Row],[Subcategory EN]],)</f>
        <v>Start</v>
      </c>
      <c r="E429" s="869" t="str">
        <f>DocLogistics[[#This Row],[Category DE]]&amp;IF(LEN(DocLogistics[[#This Row],[Subcategory DE]])&gt;0," 
" &amp;DocLogistics[[#This Row],[Subcategory DE]],)</f>
        <v>Start 
Lieferant</v>
      </c>
      <c r="F429" s="19" t="s">
        <v>2571</v>
      </c>
      <c r="G429" s="6" t="s">
        <v>2531</v>
      </c>
      <c r="I429" s="6" t="s">
        <v>2531</v>
      </c>
      <c r="J429" s="6" t="s">
        <v>558</v>
      </c>
      <c r="K429" s="6"/>
      <c r="L429" s="6"/>
    </row>
    <row r="430" spans="2:12" ht="76.5" hidden="1" outlineLevel="1">
      <c r="B430" s="6" t="s">
        <v>2530</v>
      </c>
      <c r="C430" s="869" t="str">
        <f>DocLogistics[[#This Row],[Category EN]]&amp;IF(LEN(DocLogistics[[#This Row],[Subcategory EN]])&gt;0," 
" &amp;DocLogistics[[#This Row],[Subcategory EN]],)</f>
        <v>Start</v>
      </c>
      <c r="E430" s="869" t="str">
        <f>DocLogistics[[#This Row],[Category DE]]&amp;IF(LEN(DocLogistics[[#This Row],[Subcategory DE]])&gt;0," 
" &amp;DocLogistics[[#This Row],[Subcategory DE]],)</f>
        <v>Start 
Latitude in Dezimalgrad</v>
      </c>
      <c r="F430" s="19" t="s">
        <v>2572</v>
      </c>
      <c r="G430" s="6" t="s">
        <v>2531</v>
      </c>
      <c r="I430" s="6" t="s">
        <v>2531</v>
      </c>
      <c r="J430" s="6" t="s">
        <v>2559</v>
      </c>
      <c r="K430" s="6"/>
      <c r="L430" s="6"/>
    </row>
    <row r="431" spans="2:12" ht="76.5" hidden="1" outlineLevel="1">
      <c r="B431" s="6" t="s">
        <v>2529</v>
      </c>
      <c r="C431" s="869" t="str">
        <f>DocLogistics[[#This Row],[Category EN]]&amp;IF(LEN(DocLogistics[[#This Row],[Subcategory EN]])&gt;0," 
" &amp;DocLogistics[[#This Row],[Subcategory EN]],)</f>
        <v>Start</v>
      </c>
      <c r="E431" s="869" t="str">
        <f>DocLogistics[[#This Row],[Category DE]]&amp;IF(LEN(DocLogistics[[#This Row],[Subcategory DE]])&gt;0," 
" &amp;DocLogistics[[#This Row],[Subcategory DE]],)</f>
        <v>Start 
Longitude in Dezimalgrad</v>
      </c>
      <c r="F431" s="19" t="s">
        <v>2573</v>
      </c>
      <c r="G431" s="6" t="s">
        <v>2531</v>
      </c>
      <c r="I431" s="6" t="s">
        <v>2531</v>
      </c>
      <c r="J431" s="6" t="s">
        <v>2560</v>
      </c>
      <c r="K431" s="6"/>
      <c r="L431" s="6"/>
    </row>
    <row r="432" spans="2:12" ht="89.25" hidden="1" outlineLevel="1">
      <c r="B432" s="6" t="s">
        <v>2528</v>
      </c>
      <c r="C432" s="869" t="str">
        <f>DocLogistics[[#This Row],[Category EN]]&amp;IF(LEN(DocLogistics[[#This Row],[Subcategory EN]])&gt;0," 
" &amp;DocLogistics[[#This Row],[Subcategory EN]],)</f>
        <v>Start</v>
      </c>
      <c r="E432" s="869" t="str">
        <f>DocLogistics[[#This Row],[Category DE]]&amp;IF(LEN(DocLogistics[[#This Row],[Subcategory DE]])&gt;0," 
" &amp;DocLogistics[[#This Row],[Subcategory DE]],)</f>
        <v>Start 
Entfernung zum nächsten Hafen</v>
      </c>
      <c r="F432" s="19" t="s">
        <v>2587</v>
      </c>
      <c r="G432" s="6" t="s">
        <v>2531</v>
      </c>
      <c r="I432" s="6" t="s">
        <v>2531</v>
      </c>
      <c r="J432" s="6" t="s">
        <v>2141</v>
      </c>
      <c r="K432" s="6"/>
      <c r="L432" s="6"/>
    </row>
    <row r="433" spans="2:12" ht="89.25" hidden="1" outlineLevel="1">
      <c r="B433" s="6" t="s">
        <v>2527</v>
      </c>
      <c r="C433" s="869" t="str">
        <f>DocLogistics[[#This Row],[Category EN]]&amp;IF(LEN(DocLogistics[[#This Row],[Subcategory EN]])&gt;0," 
" &amp;DocLogistics[[#This Row],[Subcategory EN]],)</f>
        <v>Start</v>
      </c>
      <c r="E433" s="869" t="str">
        <f>DocLogistics[[#This Row],[Category DE]]&amp;IF(LEN(DocLogistics[[#This Row],[Subcategory DE]])&gt;0," 
" &amp;DocLogistics[[#This Row],[Subcategory DE]],)</f>
        <v>Start 
Entfernung zum nächsten Flughafen</v>
      </c>
      <c r="F433" s="19" t="s">
        <v>2585</v>
      </c>
      <c r="G433" s="6" t="s">
        <v>2531</v>
      </c>
      <c r="I433" s="6" t="s">
        <v>2531</v>
      </c>
      <c r="J433" s="6" t="s">
        <v>2499</v>
      </c>
      <c r="K433" s="6"/>
      <c r="L433" s="6"/>
    </row>
    <row r="434" spans="2:12" ht="90" hidden="1" outlineLevel="1" thickBot="1">
      <c r="B434" s="936" t="s">
        <v>2526</v>
      </c>
      <c r="C434" s="937" t="str">
        <f>DocLogistics[[#This Row],[Category EN]]&amp;IF(LEN(DocLogistics[[#This Row],[Subcategory EN]])&gt;0," 
" &amp;DocLogistics[[#This Row],[Subcategory EN]],)</f>
        <v>Start</v>
      </c>
      <c r="D434" s="938"/>
      <c r="E434" s="937" t="str">
        <f>DocLogistics[[#This Row],[Category DE]]&amp;IF(LEN(DocLogistics[[#This Row],[Subcategory DE]])&gt;0," 
" &amp;DocLogistics[[#This Row],[Subcategory DE]],)</f>
        <v>Start 
Entfernung zum nächsten Bahnhof</v>
      </c>
      <c r="F434" s="939" t="s">
        <v>2586</v>
      </c>
      <c r="G434" s="936" t="s">
        <v>2531</v>
      </c>
      <c r="H434" s="936"/>
      <c r="I434" s="936" t="s">
        <v>2531</v>
      </c>
      <c r="J434" s="936" t="s">
        <v>2500</v>
      </c>
      <c r="K434" s="936"/>
      <c r="L434" s="6"/>
    </row>
    <row r="435" spans="2:12" ht="25.5" hidden="1" outlineLevel="1">
      <c r="B435" s="932" t="s">
        <v>2525</v>
      </c>
      <c r="C435" s="933" t="str">
        <f>DocLogistics[[#This Row],[Category EN]]&amp;IF(LEN(DocLogistics[[#This Row],[Subcategory EN]])&gt;0," 
" &amp;DocLogistics[[#This Row],[Subcategory EN]],)</f>
        <v>Destination</v>
      </c>
      <c r="D435" s="934"/>
      <c r="E435" s="933" t="str">
        <f>DocLogistics[[#This Row],[Category DE]]&amp;IF(LEN(DocLogistics[[#This Row],[Subcategory DE]])&gt;0," 
" &amp;DocLogistics[[#This Row],[Subcategory DE]],)</f>
        <v>Ziel 
Lieferant</v>
      </c>
      <c r="F435" s="935" t="s">
        <v>2570</v>
      </c>
      <c r="G435" s="932" t="s">
        <v>2574</v>
      </c>
      <c r="H435" s="932"/>
      <c r="I435" s="932" t="s">
        <v>2525</v>
      </c>
      <c r="J435" s="932" t="s">
        <v>558</v>
      </c>
      <c r="K435" s="932"/>
      <c r="L435" s="6"/>
    </row>
    <row r="436" spans="2:12" ht="76.5" hidden="1" outlineLevel="1">
      <c r="B436" s="6" t="s">
        <v>2524</v>
      </c>
      <c r="C436" s="869" t="str">
        <f>DocLogistics[[#This Row],[Category EN]]&amp;IF(LEN(DocLogistics[[#This Row],[Subcategory EN]])&gt;0," 
" &amp;DocLogistics[[#This Row],[Subcategory EN]],)</f>
        <v>Destination</v>
      </c>
      <c r="E436" s="869" t="str">
        <f>DocLogistics[[#This Row],[Category DE]]&amp;IF(LEN(DocLogistics[[#This Row],[Subcategory DE]])&gt;0," 
" &amp;DocLogistics[[#This Row],[Subcategory DE]],)</f>
        <v>Ziel 
Latitude in Dezimalgrad</v>
      </c>
      <c r="F436" s="19" t="s">
        <v>2569</v>
      </c>
      <c r="G436" s="6" t="s">
        <v>2574</v>
      </c>
      <c r="I436" s="6" t="s">
        <v>2525</v>
      </c>
      <c r="J436" s="6" t="s">
        <v>2559</v>
      </c>
      <c r="K436" s="6"/>
      <c r="L436" s="6"/>
    </row>
    <row r="437" spans="2:12" ht="76.5" hidden="1" outlineLevel="1">
      <c r="B437" s="6" t="s">
        <v>2523</v>
      </c>
      <c r="C437" s="869" t="str">
        <f>DocLogistics[[#This Row],[Category EN]]&amp;IF(LEN(DocLogistics[[#This Row],[Subcategory EN]])&gt;0," 
" &amp;DocLogistics[[#This Row],[Subcategory EN]],)</f>
        <v>Destination</v>
      </c>
      <c r="E437" s="869" t="str">
        <f>DocLogistics[[#This Row],[Category DE]]&amp;IF(LEN(DocLogistics[[#This Row],[Subcategory DE]])&gt;0," 
" &amp;DocLogistics[[#This Row],[Subcategory DE]],)</f>
        <v>Ziel 
Longitude in Dezimalgrad</v>
      </c>
      <c r="F437" s="19" t="s">
        <v>2568</v>
      </c>
      <c r="G437" s="6" t="s">
        <v>2574</v>
      </c>
      <c r="I437" s="6" t="s">
        <v>2525</v>
      </c>
      <c r="J437" s="6" t="s">
        <v>2560</v>
      </c>
      <c r="K437" s="6"/>
      <c r="L437" s="6"/>
    </row>
    <row r="438" spans="2:12" ht="89.25" hidden="1" outlineLevel="1">
      <c r="B438" s="6" t="s">
        <v>2522</v>
      </c>
      <c r="C438" s="869" t="str">
        <f>DocLogistics[[#This Row],[Category EN]]&amp;IF(LEN(DocLogistics[[#This Row],[Subcategory EN]])&gt;0," 
" &amp;DocLogistics[[#This Row],[Subcategory EN]],)</f>
        <v>Destination</v>
      </c>
      <c r="E438" s="869" t="str">
        <f>DocLogistics[[#This Row],[Category DE]]&amp;IF(LEN(DocLogistics[[#This Row],[Subcategory DE]])&gt;0," 
" &amp;DocLogistics[[#This Row],[Subcategory DE]],)</f>
        <v>Ziel 
Entfernung zum nächsten Hafen</v>
      </c>
      <c r="F438" s="19" t="s">
        <v>2587</v>
      </c>
      <c r="G438" s="6" t="s">
        <v>2574</v>
      </c>
      <c r="I438" s="6" t="s">
        <v>2525</v>
      </c>
      <c r="J438" s="6" t="s">
        <v>2141</v>
      </c>
      <c r="K438" s="6"/>
      <c r="L438" s="6"/>
    </row>
    <row r="439" spans="2:12" ht="89.25" hidden="1" outlineLevel="1">
      <c r="B439" s="6" t="s">
        <v>2521</v>
      </c>
      <c r="C439" s="869" t="str">
        <f>DocLogistics[[#This Row],[Category EN]]&amp;IF(LEN(DocLogistics[[#This Row],[Subcategory EN]])&gt;0," 
" &amp;DocLogistics[[#This Row],[Subcategory EN]],)</f>
        <v>Destination</v>
      </c>
      <c r="E439" s="869" t="str">
        <f>DocLogistics[[#This Row],[Category DE]]&amp;IF(LEN(DocLogistics[[#This Row],[Subcategory DE]])&gt;0," 
" &amp;DocLogistics[[#This Row],[Subcategory DE]],)</f>
        <v>Ziel 
Entfernung zum nächsten Flughafen</v>
      </c>
      <c r="F439" s="19" t="s">
        <v>2585</v>
      </c>
      <c r="G439" s="6" t="s">
        <v>2574</v>
      </c>
      <c r="I439" s="6" t="s">
        <v>2525</v>
      </c>
      <c r="J439" s="6" t="s">
        <v>2499</v>
      </c>
      <c r="K439" s="6"/>
      <c r="L439" s="6"/>
    </row>
    <row r="440" spans="2:12" ht="90" hidden="1" outlineLevel="1" thickBot="1">
      <c r="B440" s="6" t="s">
        <v>2520</v>
      </c>
      <c r="C440" s="869" t="str">
        <f>DocLogistics[[#This Row],[Category EN]]&amp;IF(LEN(DocLogistics[[#This Row],[Subcategory EN]])&gt;0," 
" &amp;DocLogistics[[#This Row],[Subcategory EN]],)</f>
        <v>Destination</v>
      </c>
      <c r="E440" s="869" t="str">
        <f>DocLogistics[[#This Row],[Category DE]]&amp;IF(LEN(DocLogistics[[#This Row],[Subcategory DE]])&gt;0," 
" &amp;DocLogistics[[#This Row],[Subcategory DE]],)</f>
        <v>Ziel 
Entfernung zum nächsten Bahnhof</v>
      </c>
      <c r="F440" s="939" t="s">
        <v>2586</v>
      </c>
      <c r="G440" s="6" t="s">
        <v>2574</v>
      </c>
      <c r="I440" s="6" t="s">
        <v>2525</v>
      </c>
      <c r="J440" s="6" t="s">
        <v>2500</v>
      </c>
      <c r="K440" s="6"/>
      <c r="L440" s="6"/>
    </row>
    <row r="441" spans="2:12" ht="51" hidden="1" outlineLevel="1">
      <c r="B441" s="6" t="s">
        <v>2519</v>
      </c>
      <c r="C441" s="869" t="str">
        <f>DocLogistics[[#This Row],[Category EN]]&amp;IF(LEN(DocLogistics[[#This Row],[Subcategory EN]])&gt;0," 
" &amp;DocLogistics[[#This Row],[Subcategory EN]],)</f>
        <v/>
      </c>
      <c r="E441" s="869" t="str">
        <f>DocLogistics[[#This Row],[Category DE]]&amp;IF(LEN(DocLogistics[[#This Row],[Subcategory DE]])&gt;0," 
" &amp;DocLogistics[[#This Row],[Subcategory DE]],)</f>
        <v>Transportmethode</v>
      </c>
      <c r="F441" s="19" t="s">
        <v>2578</v>
      </c>
      <c r="I441" s="6" t="s">
        <v>2561</v>
      </c>
      <c r="K441" s="6"/>
      <c r="L441" s="6"/>
    </row>
    <row r="442" spans="2:12" ht="63.75" hidden="1" outlineLevel="1">
      <c r="B442" s="6" t="s">
        <v>2518</v>
      </c>
      <c r="C442" s="869" t="str">
        <f>DocLogistics[[#This Row],[Category EN]]&amp;IF(LEN(DocLogistics[[#This Row],[Subcategory EN]])&gt;0," 
" &amp;DocLogistics[[#This Row],[Subcategory EN]],)</f>
        <v/>
      </c>
      <c r="E442" s="869" t="str">
        <f>DocLogistics[[#This Row],[Category DE]]&amp;IF(LEN(DocLogistics[[#This Row],[Subcategory DE]])&gt;0," 
" &amp;DocLogistics[[#This Row],[Subcategory DE]],)</f>
        <v>Transportmethode am Start</v>
      </c>
      <c r="F442" s="19" t="s">
        <v>2575</v>
      </c>
      <c r="I442" s="6" t="s">
        <v>2562</v>
      </c>
      <c r="K442" s="6"/>
      <c r="L442" s="6"/>
    </row>
    <row r="443" spans="2:12" ht="63.75" hidden="1" outlineLevel="1">
      <c r="B443" s="6" t="s">
        <v>2517</v>
      </c>
      <c r="C443" s="869" t="str">
        <f>DocLogistics[[#This Row],[Category EN]]&amp;IF(LEN(DocLogistics[[#This Row],[Subcategory EN]])&gt;0," 
" &amp;DocLogistics[[#This Row],[Subcategory EN]],)</f>
        <v/>
      </c>
      <c r="E443" s="869" t="str">
        <f>DocLogistics[[#This Row],[Category DE]]&amp;IF(LEN(DocLogistics[[#This Row],[Subcategory DE]])&gt;0," 
" &amp;DocLogistics[[#This Row],[Subcategory DE]],)</f>
        <v>Transportmethode am Ziel</v>
      </c>
      <c r="F443" s="19" t="s">
        <v>2588</v>
      </c>
      <c r="I443" s="6" t="s">
        <v>2563</v>
      </c>
      <c r="K443" s="6"/>
      <c r="L443" s="6"/>
    </row>
    <row r="444" spans="2:12" ht="76.5" hidden="1" outlineLevel="1">
      <c r="B444" s="6" t="s">
        <v>2516</v>
      </c>
      <c r="C444" s="869" t="str">
        <f>DocLogistics[[#This Row],[Category EN]]&amp;IF(LEN(DocLogistics[[#This Row],[Subcategory EN]])&gt;0," 
" &amp;DocLogistics[[#This Row],[Subcategory EN]],)</f>
        <v/>
      </c>
      <c r="E444" s="869" t="str">
        <f>DocLogistics[[#This Row],[Category DE]]&amp;IF(LEN(DocLogistics[[#This Row],[Subcategory DE]])&gt;0," 
" &amp;DocLogistics[[#This Row],[Subcategory DE]],)</f>
        <v>Herkunft Personal</v>
      </c>
      <c r="F444" s="19" t="s">
        <v>2577</v>
      </c>
      <c r="I444" s="6" t="s">
        <v>2542</v>
      </c>
      <c r="K444" s="6"/>
      <c r="L444" s="6"/>
    </row>
    <row r="445" spans="2:12" ht="25.5" hidden="1" outlineLevel="1">
      <c r="B445" s="6" t="s">
        <v>2566</v>
      </c>
      <c r="C445" s="869" t="str">
        <f>DocLogistics[[#This Row],[Category EN]]&amp;IF(LEN(DocLogistics[[#This Row],[Subcategory EN]])&gt;0," 
" &amp;DocLogistics[[#This Row],[Subcategory EN]],)</f>
        <v/>
      </c>
      <c r="E445" s="869" t="str">
        <f>DocLogistics[[#This Row],[Category DE]]&amp;IF(LEN(DocLogistics[[#This Row],[Subcategory DE]])&gt;0," 
" &amp;DocLogistics[[#This Row],[Subcategory DE]],)</f>
        <v>Distanz am Start in km 
Straße</v>
      </c>
      <c r="F445" s="19" t="s">
        <v>2589</v>
      </c>
      <c r="I445" s="6" t="s">
        <v>2579</v>
      </c>
      <c r="J445" s="6" t="s">
        <v>2386</v>
      </c>
      <c r="K445" s="6"/>
      <c r="L445" s="6"/>
    </row>
    <row r="446" spans="2:12" ht="38.25" hidden="1" outlineLevel="1">
      <c r="B446" s="6" t="s">
        <v>2567</v>
      </c>
      <c r="C446" s="869" t="str">
        <f>DocLogistics[[#This Row],[Category EN]]&amp;IF(LEN(DocLogistics[[#This Row],[Subcategory EN]])&gt;0," 
" &amp;DocLogistics[[#This Row],[Subcategory EN]],)</f>
        <v/>
      </c>
      <c r="E446" s="869" t="str">
        <f>DocLogistics[[#This Row],[Category DE]]&amp;IF(LEN(DocLogistics[[#This Row],[Subcategory DE]])&gt;0," 
" &amp;DocLogistics[[#This Row],[Subcategory DE]],)</f>
        <v>Distanz am Start in km 
Schiene</v>
      </c>
      <c r="F446" s="19" t="s">
        <v>2590</v>
      </c>
      <c r="I446" s="6" t="s">
        <v>2579</v>
      </c>
      <c r="J446" s="6" t="s">
        <v>2385</v>
      </c>
      <c r="K446" s="6"/>
      <c r="L446" s="6"/>
    </row>
    <row r="447" spans="2:12" ht="63.75" hidden="1" outlineLevel="1">
      <c r="B447" s="932" t="s">
        <v>2386</v>
      </c>
      <c r="C447" s="933" t="str">
        <f>DocLogistics[[#This Row],[Category EN]]&amp;IF(LEN(DocLogistics[[#This Row],[Subcategory EN]])&gt;0," 
" &amp;DocLogistics[[#This Row],[Subcategory EN]],)</f>
        <v/>
      </c>
      <c r="D447" s="934"/>
      <c r="E447" s="933" t="str">
        <f>DocLogistics[[#This Row],[Category DE]]&amp;IF(LEN(DocLogistics[[#This Row],[Subcategory DE]])&gt;0," 
" &amp;DocLogistics[[#This Row],[Subcategory DE]],)</f>
        <v>Distanz in km 
Straße</v>
      </c>
      <c r="F447" s="935" t="s">
        <v>2584</v>
      </c>
      <c r="G447" s="932"/>
      <c r="H447" s="932"/>
      <c r="I447" s="932" t="s">
        <v>2541</v>
      </c>
      <c r="J447" s="932" t="s">
        <v>2386</v>
      </c>
      <c r="K447" s="932"/>
      <c r="L447" s="6"/>
    </row>
    <row r="448" spans="2:12" ht="76.5" hidden="1" outlineLevel="1">
      <c r="B448" s="6" t="s">
        <v>2385</v>
      </c>
      <c r="C448" s="869" t="str">
        <f>DocLogistics[[#This Row],[Category EN]]&amp;IF(LEN(DocLogistics[[#This Row],[Subcategory EN]])&gt;0," 
" &amp;DocLogistics[[#This Row],[Subcategory EN]],)</f>
        <v/>
      </c>
      <c r="E448" s="869" t="str">
        <f>DocLogistics[[#This Row],[Category DE]]&amp;IF(LEN(DocLogistics[[#This Row],[Subcategory DE]])&gt;0," 
" &amp;DocLogistics[[#This Row],[Subcategory DE]],)</f>
        <v>Distanz in km 
Schiene</v>
      </c>
      <c r="F448" s="19" t="s">
        <v>2593</v>
      </c>
      <c r="I448" s="6" t="s">
        <v>2541</v>
      </c>
      <c r="J448" s="6" t="s">
        <v>2385</v>
      </c>
      <c r="K448" s="6"/>
      <c r="L448" s="6"/>
    </row>
    <row r="449" spans="1:12" ht="76.5" hidden="1" outlineLevel="1">
      <c r="B449" s="6" t="s">
        <v>2383</v>
      </c>
      <c r="C449" s="869" t="str">
        <f>DocLogistics[[#This Row],[Category EN]]&amp;IF(LEN(DocLogistics[[#This Row],[Subcategory EN]])&gt;0," 
" &amp;DocLogistics[[#This Row],[Subcategory EN]],)</f>
        <v/>
      </c>
      <c r="E449" s="869" t="str">
        <f>DocLogistics[[#This Row],[Category DE]]&amp;IF(LEN(DocLogistics[[#This Row],[Subcategory DE]])&gt;0," 
" &amp;DocLogistics[[#This Row],[Subcategory DE]],)</f>
        <v>Distanz in km 
Luft</v>
      </c>
      <c r="F449" s="19" t="s">
        <v>2592</v>
      </c>
      <c r="I449" s="6" t="s">
        <v>2541</v>
      </c>
      <c r="J449" s="6" t="s">
        <v>2383</v>
      </c>
      <c r="K449" s="6"/>
      <c r="L449" s="6"/>
    </row>
    <row r="450" spans="1:12" ht="90" hidden="1" outlineLevel="1" thickBot="1">
      <c r="B450" s="936" t="s">
        <v>2384</v>
      </c>
      <c r="C450" s="937" t="str">
        <f>DocLogistics[[#This Row],[Category EN]]&amp;IF(LEN(DocLogistics[[#This Row],[Subcategory EN]])&gt;0," 
" &amp;DocLogistics[[#This Row],[Subcategory EN]],)</f>
        <v/>
      </c>
      <c r="D450" s="938"/>
      <c r="E450" s="937" t="str">
        <f>DocLogistics[[#This Row],[Category DE]]&amp;IF(LEN(DocLogistics[[#This Row],[Subcategory DE]])&gt;0," 
" &amp;DocLogistics[[#This Row],[Subcategory DE]],)</f>
        <v>Distanz in km 
See</v>
      </c>
      <c r="F450" s="939" t="s">
        <v>2591</v>
      </c>
      <c r="G450" s="936"/>
      <c r="H450" s="936"/>
      <c r="I450" s="936" t="s">
        <v>2541</v>
      </c>
      <c r="J450" s="936" t="s">
        <v>2384</v>
      </c>
      <c r="K450" s="936"/>
      <c r="L450" s="6"/>
    </row>
    <row r="451" spans="1:12" ht="38.25" hidden="1" outlineLevel="1">
      <c r="B451" s="6" t="s">
        <v>2564</v>
      </c>
      <c r="C451" s="869" t="str">
        <f>DocLogistics[[#This Row],[Category EN]]&amp;IF(LEN(DocLogistics[[#This Row],[Subcategory EN]])&gt;0," 
" &amp;DocLogistics[[#This Row],[Subcategory EN]],)</f>
        <v/>
      </c>
      <c r="E451" s="869" t="str">
        <f>DocLogistics[[#This Row],[Category DE]]&amp;IF(LEN(DocLogistics[[#This Row],[Subcategory DE]])&gt;0," 
" &amp;DocLogistics[[#This Row],[Subcategory DE]],)</f>
        <v>Distanz am Ziel in km 
Schiene</v>
      </c>
      <c r="F451" s="19" t="s">
        <v>2583</v>
      </c>
      <c r="I451" s="6" t="s">
        <v>2580</v>
      </c>
      <c r="J451" s="6" t="s">
        <v>2385</v>
      </c>
      <c r="K451" s="6"/>
      <c r="L451" s="6"/>
    </row>
    <row r="452" spans="1:12" ht="25.5" hidden="1" outlineLevel="1">
      <c r="B452" s="6" t="s">
        <v>2565</v>
      </c>
      <c r="C452" s="869" t="str">
        <f>DocLogistics[[#This Row],[Category EN]]&amp;IF(LEN(DocLogistics[[#This Row],[Subcategory EN]])&gt;0," 
" &amp;DocLogistics[[#This Row],[Subcategory EN]],)</f>
        <v/>
      </c>
      <c r="E452" s="869" t="str">
        <f>DocLogistics[[#This Row],[Category DE]]&amp;IF(LEN(DocLogistics[[#This Row],[Subcategory DE]])&gt;0," 
" &amp;DocLogistics[[#This Row],[Subcategory DE]],)</f>
        <v>Distanz am Ziel in km 
Straße</v>
      </c>
      <c r="F452" s="19" t="s">
        <v>2576</v>
      </c>
      <c r="I452" s="6" t="s">
        <v>2580</v>
      </c>
      <c r="J452" s="6" t="s">
        <v>2386</v>
      </c>
      <c r="K452" s="6"/>
      <c r="L452" s="6"/>
    </row>
    <row r="453" spans="1:12" hidden="1" outlineLevel="1"/>
    <row r="455" spans="1:12" collapsed="1">
      <c r="A455" s="475"/>
      <c r="B455" s="476" t="s">
        <v>1525</v>
      </c>
    </row>
    <row r="456" spans="1:12" hidden="1" outlineLevel="1">
      <c r="A456" s="473"/>
      <c r="B456" s="473"/>
    </row>
    <row r="457" spans="1:12" ht="30" hidden="1" customHeight="1" outlineLevel="1">
      <c r="B457" s="6" t="s">
        <v>559</v>
      </c>
      <c r="C457" s="869" t="s">
        <v>360</v>
      </c>
      <c r="D457" s="466" t="s">
        <v>361</v>
      </c>
      <c r="E457" s="869" t="s">
        <v>362</v>
      </c>
      <c r="F457" s="19" t="s">
        <v>363</v>
      </c>
      <c r="G457" s="6" t="s">
        <v>367</v>
      </c>
      <c r="H457" s="6" t="s">
        <v>366</v>
      </c>
      <c r="I457" s="6" t="s">
        <v>720</v>
      </c>
    </row>
    <row r="458" spans="1:12" ht="38.25" hidden="1" outlineLevel="1">
      <c r="B458" s="6" t="s">
        <v>1378</v>
      </c>
      <c r="C458" s="869" t="str">
        <f>DocCO2[[#This Row],[Category EN]]</f>
        <v>Premises CO2</v>
      </c>
      <c r="D458" s="466" t="s">
        <v>3404</v>
      </c>
      <c r="E458" s="869" t="s">
        <v>3400</v>
      </c>
      <c r="F458" s="19" t="s">
        <v>3405</v>
      </c>
      <c r="G458" s="6" t="s">
        <v>3399</v>
      </c>
      <c r="H458" s="6" t="s">
        <v>3400</v>
      </c>
      <c r="I458" s="6">
        <v>1</v>
      </c>
    </row>
    <row r="459" spans="1:12">
      <c r="K459" s="6"/>
      <c r="L459" s="6"/>
    </row>
    <row r="460" spans="1:12" collapsed="1">
      <c r="A460" s="475"/>
      <c r="B460" s="476" t="s">
        <v>3397</v>
      </c>
    </row>
    <row r="461" spans="1:12" hidden="1" outlineLevel="1">
      <c r="A461" s="473"/>
      <c r="B461" s="473"/>
    </row>
    <row r="462" spans="1:12" ht="30" hidden="1" customHeight="1" outlineLevel="1">
      <c r="B462" s="6" t="s">
        <v>559</v>
      </c>
      <c r="C462" s="869" t="s">
        <v>360</v>
      </c>
      <c r="D462" s="466" t="s">
        <v>361</v>
      </c>
      <c r="E462" s="869" t="s">
        <v>362</v>
      </c>
      <c r="F462" s="19" t="s">
        <v>363</v>
      </c>
      <c r="G462" s="6" t="s">
        <v>367</v>
      </c>
      <c r="H462" s="6" t="s">
        <v>366</v>
      </c>
      <c r="I462" s="6" t="s">
        <v>720</v>
      </c>
    </row>
    <row r="463" spans="1:12" ht="93" hidden="1" customHeight="1" outlineLevel="1">
      <c r="B463" s="6" t="s">
        <v>2138</v>
      </c>
      <c r="C463" s="869" t="str">
        <f>DocClusterCO2[[#This Row],[Category EN]]</f>
        <v>Logistics emissions</v>
      </c>
      <c r="D463" s="466" t="s">
        <v>3704</v>
      </c>
      <c r="E463" s="869" t="str">
        <f>DocClusterCO2[[#This Row],[Category DE]]</f>
        <v>Logistik-Emissionen</v>
      </c>
      <c r="F463" s="466" t="s">
        <v>3705</v>
      </c>
      <c r="G463" s="6" t="s">
        <v>3706</v>
      </c>
      <c r="H463" s="6" t="s">
        <v>3707</v>
      </c>
      <c r="I463" s="6">
        <v>1</v>
      </c>
    </row>
    <row r="464" spans="1:12" ht="126.6" hidden="1" customHeight="1" outlineLevel="1">
      <c r="B464" s="6" t="s">
        <v>3720</v>
      </c>
      <c r="C464" s="869" t="str">
        <f>DocClusterCO2[[#This Row],[Category EN]]</f>
        <v>Tier 2 emissions</v>
      </c>
      <c r="D464" s="466" t="s">
        <v>3726</v>
      </c>
      <c r="E464" s="869" t="str">
        <f>DocClusterCO2[[#This Row],[Category DE]]</f>
        <v>Tier 2 Emissionen</v>
      </c>
      <c r="F464" s="466" t="s">
        <v>3724</v>
      </c>
      <c r="G464" s="6" t="s">
        <v>3717</v>
      </c>
      <c r="H464" s="6" t="s">
        <v>3716</v>
      </c>
    </row>
    <row r="465" spans="2:9" ht="97.15" hidden="1" customHeight="1" outlineLevel="1">
      <c r="B465" s="6" t="s">
        <v>3721</v>
      </c>
      <c r="C465" s="869" t="str">
        <f>DocClusterCO2[[#This Row],[Category EN]]</f>
        <v>Tier 1 emissions</v>
      </c>
      <c r="D465" s="466" t="s">
        <v>3727</v>
      </c>
      <c r="E465" s="869" t="str">
        <f>DocClusterCO2[[#This Row],[Category DE]]</f>
        <v>Tier 1 Emissionen</v>
      </c>
      <c r="F465" s="466" t="s">
        <v>3725</v>
      </c>
      <c r="G465" s="6" t="s">
        <v>3718</v>
      </c>
      <c r="H465" s="6" t="s">
        <v>3719</v>
      </c>
    </row>
    <row r="466" spans="2:9" ht="206.45" hidden="1" customHeight="1" outlineLevel="1">
      <c r="B466" s="6" t="s">
        <v>3688</v>
      </c>
      <c r="C466" s="869" t="str">
        <f>DocClusterCO2[[#This Row],[Category EN]]</f>
        <v>Emissions Scope Description</v>
      </c>
      <c r="D466" s="466" t="s">
        <v>3773</v>
      </c>
      <c r="E466" s="869" t="str">
        <f>DocClusterCO2[[#This Row],[Category DE]]</f>
        <v>Emissions Scope Erklärung</v>
      </c>
      <c r="F466" s="466" t="s">
        <v>3772</v>
      </c>
      <c r="G466" s="6" t="s">
        <v>3708</v>
      </c>
      <c r="H466" s="6" t="s">
        <v>3709</v>
      </c>
      <c r="I466" s="6">
        <v>1</v>
      </c>
    </row>
    <row r="467" spans="2:9" ht="206.45" hidden="1" customHeight="1" outlineLevel="1">
      <c r="B467" s="6" t="s">
        <v>3689</v>
      </c>
      <c r="C467" s="869" t="str">
        <f>C$466</f>
        <v>Emissions Scope Description</v>
      </c>
      <c r="D467" s="869" t="str">
        <f t="shared" ref="D467:H481" si="4">D$466</f>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67" s="869" t="str">
        <f t="shared" si="4"/>
        <v>Emissions Scope Erklärung</v>
      </c>
      <c r="F467" s="869"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67" s="869" t="str">
        <f t="shared" si="4"/>
        <v>Emissions Scope Description</v>
      </c>
      <c r="H467" s="869" t="str">
        <f t="shared" si="4"/>
        <v>Emissions Scope Erklärung</v>
      </c>
      <c r="I467" s="6">
        <v>1</v>
      </c>
    </row>
    <row r="468" spans="2:9" ht="206.45" hidden="1" customHeight="1" outlineLevel="1">
      <c r="B468" s="6" t="s">
        <v>3690</v>
      </c>
      <c r="C468" s="869" t="str">
        <f t="shared" ref="C468:C481" si="5">C$466</f>
        <v>Emissions Scope Description</v>
      </c>
      <c r="D468" s="869"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68" s="869" t="str">
        <f t="shared" si="4"/>
        <v>Emissions Scope Erklärung</v>
      </c>
      <c r="F468" s="869"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68" s="869" t="str">
        <f t="shared" si="4"/>
        <v>Emissions Scope Description</v>
      </c>
      <c r="H468" s="869" t="str">
        <f t="shared" si="4"/>
        <v>Emissions Scope Erklärung</v>
      </c>
      <c r="I468" s="6">
        <v>1</v>
      </c>
    </row>
    <row r="469" spans="2:9" ht="206.45" hidden="1" customHeight="1" outlineLevel="1">
      <c r="B469" s="6" t="s">
        <v>3691</v>
      </c>
      <c r="C469" s="869" t="str">
        <f t="shared" si="5"/>
        <v>Emissions Scope Description</v>
      </c>
      <c r="D469" s="869"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69" s="869" t="str">
        <f t="shared" si="4"/>
        <v>Emissions Scope Erklärung</v>
      </c>
      <c r="F469" s="869"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69" s="869" t="str">
        <f t="shared" si="4"/>
        <v>Emissions Scope Description</v>
      </c>
      <c r="H469" s="869" t="str">
        <f t="shared" si="4"/>
        <v>Emissions Scope Erklärung</v>
      </c>
      <c r="I469" s="6">
        <v>1</v>
      </c>
    </row>
    <row r="470" spans="2:9" ht="206.45" hidden="1" customHeight="1" outlineLevel="1">
      <c r="B470" s="6" t="s">
        <v>3692</v>
      </c>
      <c r="C470" s="869" t="str">
        <f t="shared" si="5"/>
        <v>Emissions Scope Description</v>
      </c>
      <c r="D470" s="869"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0" s="869" t="str">
        <f t="shared" si="4"/>
        <v>Emissions Scope Erklärung</v>
      </c>
      <c r="F470" s="869"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0" s="869" t="str">
        <f t="shared" si="4"/>
        <v>Emissions Scope Description</v>
      </c>
      <c r="H470" s="869" t="str">
        <f t="shared" si="4"/>
        <v>Emissions Scope Erklärung</v>
      </c>
      <c r="I470" s="6">
        <v>1</v>
      </c>
    </row>
    <row r="471" spans="2:9" ht="206.45" hidden="1" customHeight="1" outlineLevel="1">
      <c r="B471" s="6" t="s">
        <v>3693</v>
      </c>
      <c r="C471" s="869" t="str">
        <f t="shared" si="5"/>
        <v>Emissions Scope Description</v>
      </c>
      <c r="D471" s="869"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1" s="869" t="str">
        <f t="shared" si="4"/>
        <v>Emissions Scope Erklärung</v>
      </c>
      <c r="F471" s="869"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1" s="869" t="str">
        <f t="shared" si="4"/>
        <v>Emissions Scope Description</v>
      </c>
      <c r="H471" s="869" t="str">
        <f t="shared" si="4"/>
        <v>Emissions Scope Erklärung</v>
      </c>
      <c r="I471" s="6">
        <v>1</v>
      </c>
    </row>
    <row r="472" spans="2:9" ht="206.45" hidden="1" customHeight="1" outlineLevel="1">
      <c r="B472" s="6" t="s">
        <v>3694</v>
      </c>
      <c r="C472" s="869" t="str">
        <f t="shared" si="5"/>
        <v>Emissions Scope Description</v>
      </c>
      <c r="D472" s="869"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2" s="869" t="str">
        <f t="shared" si="4"/>
        <v>Emissions Scope Erklärung</v>
      </c>
      <c r="F472" s="869"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2" s="869" t="str">
        <f t="shared" si="4"/>
        <v>Emissions Scope Description</v>
      </c>
      <c r="H472" s="869" t="str">
        <f t="shared" si="4"/>
        <v>Emissions Scope Erklärung</v>
      </c>
      <c r="I472" s="6">
        <v>1</v>
      </c>
    </row>
    <row r="473" spans="2:9" ht="206.45" hidden="1" customHeight="1" outlineLevel="1">
      <c r="B473" s="6" t="s">
        <v>3695</v>
      </c>
      <c r="C473" s="869" t="str">
        <f t="shared" si="5"/>
        <v>Emissions Scope Description</v>
      </c>
      <c r="D473" s="869"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3" s="869" t="str">
        <f t="shared" si="4"/>
        <v>Emissions Scope Erklärung</v>
      </c>
      <c r="F473" s="869"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3" s="869" t="str">
        <f t="shared" si="4"/>
        <v>Emissions Scope Description</v>
      </c>
      <c r="H473" s="869" t="str">
        <f t="shared" si="4"/>
        <v>Emissions Scope Erklärung</v>
      </c>
      <c r="I473" s="6">
        <v>1</v>
      </c>
    </row>
    <row r="474" spans="2:9" ht="206.45" hidden="1" customHeight="1" outlineLevel="1">
      <c r="B474" s="6" t="s">
        <v>3696</v>
      </c>
      <c r="C474" s="869" t="str">
        <f t="shared" si="5"/>
        <v>Emissions Scope Description</v>
      </c>
      <c r="D474" s="869"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4" s="869" t="str">
        <f t="shared" si="4"/>
        <v>Emissions Scope Erklärung</v>
      </c>
      <c r="F474" s="869"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4" s="869" t="str">
        <f t="shared" si="4"/>
        <v>Emissions Scope Description</v>
      </c>
      <c r="H474" s="869" t="str">
        <f t="shared" si="4"/>
        <v>Emissions Scope Erklärung</v>
      </c>
      <c r="I474" s="6">
        <v>1</v>
      </c>
    </row>
    <row r="475" spans="2:9" ht="206.45" hidden="1" customHeight="1" outlineLevel="1">
      <c r="B475" s="6" t="s">
        <v>3697</v>
      </c>
      <c r="C475" s="869" t="str">
        <f t="shared" si="5"/>
        <v>Emissions Scope Description</v>
      </c>
      <c r="D475" s="869"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5" s="869" t="str">
        <f t="shared" si="4"/>
        <v>Emissions Scope Erklärung</v>
      </c>
      <c r="F475" s="869"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5" s="869" t="str">
        <f t="shared" si="4"/>
        <v>Emissions Scope Description</v>
      </c>
      <c r="H475" s="869" t="str">
        <f t="shared" si="4"/>
        <v>Emissions Scope Erklärung</v>
      </c>
      <c r="I475" s="6">
        <v>1</v>
      </c>
    </row>
    <row r="476" spans="2:9" ht="206.45" hidden="1" customHeight="1" outlineLevel="1">
      <c r="B476" s="6" t="s">
        <v>3698</v>
      </c>
      <c r="C476" s="869" t="str">
        <f t="shared" si="5"/>
        <v>Emissions Scope Description</v>
      </c>
      <c r="D476" s="869"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6" s="869" t="str">
        <f t="shared" si="4"/>
        <v>Emissions Scope Erklärung</v>
      </c>
      <c r="F476" s="869"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6" s="869" t="str">
        <f t="shared" si="4"/>
        <v>Emissions Scope Description</v>
      </c>
      <c r="H476" s="869" t="str">
        <f t="shared" si="4"/>
        <v>Emissions Scope Erklärung</v>
      </c>
      <c r="I476" s="6">
        <v>1</v>
      </c>
    </row>
    <row r="477" spans="2:9" ht="206.45" hidden="1" customHeight="1" outlineLevel="1">
      <c r="B477" s="6" t="s">
        <v>3699</v>
      </c>
      <c r="C477" s="869" t="str">
        <f t="shared" si="5"/>
        <v>Emissions Scope Description</v>
      </c>
      <c r="D477" s="869"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7" s="869" t="str">
        <f t="shared" si="4"/>
        <v>Emissions Scope Erklärung</v>
      </c>
      <c r="F477" s="869"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7" s="869" t="str">
        <f t="shared" si="4"/>
        <v>Emissions Scope Description</v>
      </c>
      <c r="H477" s="869" t="str">
        <f t="shared" si="4"/>
        <v>Emissions Scope Erklärung</v>
      </c>
      <c r="I477" s="6">
        <v>1</v>
      </c>
    </row>
    <row r="478" spans="2:9" ht="206.45" hidden="1" customHeight="1" outlineLevel="1">
      <c r="B478" s="6" t="s">
        <v>3700</v>
      </c>
      <c r="C478" s="869" t="str">
        <f t="shared" si="5"/>
        <v>Emissions Scope Description</v>
      </c>
      <c r="D478" s="869"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8" s="869" t="str">
        <f t="shared" si="4"/>
        <v>Emissions Scope Erklärung</v>
      </c>
      <c r="F478" s="869"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8" s="869" t="str">
        <f t="shared" si="4"/>
        <v>Emissions Scope Description</v>
      </c>
      <c r="H478" s="869" t="str">
        <f t="shared" si="4"/>
        <v>Emissions Scope Erklärung</v>
      </c>
      <c r="I478" s="6">
        <v>1</v>
      </c>
    </row>
    <row r="479" spans="2:9" ht="206.45" hidden="1" customHeight="1" outlineLevel="1">
      <c r="B479" s="6" t="s">
        <v>3701</v>
      </c>
      <c r="C479" s="869" t="str">
        <f t="shared" si="5"/>
        <v>Emissions Scope Description</v>
      </c>
      <c r="D479" s="869"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9" s="869" t="str">
        <f t="shared" si="4"/>
        <v>Emissions Scope Erklärung</v>
      </c>
      <c r="F479" s="869"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9" s="869" t="str">
        <f t="shared" si="4"/>
        <v>Emissions Scope Description</v>
      </c>
      <c r="H479" s="869" t="str">
        <f t="shared" si="4"/>
        <v>Emissions Scope Erklärung</v>
      </c>
      <c r="I479" s="6">
        <v>1</v>
      </c>
    </row>
    <row r="480" spans="2:9" ht="206.45" hidden="1" customHeight="1" outlineLevel="1">
      <c r="B480" s="6" t="s">
        <v>3702</v>
      </c>
      <c r="C480" s="869" t="str">
        <f t="shared" si="5"/>
        <v>Emissions Scope Description</v>
      </c>
      <c r="D480" s="869"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80" s="869" t="str">
        <f t="shared" si="4"/>
        <v>Emissions Scope Erklärung</v>
      </c>
      <c r="F480" s="869"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80" s="869" t="str">
        <f t="shared" si="4"/>
        <v>Emissions Scope Description</v>
      </c>
      <c r="H480" s="869" t="str">
        <f t="shared" si="4"/>
        <v>Emissions Scope Erklärung</v>
      </c>
      <c r="I480" s="6">
        <v>1</v>
      </c>
    </row>
    <row r="481" spans="1:12" ht="206.45" hidden="1" customHeight="1" outlineLevel="1">
      <c r="B481" s="6" t="s">
        <v>3703</v>
      </c>
      <c r="C481" s="869" t="str">
        <f t="shared" si="5"/>
        <v>Emissions Scope Description</v>
      </c>
      <c r="D481" s="869"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81" s="869" t="str">
        <f t="shared" si="4"/>
        <v>Emissions Scope Erklärung</v>
      </c>
      <c r="F481" s="869"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81" s="869" t="str">
        <f t="shared" si="4"/>
        <v>Emissions Scope Description</v>
      </c>
      <c r="H481" s="869" t="str">
        <f t="shared" si="4"/>
        <v>Emissions Scope Erklärung</v>
      </c>
      <c r="I481" s="6">
        <v>1</v>
      </c>
    </row>
    <row r="482" spans="1:12" ht="246" hidden="1" customHeight="1" outlineLevel="1">
      <c r="B482" s="6" t="s">
        <v>1378</v>
      </c>
      <c r="C482" s="869" t="str">
        <f>DocClusterCO2[[#This Row],[Category EN]]</f>
        <v>Cluster CO2</v>
      </c>
      <c r="D482" s="466" t="s">
        <v>3406</v>
      </c>
      <c r="E482" s="869" t="str">
        <f>DocClusterCO2[[#This Row],[Category DE]]</f>
        <v>Cluster CO2</v>
      </c>
      <c r="F482" s="19" t="s">
        <v>3407</v>
      </c>
      <c r="G482" s="6" t="s">
        <v>3398</v>
      </c>
      <c r="H482" s="6" t="s">
        <v>3398</v>
      </c>
      <c r="I482" s="6">
        <v>1</v>
      </c>
    </row>
    <row r="483" spans="1:12">
      <c r="K483" s="6"/>
      <c r="L483" s="6"/>
    </row>
    <row r="484" spans="1:12" collapsed="1">
      <c r="A484" s="475"/>
      <c r="B484" s="476" t="s">
        <v>3461</v>
      </c>
    </row>
    <row r="485" spans="1:12" hidden="1" outlineLevel="1">
      <c r="A485" s="473"/>
      <c r="B485" s="473"/>
    </row>
    <row r="486" spans="1:12" ht="30" hidden="1" customHeight="1" outlineLevel="1">
      <c r="B486" s="6" t="s">
        <v>559</v>
      </c>
      <c r="C486" s="869" t="s">
        <v>360</v>
      </c>
      <c r="D486" s="466" t="s">
        <v>361</v>
      </c>
      <c r="E486" s="869" t="s">
        <v>362</v>
      </c>
      <c r="F486" s="19" t="s">
        <v>363</v>
      </c>
      <c r="G486" s="6" t="s">
        <v>367</v>
      </c>
      <c r="H486" s="6" t="s">
        <v>366</v>
      </c>
      <c r="I486" s="6" t="s">
        <v>720</v>
      </c>
    </row>
    <row r="487" spans="1:12" ht="87.6" hidden="1" customHeight="1" outlineLevel="1">
      <c r="B487" s="6" t="s">
        <v>3468</v>
      </c>
      <c r="C487" s="869" t="str">
        <f>DocEBOM[[#This Row],[Category EN]]</f>
        <v>Group</v>
      </c>
      <c r="D487" s="466" t="s">
        <v>3629</v>
      </c>
      <c r="E487" s="869" t="str">
        <f>DocEBOM[[#This Row],[Category DE]]</f>
        <v>Klassifizierung</v>
      </c>
      <c r="F487" s="19" t="s">
        <v>3604</v>
      </c>
      <c r="G487" s="6" t="s">
        <v>3513</v>
      </c>
      <c r="H487" s="6" t="s">
        <v>3468</v>
      </c>
      <c r="I487" s="6">
        <v>1</v>
      </c>
    </row>
    <row r="488" spans="1:12" ht="88.15" hidden="1" customHeight="1" outlineLevel="1">
      <c r="B488" s="6" t="s">
        <v>3469</v>
      </c>
      <c r="C488" s="869" t="str">
        <f>DocEBOM[[#This Row],[Category EN]]</f>
        <v>Type</v>
      </c>
      <c r="D488" s="466" t="s">
        <v>3630</v>
      </c>
      <c r="E488" s="869" t="str">
        <f>DocEBOM[[#This Row],[Category DE]]</f>
        <v>Typ</v>
      </c>
      <c r="F488" s="19" t="s">
        <v>3605</v>
      </c>
      <c r="G488" s="6" t="s">
        <v>3514</v>
      </c>
      <c r="H488" s="6" t="s">
        <v>3469</v>
      </c>
      <c r="I488" s="6">
        <v>1</v>
      </c>
    </row>
    <row r="489" spans="1:12" ht="39.6" hidden="1" customHeight="1" outlineLevel="1">
      <c r="B489" s="6" t="s">
        <v>3470</v>
      </c>
      <c r="C489" s="869" t="str">
        <f>DocEBOM[[#This Row],[Category EN]]</f>
        <v>Marking on component</v>
      </c>
      <c r="D489" s="466" t="s">
        <v>3631</v>
      </c>
      <c r="E489" s="869" t="str">
        <f>DocEBOM[[#This Row],[Category DE]]</f>
        <v>Bauteilbeschriftung</v>
      </c>
      <c r="F489" s="19" t="s">
        <v>3606</v>
      </c>
      <c r="G489" s="6" t="s">
        <v>3515</v>
      </c>
      <c r="H489" s="6" t="s">
        <v>3470</v>
      </c>
      <c r="I489" s="6">
        <v>1</v>
      </c>
    </row>
    <row r="490" spans="1:12" ht="45" hidden="1" customHeight="1" outlineLevel="1">
      <c r="B490" s="1116" t="s">
        <v>3581</v>
      </c>
      <c r="C490" s="869" t="str">
        <f>DocEBOM[[#This Row],[Category EN]]</f>
        <v>Quantity 
Top Side</v>
      </c>
      <c r="D490" s="1117" t="s">
        <v>3632</v>
      </c>
      <c r="E490" s="869" t="str">
        <f>DocEBOM[[#This Row],[Category DE]]</f>
        <v>Anzahl 
Oberseite</v>
      </c>
      <c r="F490" s="1103" t="s">
        <v>3607</v>
      </c>
      <c r="G490" s="1116" t="s">
        <v>3516</v>
      </c>
      <c r="H490" s="1116" t="s">
        <v>3581</v>
      </c>
      <c r="I490" s="6">
        <v>1</v>
      </c>
    </row>
    <row r="491" spans="1:12" ht="45" hidden="1" customHeight="1" outlineLevel="1">
      <c r="B491" s="1116" t="s">
        <v>3582</v>
      </c>
      <c r="C491" s="869" t="str">
        <f>DocEBOM[[#This Row],[Category EN]]</f>
        <v>Quantity 
Bottom Side</v>
      </c>
      <c r="D491" s="1117" t="s">
        <v>3633</v>
      </c>
      <c r="E491" s="869" t="str">
        <f>DocEBOM[[#This Row],[Category DE]]</f>
        <v>Anzahl 
Unterseite</v>
      </c>
      <c r="F491" s="1103" t="s">
        <v>3608</v>
      </c>
      <c r="G491" s="1116" t="s">
        <v>3580</v>
      </c>
      <c r="H491" s="1116" t="s">
        <v>3582</v>
      </c>
      <c r="I491" s="6">
        <v>1</v>
      </c>
    </row>
    <row r="492" spans="1:12" ht="35.450000000000003" hidden="1" customHeight="1" outlineLevel="1">
      <c r="B492" s="1116" t="s">
        <v>3471</v>
      </c>
      <c r="C492" s="869" t="str">
        <f>DocEBOM[[#This Row],[Category EN]]</f>
        <v>Quantity 
Total</v>
      </c>
      <c r="D492" s="1117" t="s">
        <v>3634</v>
      </c>
      <c r="E492" s="869" t="str">
        <f>DocEBOM[[#This Row],[Category DE]]</f>
        <v>Anzahl 
gesamt</v>
      </c>
      <c r="F492" s="1103" t="s">
        <v>3609</v>
      </c>
      <c r="G492" s="1116" t="s">
        <v>3517</v>
      </c>
      <c r="H492" s="1116" t="s">
        <v>3471</v>
      </c>
      <c r="I492" s="6">
        <v>1</v>
      </c>
    </row>
    <row r="493" spans="1:12" ht="77.45" hidden="1" customHeight="1" outlineLevel="1">
      <c r="B493" s="1116" t="s">
        <v>3472</v>
      </c>
      <c r="C493" s="869" t="s">
        <v>3472</v>
      </c>
      <c r="D493" s="1117" t="s">
        <v>3635</v>
      </c>
      <c r="E493" s="869" t="s">
        <v>3472</v>
      </c>
      <c r="F493" s="1103" t="s">
        <v>3610</v>
      </c>
      <c r="G493" s="1116" t="s">
        <v>3578</v>
      </c>
      <c r="H493" s="1116" t="s">
        <v>3578</v>
      </c>
      <c r="I493" s="6">
        <v>1</v>
      </c>
    </row>
    <row r="494" spans="1:12" ht="63" hidden="1" customHeight="1" outlineLevel="1">
      <c r="B494" s="1116" t="s">
        <v>2131</v>
      </c>
      <c r="C494" s="869" t="str">
        <f>DocEBOM[[#This Row],[Category EN]]</f>
        <v>Description</v>
      </c>
      <c r="D494" s="1117" t="s">
        <v>3636</v>
      </c>
      <c r="E494" s="869" t="s">
        <v>2131</v>
      </c>
      <c r="F494" s="1103" t="s">
        <v>3611</v>
      </c>
      <c r="G494" s="1116" t="s">
        <v>69</v>
      </c>
      <c r="H494" s="1116" t="s">
        <v>2131</v>
      </c>
      <c r="I494" s="6">
        <v>1</v>
      </c>
    </row>
    <row r="495" spans="1:12" ht="78.599999999999994" hidden="1" customHeight="1" outlineLevel="1">
      <c r="B495" s="1116" t="s">
        <v>3473</v>
      </c>
      <c r="C495" s="869" t="str">
        <f>DocEBOM[[#This Row],[Category EN]]</f>
        <v>Manufacturer</v>
      </c>
      <c r="D495" s="1117" t="s">
        <v>3637</v>
      </c>
      <c r="E495" s="869" t="str">
        <f>DocEBOM[[#This Row],[Category DE]]</f>
        <v>Hersteller</v>
      </c>
      <c r="F495" s="1103" t="s">
        <v>3612</v>
      </c>
      <c r="G495" s="1116" t="s">
        <v>3518</v>
      </c>
      <c r="H495" s="1116" t="s">
        <v>3473</v>
      </c>
      <c r="I495" s="6">
        <v>1</v>
      </c>
    </row>
    <row r="496" spans="1:12" ht="78.599999999999994" hidden="1" customHeight="1" outlineLevel="1">
      <c r="B496" s="1116" t="s">
        <v>3474</v>
      </c>
      <c r="C496" s="869" t="str">
        <f>DocEBOM[[#This Row],[Category EN]]</f>
        <v>Manufacturer 
Part Number</v>
      </c>
      <c r="D496" s="1117" t="s">
        <v>3638</v>
      </c>
      <c r="E496" s="869" t="str">
        <f>DocEBOM[[#This Row],[Category DE]]</f>
        <v>Hersteller Teilenummer</v>
      </c>
      <c r="F496" s="1103" t="s">
        <v>3613</v>
      </c>
      <c r="G496" s="1116" t="s">
        <v>3519</v>
      </c>
      <c r="H496" s="1116" t="s">
        <v>3474</v>
      </c>
      <c r="I496" s="6">
        <v>1</v>
      </c>
    </row>
    <row r="497" spans="2:12" ht="49.9" hidden="1" customHeight="1" outlineLevel="1">
      <c r="B497" s="1116" t="s">
        <v>3475</v>
      </c>
      <c r="C497" s="869" t="str">
        <f>DocEBOM[[#This Row],[Category EN]]</f>
        <v>Reference 
Part Number</v>
      </c>
      <c r="D497" s="1117" t="s">
        <v>3639</v>
      </c>
      <c r="E497" s="869" t="str">
        <f>DocEBOM[[#This Row],[Category DE]]</f>
        <v>Referenz-Hersteller Teilenummer</v>
      </c>
      <c r="F497" s="1103" t="s">
        <v>3614</v>
      </c>
      <c r="G497" s="1116" t="s">
        <v>3520</v>
      </c>
      <c r="H497" s="1116" t="s">
        <v>3475</v>
      </c>
      <c r="I497" s="6">
        <v>1</v>
      </c>
    </row>
    <row r="498" spans="2:12" ht="36.6" hidden="1" customHeight="1" outlineLevel="1">
      <c r="B498" s="1116" t="s">
        <v>3476</v>
      </c>
      <c r="C498" s="869" t="str">
        <f>DocEBOM[[#This Row],[Category EN]]</f>
        <v>No of Pins/Pads</v>
      </c>
      <c r="D498" s="1117" t="s">
        <v>3640</v>
      </c>
      <c r="E498" s="869" t="str">
        <f>DocEBOM[[#This Row],[Category DE]]</f>
        <v>Anzahl der Pins</v>
      </c>
      <c r="F498" s="1103" t="s">
        <v>3615</v>
      </c>
      <c r="G498" s="1116" t="s">
        <v>3521</v>
      </c>
      <c r="H498" s="1116" t="s">
        <v>3476</v>
      </c>
      <c r="I498" s="6">
        <v>1</v>
      </c>
    </row>
    <row r="499" spans="2:12" ht="63.6" hidden="1" customHeight="1" outlineLevel="1">
      <c r="B499" s="1116" t="s">
        <v>3477</v>
      </c>
      <c r="C499" s="869" t="s">
        <v>3522</v>
      </c>
      <c r="D499" s="1117" t="s">
        <v>3641</v>
      </c>
      <c r="E499" s="869" t="s">
        <v>3477</v>
      </c>
      <c r="F499" s="1103" t="s">
        <v>3616</v>
      </c>
      <c r="G499" s="1116" t="s">
        <v>3584</v>
      </c>
      <c r="H499" s="1116" t="s">
        <v>3579</v>
      </c>
      <c r="I499" s="6">
        <v>1</v>
      </c>
    </row>
    <row r="500" spans="2:12" ht="75.599999999999994" hidden="1" customHeight="1" outlineLevel="1">
      <c r="B500" s="1116" t="s">
        <v>1367</v>
      </c>
      <c r="C500" s="869" t="str">
        <f>DocEBOM[[#This Row],[Category EN]]</f>
        <v>Source</v>
      </c>
      <c r="D500" s="1117" t="s">
        <v>3642</v>
      </c>
      <c r="E500" s="869" t="str">
        <f>DocEBOM[[#This Row],[Category DE]]</f>
        <v>Quelle</v>
      </c>
      <c r="F500" s="1103" t="s">
        <v>3617</v>
      </c>
      <c r="G500" s="1116" t="s">
        <v>915</v>
      </c>
      <c r="H500" s="1116" t="s">
        <v>914</v>
      </c>
      <c r="I500" s="6">
        <v>1</v>
      </c>
    </row>
    <row r="501" spans="2:12" ht="84" hidden="1" customHeight="1" outlineLevel="1">
      <c r="B501" s="1116" t="s">
        <v>3478</v>
      </c>
      <c r="C501" s="869" t="str">
        <f>DocEBOM[[#This Row],[Category EN]]</f>
        <v>Purchasing Volume</v>
      </c>
      <c r="D501" s="1117" t="s">
        <v>3643</v>
      </c>
      <c r="E501" s="869" t="str">
        <f>DocEBOM[[#This Row],[Category DE]]</f>
        <v>Einkaufsvolumen</v>
      </c>
      <c r="F501" s="1103" t="s">
        <v>3618</v>
      </c>
      <c r="G501" s="1116" t="s">
        <v>3523</v>
      </c>
      <c r="H501" s="1116" t="s">
        <v>3478</v>
      </c>
      <c r="I501" s="6">
        <v>1</v>
      </c>
    </row>
    <row r="502" spans="2:12" ht="35.450000000000003" hidden="1" customHeight="1" outlineLevel="1">
      <c r="B502" s="1116" t="s">
        <v>3479</v>
      </c>
      <c r="C502" s="869" t="str">
        <f>DocEBOM[[#This Row],[Category EN]]</f>
        <v>Tolerance</v>
      </c>
      <c r="D502" s="1117" t="s">
        <v>3644</v>
      </c>
      <c r="E502" s="869" t="str">
        <f>DocEBOM[[#This Row],[Category DE]]</f>
        <v>Toleranz</v>
      </c>
      <c r="F502" s="1103" t="s">
        <v>3619</v>
      </c>
      <c r="G502" s="1116" t="s">
        <v>3556</v>
      </c>
      <c r="H502" s="1116" t="s">
        <v>3479</v>
      </c>
      <c r="I502" s="6">
        <v>1</v>
      </c>
    </row>
    <row r="503" spans="2:12" ht="32.450000000000003" hidden="1" customHeight="1" outlineLevel="1">
      <c r="B503" s="1116" t="s">
        <v>3480</v>
      </c>
      <c r="C503" s="869" t="str">
        <f>DocEBOM[[#This Row],[Category EN]]</f>
        <v>Researched Price</v>
      </c>
      <c r="D503" s="1117" t="s">
        <v>3645</v>
      </c>
      <c r="E503" s="869" t="str">
        <f>DocEBOM[[#This Row],[Category DE]]</f>
        <v>Recherchierter Preis</v>
      </c>
      <c r="F503" s="1103" t="s">
        <v>3620</v>
      </c>
      <c r="G503" s="1116" t="s">
        <v>3524</v>
      </c>
      <c r="H503" s="1116" t="s">
        <v>3480</v>
      </c>
      <c r="I503" s="6">
        <v>1</v>
      </c>
    </row>
    <row r="504" spans="2:12" ht="31.15" hidden="1" customHeight="1" outlineLevel="1">
      <c r="B504" s="1116" t="s">
        <v>3481</v>
      </c>
      <c r="C504" s="869" t="str">
        <f>DocEBOM[[#This Row],[Category EN]]</f>
        <v>Search date</v>
      </c>
      <c r="D504" s="1117" t="s">
        <v>3646</v>
      </c>
      <c r="E504" s="869" t="str">
        <f>DocEBOM[[#This Row],[Category DE]]</f>
        <v>Recherche Datum</v>
      </c>
      <c r="F504" s="1103" t="s">
        <v>3627</v>
      </c>
      <c r="G504" s="1116" t="s">
        <v>3555</v>
      </c>
      <c r="H504" s="1116" t="s">
        <v>3481</v>
      </c>
      <c r="I504" s="6">
        <v>1</v>
      </c>
    </row>
    <row r="505" spans="2:12" ht="39.6" hidden="1" customHeight="1" outlineLevel="1">
      <c r="B505" s="1116" t="s">
        <v>3466</v>
      </c>
      <c r="C505" s="869" t="str">
        <f>DocEBOM[[#This Row],[Category EN]]</f>
        <v>Project factor</v>
      </c>
      <c r="D505" s="1117" t="s">
        <v>3647</v>
      </c>
      <c r="E505" s="869" t="str">
        <f>DocEBOM[[#This Row],[Category DE]]</f>
        <v>Projekt-Faktor</v>
      </c>
      <c r="F505" s="1103" t="s">
        <v>3621</v>
      </c>
      <c r="G505" s="1116" t="s">
        <v>3554</v>
      </c>
      <c r="H505" s="1116" t="s">
        <v>3466</v>
      </c>
      <c r="I505" s="6">
        <v>1</v>
      </c>
    </row>
    <row r="506" spans="2:12" hidden="1" outlineLevel="1">
      <c r="B506" s="1116" t="s">
        <v>439</v>
      </c>
      <c r="C506" s="869" t="str">
        <f>DocEBOM[[#This Row],[Category EN]]</f>
        <v>Factor</v>
      </c>
      <c r="D506" s="1117" t="s">
        <v>3648</v>
      </c>
      <c r="E506" s="869" t="str">
        <f>DocEBOM[[#This Row],[Category DE]]</f>
        <v>Faktor</v>
      </c>
      <c r="F506" s="1103" t="s">
        <v>3622</v>
      </c>
      <c r="G506" s="1116" t="s">
        <v>3365</v>
      </c>
      <c r="H506" s="1116" t="s">
        <v>439</v>
      </c>
      <c r="I506" s="6">
        <v>1</v>
      </c>
    </row>
    <row r="507" spans="2:12" ht="25.5" hidden="1" outlineLevel="1">
      <c r="B507" s="1116" t="s">
        <v>3482</v>
      </c>
      <c r="C507" s="869" t="str">
        <f>DocEBOM[[#This Row],[Category EN]]</f>
        <v>Factorized Single Price</v>
      </c>
      <c r="D507" s="1117" t="s">
        <v>3649</v>
      </c>
      <c r="E507" s="869" t="str">
        <f>DocEBOM[[#This Row],[Category DE]]</f>
        <v>faktorisierter Einzelpreis</v>
      </c>
      <c r="F507" s="1103" t="s">
        <v>3623</v>
      </c>
      <c r="G507" s="1116" t="s">
        <v>3525</v>
      </c>
      <c r="H507" s="1116" t="s">
        <v>3482</v>
      </c>
      <c r="I507" s="6">
        <v>1</v>
      </c>
    </row>
    <row r="508" spans="2:12" hidden="1" outlineLevel="1">
      <c r="B508" s="1116" t="s">
        <v>3483</v>
      </c>
      <c r="C508" s="869" t="str">
        <f>DocEBOM[[#This Row],[Category EN]]</f>
        <v>Price Top Side</v>
      </c>
      <c r="D508" s="1117" t="s">
        <v>3650</v>
      </c>
      <c r="E508" s="869" t="str">
        <f>DocEBOM[[#This Row],[Category DE]]</f>
        <v>Preis Oberseite</v>
      </c>
      <c r="F508" s="1103" t="s">
        <v>3624</v>
      </c>
      <c r="G508" s="1116" t="s">
        <v>3526</v>
      </c>
      <c r="H508" s="1116" t="s">
        <v>3483</v>
      </c>
      <c r="I508" s="6">
        <v>1</v>
      </c>
    </row>
    <row r="509" spans="2:12" hidden="1" outlineLevel="1">
      <c r="B509" s="1116" t="s">
        <v>3484</v>
      </c>
      <c r="C509" s="869" t="str">
        <f>DocEBOM[[#This Row],[Category EN]]</f>
        <v>Price Bottom Side</v>
      </c>
      <c r="D509" s="1117" t="s">
        <v>3651</v>
      </c>
      <c r="E509" s="869" t="str">
        <f>DocEBOM[[#This Row],[Category DE]]</f>
        <v>Preis Unterseite</v>
      </c>
      <c r="F509" s="1103" t="s">
        <v>3625</v>
      </c>
      <c r="G509" s="1116" t="s">
        <v>3527</v>
      </c>
      <c r="H509" s="1116" t="s">
        <v>3484</v>
      </c>
      <c r="I509" s="6">
        <v>1</v>
      </c>
    </row>
    <row r="510" spans="2:12" hidden="1" outlineLevel="1">
      <c r="B510" s="1116" t="s">
        <v>1787</v>
      </c>
      <c r="C510" s="869" t="str">
        <f>DocEBOM[[#This Row],[Category EN]]</f>
        <v>Total Price</v>
      </c>
      <c r="D510" s="1117" t="s">
        <v>3652</v>
      </c>
      <c r="E510" s="869" t="str">
        <f>DocEBOM[[#This Row],[Category DE]]</f>
        <v>Gesamtpreis</v>
      </c>
      <c r="F510" s="1103" t="s">
        <v>3626</v>
      </c>
      <c r="G510" s="1116" t="s">
        <v>3532</v>
      </c>
      <c r="H510" s="1116" t="s">
        <v>1787</v>
      </c>
      <c r="I510" s="6">
        <v>1</v>
      </c>
    </row>
    <row r="511" spans="2:12" ht="36" hidden="1" customHeight="1" outlineLevel="1">
      <c r="B511" s="1116" t="s">
        <v>3485</v>
      </c>
      <c r="C511" s="869" t="str">
        <f>DocEBOM[[#This Row],[Category EN]]</f>
        <v>Comment</v>
      </c>
      <c r="D511" s="1117" t="s">
        <v>3653</v>
      </c>
      <c r="E511" s="869" t="str">
        <f>DocEBOM[[#This Row],[Category DE]]</f>
        <v>Kommentar</v>
      </c>
      <c r="F511" s="1103" t="s">
        <v>3628</v>
      </c>
      <c r="G511" s="1116" t="s">
        <v>3528</v>
      </c>
      <c r="H511" s="1116" t="s">
        <v>3485</v>
      </c>
      <c r="I511" s="6">
        <v>1</v>
      </c>
      <c r="K511" s="6"/>
      <c r="L511" s="6"/>
    </row>
    <row r="512" spans="2:12" ht="51" hidden="1" outlineLevel="1">
      <c r="B512" s="1116" t="s">
        <v>3513</v>
      </c>
      <c r="C512" s="1116" t="str">
        <f t="shared" ref="C512:F536" si="6">C487</f>
        <v>Group</v>
      </c>
      <c r="D512" s="1117" t="str">
        <f t="shared" si="6"/>
        <v>The classification of the component in one of the groups Passive, Semiconductor, IC, Oscillator, Connector, Electromechanical, Optoelectronic, Sensor and Other.
Classification is fixed and no deviation from it is possible.</v>
      </c>
      <c r="E512" s="1116" t="str">
        <f t="shared" si="6"/>
        <v>Klassifizierung</v>
      </c>
      <c r="F512" s="1117" t="str">
        <f t="shared" si="6"/>
        <v>Die Klassifizierung des Bauteils in einer der Gruppen Passive, Halbleiter, IC, Oszillatoren, Steckverbinder, Elektromechanik, Optoelektronik, Sensor und Andere.
Klassifizeriung ist festgelegt und keine Abweichung von dieser möglich.</v>
      </c>
      <c r="G512" s="1116" t="s">
        <v>3513</v>
      </c>
      <c r="H512" s="1116" t="s">
        <v>3468</v>
      </c>
      <c r="I512" s="6">
        <v>1</v>
      </c>
      <c r="K512" s="6"/>
      <c r="L512" s="6"/>
    </row>
    <row r="513" spans="2:12" ht="63.75" hidden="1" outlineLevel="1">
      <c r="B513" s="1116" t="s">
        <v>3514</v>
      </c>
      <c r="C513" s="1116" t="str">
        <f t="shared" si="6"/>
        <v>Type</v>
      </c>
      <c r="D513" s="1117" t="str">
        <f t="shared" si="6"/>
        <v>Description of the component type. Here you can use a value from the selection or define a component type yourself. 
The possible selection is: capacitor / inductor / ferrite, capacitor, inductor / ferrite, resistor, diode / transistor, electrolytic capacitor, tantalum capacitor, inductor and oscillator.</v>
      </c>
      <c r="E513" s="1116" t="str">
        <f t="shared" si="6"/>
        <v>Typ</v>
      </c>
      <c r="F513" s="1117" t="str">
        <f t="shared" si="6"/>
        <v>Beschreibung des Bauteiltyps. Hier kann aus der Auswahl ein Wert verwendet werden oder selbst ein Bauteiltyp definiert werden. 
Die mögliche Auswahl ist lautet: Kondensator / Induktivität / Ferrit, Kondensator, Induktivität / Ferrit, Widerstand, Diode / Transistor, Elektrolykondensator, Tantalkondensator, Induktor und Oszillator.</v>
      </c>
      <c r="G513" s="1116" t="s">
        <v>3514</v>
      </c>
      <c r="H513" s="1116" t="s">
        <v>3469</v>
      </c>
      <c r="I513" s="6">
        <v>1</v>
      </c>
      <c r="K513" s="6"/>
      <c r="L513" s="6"/>
    </row>
    <row r="514" spans="2:12" ht="25.5" hidden="1" outlineLevel="1">
      <c r="B514" s="1116" t="s">
        <v>3515</v>
      </c>
      <c r="C514" s="1116" t="str">
        <f t="shared" si="6"/>
        <v>Marking on component</v>
      </c>
      <c r="D514" s="1117" t="str">
        <f t="shared" si="6"/>
        <v>The identifiable component label is entered here. This is to facilitate an assignment of the EBOM line to the corresponding component.</v>
      </c>
      <c r="E514" s="1116" t="str">
        <f t="shared" si="6"/>
        <v>Bauteilbeschriftung</v>
      </c>
      <c r="F514" s="1117" t="str">
        <f t="shared" si="6"/>
        <v>Die identifizierbare Bauteilbeschriftung wird hier eingetragen. Dies soll eine Zuordnung der EBOM Zeile zu der entsprechenden Komponente erleichtern.</v>
      </c>
      <c r="G514" s="1116" t="s">
        <v>3515</v>
      </c>
      <c r="H514" s="1116" t="s">
        <v>3470</v>
      </c>
      <c r="I514" s="6">
        <v>1</v>
      </c>
      <c r="K514" s="6"/>
      <c r="L514" s="6"/>
    </row>
    <row r="515" spans="2:12" ht="25.5" hidden="1" outlineLevel="1">
      <c r="B515" s="1116" t="s">
        <v>3516</v>
      </c>
      <c r="C515" s="1116" t="str">
        <f t="shared" si="6"/>
        <v>Quantity 
Top Side</v>
      </c>
      <c r="D515" s="1117" t="str">
        <f t="shared" si="6"/>
        <v>The number of components identified and counted on the top for a given component type.</v>
      </c>
      <c r="E515" s="1116" t="str">
        <f t="shared" si="6"/>
        <v>Anzahl 
Oberseite</v>
      </c>
      <c r="F515" s="1117" t="str">
        <f t="shared" si="6"/>
        <v>Die Anzahl an Komponenten, welche auf der Oberseite für ein bestimmten Bauteiltyp erkannt und gezählt wurde.</v>
      </c>
      <c r="G515" s="1116" t="s">
        <v>3516</v>
      </c>
      <c r="H515" s="1116" t="s">
        <v>3581</v>
      </c>
      <c r="I515" s="6">
        <v>1</v>
      </c>
      <c r="K515" s="6"/>
      <c r="L515" s="6"/>
    </row>
    <row r="516" spans="2:12" ht="25.5" hidden="1" outlineLevel="1">
      <c r="B516" s="1116" t="s">
        <v>3580</v>
      </c>
      <c r="C516" s="1116" t="str">
        <f t="shared" si="6"/>
        <v>Quantity 
Bottom Side</v>
      </c>
      <c r="D516" s="1117" t="str">
        <f t="shared" si="6"/>
        <v>The number of components that have been detected and counted on the bottom side for a specific component type.</v>
      </c>
      <c r="E516" s="1116" t="str">
        <f t="shared" si="6"/>
        <v>Anzahl 
Unterseite</v>
      </c>
      <c r="F516" s="1117" t="str">
        <f t="shared" si="6"/>
        <v>Die Anzahl an Komponenten, welche auf der Unterseite für ein bestimmten Bauteiltyp erkannt und gezählt wurde.</v>
      </c>
      <c r="G516" s="1116" t="s">
        <v>3580</v>
      </c>
      <c r="H516" s="1116" t="s">
        <v>3582</v>
      </c>
      <c r="I516" s="6">
        <v>1</v>
      </c>
      <c r="K516" s="6"/>
      <c r="L516" s="6"/>
    </row>
    <row r="517" spans="2:12" ht="25.5" hidden="1" outlineLevel="1">
      <c r="B517" s="1116" t="s">
        <v>3517</v>
      </c>
      <c r="C517" s="1116" t="str">
        <f t="shared" si="6"/>
        <v>Quantity 
Total</v>
      </c>
      <c r="D517" s="1117" t="str">
        <f t="shared" si="6"/>
        <v>Total number of components detected and counted on the top and bottom for a given part type.</v>
      </c>
      <c r="E517" s="1116" t="str">
        <f t="shared" si="6"/>
        <v>Anzahl 
gesamt</v>
      </c>
      <c r="F517" s="1117" t="str">
        <f t="shared" si="6"/>
        <v>Gesamte Anzahl an Komponenten, welche auf der Oberseite und Unterseite für ein bestimmten Bauteiltyp erkannt und gezählt wurde.</v>
      </c>
      <c r="G517" s="1116" t="s">
        <v>3517</v>
      </c>
      <c r="H517" s="1116" t="s">
        <v>3471</v>
      </c>
      <c r="I517" s="6">
        <v>1</v>
      </c>
      <c r="K517" s="6"/>
      <c r="L517" s="6"/>
    </row>
    <row r="518" spans="2:12" ht="51" hidden="1" outlineLevel="1">
      <c r="B518" s="1116" t="s">
        <v>3472</v>
      </c>
      <c r="C518" s="1116" t="str">
        <f t="shared" si="6"/>
        <v>SMD/THT</v>
      </c>
      <c r="D518" s="1117" t="str">
        <f t="shared" si="6"/>
        <v xml:space="preserve"> Categorization whether the component was mounted on the board by SMD or THT method.
SMD = Surface mount Device (Surface mount)
THT = Through hole Technology (through hole mounting).</v>
      </c>
      <c r="E518" s="1116" t="str">
        <f t="shared" si="6"/>
        <v>SMD/THT</v>
      </c>
      <c r="F518" s="1117" t="str">
        <f t="shared" si="6"/>
        <v>Kategorisierung, ob es sich um ein Bauteil handelt, welches per SMD- oder THT-Verfahren auf der Platine montiert wurde.
SMD = Surface mount Device (Oberflächenmontage)
THT = Through hole Technology (Durchlochmontage)</v>
      </c>
      <c r="G518" s="1116" t="s">
        <v>3472</v>
      </c>
      <c r="H518" s="1116" t="s">
        <v>3578</v>
      </c>
      <c r="I518" s="6">
        <v>1</v>
      </c>
      <c r="K518" s="6"/>
      <c r="L518" s="6"/>
    </row>
    <row r="519" spans="2:12" ht="51" hidden="1" outlineLevel="1">
      <c r="B519" s="1116" t="s">
        <v>69</v>
      </c>
      <c r="C519" s="1116" t="str">
        <f t="shared" si="6"/>
        <v>Description</v>
      </c>
      <c r="D519" s="1117" t="str">
        <f t="shared" si="6"/>
        <v>Description of the component. Information from the online search can be stored here that describes the component. 
For example, this can be the memory size or the computing power of an IC.</v>
      </c>
      <c r="E519" s="1116" t="str">
        <f t="shared" si="6"/>
        <v>Beschreibung</v>
      </c>
      <c r="F519" s="1117" t="str">
        <f t="shared" si="6"/>
        <v>Beschreibung des Bauteils. Hier können Informationen aus der Online-Recherche hinterlegt werden, die das Bauteil beschreiben. 
Beispielhaft können dies die Speichergröße oder die Rechenleistung eines ICs sein.</v>
      </c>
      <c r="G519" s="1116" t="s">
        <v>69</v>
      </c>
      <c r="H519" s="1116" t="s">
        <v>2</v>
      </c>
      <c r="I519" s="6">
        <v>1</v>
      </c>
      <c r="K519" s="6"/>
      <c r="L519" s="6"/>
    </row>
    <row r="520" spans="2:12" ht="51" hidden="1" outlineLevel="1">
      <c r="B520" s="1116" t="s">
        <v>3518</v>
      </c>
      <c r="C520" s="1116" t="str">
        <f t="shared" si="6"/>
        <v>Manufacturer</v>
      </c>
      <c r="D520" s="1117" t="str">
        <f t="shared" si="6"/>
        <v>IMPORTANT: Only fill in the line if exact information is available for the component! Do not write down a reference component here!
Manufacturer of the component part.</v>
      </c>
      <c r="E520" s="1116" t="str">
        <f t="shared" si="6"/>
        <v>Hersteller</v>
      </c>
      <c r="F520" s="1117" t="str">
        <f t="shared" si="6"/>
        <v>WICHTIG: Zeile nur befüllen, wenn exakte Information für das Bauteil vorliegt! Keine Referenzkomponente hier notieren!
Hersteller der Bauteilkomponente.</v>
      </c>
      <c r="G520" s="1116" t="s">
        <v>3518</v>
      </c>
      <c r="H520" s="1116" t="s">
        <v>3473</v>
      </c>
      <c r="I520" s="6">
        <v>1</v>
      </c>
      <c r="K520" s="6"/>
      <c r="L520" s="6"/>
    </row>
    <row r="521" spans="2:12" ht="51" hidden="1" outlineLevel="1">
      <c r="B521" s="1116" t="s">
        <v>3519</v>
      </c>
      <c r="C521" s="1116" t="str">
        <f t="shared" si="6"/>
        <v>Manufacturer 
Part Number</v>
      </c>
      <c r="D521" s="1117" t="str">
        <f t="shared" si="6"/>
        <v>IMPORTANT: Fill in line only if exact information for the component is available! Do not enter a reference component here!
Part number of the component.</v>
      </c>
      <c r="E521" s="1116" t="str">
        <f t="shared" si="6"/>
        <v>Hersteller Teilenummer</v>
      </c>
      <c r="F521" s="1117" t="str">
        <f t="shared" si="6"/>
        <v>WICHTIG: Zeile nur befüllen, wenn exakte Information für das Bauteil vorliegt! Keine Referenzkomponente hier notieren!
Teilnenummer der Bauteilkomponente.</v>
      </c>
      <c r="G521" s="1116" t="s">
        <v>3519</v>
      </c>
      <c r="H521" s="1116" t="s">
        <v>3583</v>
      </c>
      <c r="I521" s="6">
        <v>1</v>
      </c>
      <c r="K521" s="6"/>
      <c r="L521" s="6"/>
    </row>
    <row r="522" spans="2:12" ht="25.5" hidden="1" outlineLevel="1">
      <c r="B522" s="1116" t="s">
        <v>3520</v>
      </c>
      <c r="C522" s="1116" t="str">
        <f t="shared" si="6"/>
        <v>Reference 
Part Number</v>
      </c>
      <c r="D522" s="1117" t="str">
        <f t="shared" si="6"/>
        <v>If exact component could not be found in the search, but a reference could be selected based on available information, the part number of the reference is entered here.</v>
      </c>
      <c r="E522" s="1116" t="str">
        <f t="shared" si="6"/>
        <v>Referenz-Hersteller Teilenummer</v>
      </c>
      <c r="F522" s="1117" t="str">
        <f t="shared" si="6"/>
        <v>Falls exakte Komponente nicht in der Recherche gefunden werden konnte, aber auf Basis vorliegender Informationen eine Referenz ausgewählt werden konnte, wird die Teilenummer der Referenz hier eingetragen.</v>
      </c>
      <c r="G522" s="1116" t="s">
        <v>3520</v>
      </c>
      <c r="H522" s="1116" t="s">
        <v>3475</v>
      </c>
      <c r="I522" s="6">
        <v>1</v>
      </c>
      <c r="K522" s="6"/>
      <c r="L522" s="6"/>
    </row>
    <row r="523" spans="2:12" hidden="1" outlineLevel="1">
      <c r="B523" s="1116" t="s">
        <v>3521</v>
      </c>
      <c r="C523" s="1116" t="str">
        <f t="shared" si="6"/>
        <v>No of Pins/Pads</v>
      </c>
      <c r="D523" s="1117" t="str">
        <f t="shared" si="6"/>
        <v>Number of pins of the component or number of connection points between component and board.</v>
      </c>
      <c r="E523" s="1116" t="str">
        <f t="shared" si="6"/>
        <v>Anzahl der Pins</v>
      </c>
      <c r="F523" s="1117" t="str">
        <f t="shared" si="6"/>
        <v>Anzahl der Pins der Komponente oder Anzahl der Verbindungspunkte zwischen Komponente und Platine.</v>
      </c>
      <c r="G523" s="1116" t="s">
        <v>3521</v>
      </c>
      <c r="H523" s="1116" t="s">
        <v>3476</v>
      </c>
      <c r="I523" s="6">
        <v>1</v>
      </c>
      <c r="K523" s="6"/>
      <c r="L523" s="6"/>
    </row>
    <row r="524" spans="2:12" ht="51" hidden="1" outlineLevel="1">
      <c r="B524" s="1116" t="s">
        <v>3522</v>
      </c>
      <c r="C524" s="1116" t="str">
        <f t="shared" si="6"/>
        <v>Package / Dimension</v>
      </c>
      <c r="D524" s="1117" t="str">
        <f t="shared" si="6"/>
        <v xml:space="preserve"> Package type of the component. Possible selection sizes are stored for the standard components and can be selected.
Input of length/width of the component possible or the code for the package type.</v>
      </c>
      <c r="E524" s="1116" t="str">
        <f t="shared" si="6"/>
        <v>Gehäuse / Dimension</v>
      </c>
      <c r="F524" s="1117" t="str">
        <f t="shared" si="6"/>
        <v>Gehäusetyp der Komponente. Mögliche Auswahlgrößen sind für die Standardkomponenten hinterlegt und können ausgewählt werden.
Eingabe von Länge/Breite der Komponente möglich oder des Codes für den Gehäusetyp.</v>
      </c>
      <c r="G524" s="1116" t="s">
        <v>3584</v>
      </c>
      <c r="H524" s="1116" t="s">
        <v>3579</v>
      </c>
      <c r="I524" s="6">
        <v>1</v>
      </c>
      <c r="K524" s="6"/>
      <c r="L524" s="6"/>
    </row>
    <row r="525" spans="2:12" ht="63.75" hidden="1" outlineLevel="1">
      <c r="B525" s="1116" t="s">
        <v>915</v>
      </c>
      <c r="C525" s="1116" t="str">
        <f t="shared" si="6"/>
        <v>Source</v>
      </c>
      <c r="D525" s="1117" t="str">
        <f t="shared" si="6"/>
        <v>Price source is to be entered here. In case of internet research, the link is to be entered here. If the price comes from the AWS database, "Shortlist" or "Standard" is selected here.
Prices from the AWS database are stored for high quantities. Factorization is not provided for these components (factor takes value 1)</v>
      </c>
      <c r="E525" s="1116" t="str">
        <f t="shared" si="6"/>
        <v>Quelle</v>
      </c>
      <c r="F525" s="1117" t="str">
        <f t="shared" si="6"/>
        <v>Preisquelle ist hier einzutragen. Im Falle einer Internetrecherche ist hier der Link einzutragen. Stammt der Preis aus der AWS Datenbank wird hier "Shortlist" oder "Standard" ausgewählt.
Preise aus der AWS Datenbank sind für hohe Stückzahlen hinterlegt. Eine Faktorisierung ist für diese Komponenten nicht vorgesehen (Faktor nimmt Wert 1 an)</v>
      </c>
      <c r="G525" s="1116" t="s">
        <v>915</v>
      </c>
      <c r="H525" s="1116" t="s">
        <v>914</v>
      </c>
      <c r="I525" s="6">
        <v>1</v>
      </c>
      <c r="K525" s="6"/>
      <c r="L525" s="6"/>
    </row>
    <row r="526" spans="2:12" ht="63.75" hidden="1" outlineLevel="1">
      <c r="B526" s="1116" t="s">
        <v>3523</v>
      </c>
      <c r="C526" s="1116" t="str">
        <f t="shared" si="6"/>
        <v>Purchasing Volume</v>
      </c>
      <c r="D526" s="1117" t="str">
        <f t="shared" si="6"/>
        <v>IMPORTANT: Price factorization is based on 1,000 pcs. If possible, always research prices for an offered quantity of 1,000 pcs.
The purchase volume for which the component is offered in the Internet search. Basis for determining the price factor.</v>
      </c>
      <c r="E526" s="1116" t="str">
        <f t="shared" si="6"/>
        <v>Einkaufsvolumen</v>
      </c>
      <c r="F526" s="1117" t="str">
        <f t="shared" si="6"/>
        <v>WICHTIG: Preisfaktorisierung beruht auf 1.000 Stk. Wenn möglich, immer Preise für eine angebotene Stückzahl von 1.000 Stk recherchieren.
Das Einkaufsvolumen, für welches die Komponente in der Internetrecherche angeboten wird. Basis für die Ermittlung des Preisfaktors.</v>
      </c>
      <c r="G526" s="1116" t="s">
        <v>3523</v>
      </c>
      <c r="H526" s="1116" t="s">
        <v>3478</v>
      </c>
      <c r="I526" s="6">
        <v>1</v>
      </c>
      <c r="K526" s="6"/>
      <c r="L526" s="6"/>
    </row>
    <row r="527" spans="2:12" ht="25.5" hidden="1" outlineLevel="1">
      <c r="B527" s="1116" t="s">
        <v>3556</v>
      </c>
      <c r="C527" s="1116" t="str">
        <f t="shared" si="6"/>
        <v>Tolerance</v>
      </c>
      <c r="D527" s="1117" t="str">
        <f t="shared" si="6"/>
        <v>Basically, AWS database prices are based on an average tolerance distribution. This can be adjusted here for the standard components by entering the exact component tolerance value.</v>
      </c>
      <c r="E527" s="1116" t="str">
        <f t="shared" si="6"/>
        <v>Toleranz</v>
      </c>
      <c r="F527" s="1117" t="str">
        <f t="shared" si="6"/>
        <v>Grundsätzlich beruhen AWS Datenbankpreise auf eine Durchschnittliche Toleranzverteilung. Diese kann hier für die Standardkomponenten angepasst werden durch Eingabe des exakten Bauteiltoleranzwertes.</v>
      </c>
      <c r="G527" s="1116" t="s">
        <v>3556</v>
      </c>
      <c r="H527" s="1116" t="s">
        <v>3479</v>
      </c>
      <c r="I527" s="6">
        <v>1</v>
      </c>
      <c r="K527" s="6"/>
      <c r="L527" s="6"/>
    </row>
    <row r="528" spans="2:12" ht="25.5" hidden="1" outlineLevel="1">
      <c r="B528" s="1116" t="s">
        <v>3524</v>
      </c>
      <c r="C528" s="1116" t="str">
        <f t="shared" si="6"/>
        <v>Researched Price</v>
      </c>
      <c r="D528" s="1117" t="str">
        <f t="shared" si="6"/>
        <v>The price found in the internet search (If possible, always enter prices for an offered quantity of 1,000 pcs here).</v>
      </c>
      <c r="E528" s="1116" t="str">
        <f t="shared" si="6"/>
        <v>Recherchierter Preis</v>
      </c>
      <c r="F528" s="1117" t="str">
        <f t="shared" si="6"/>
        <v>Der Preis, welcher in der Internetrecherche gefunden wurde (Wenn möglich, immer Preise für eine angebotene Stückzahl von 1.000 Stk hier eintragen)</v>
      </c>
      <c r="G528" s="1116" t="s">
        <v>3524</v>
      </c>
      <c r="H528" s="1116" t="s">
        <v>3480</v>
      </c>
      <c r="I528" s="6">
        <v>1</v>
      </c>
      <c r="K528" s="6"/>
      <c r="L528" s="6"/>
    </row>
    <row r="529" spans="2:12" hidden="1" outlineLevel="1">
      <c r="B529" s="1116" t="s">
        <v>3555</v>
      </c>
      <c r="C529" s="1116" t="str">
        <f t="shared" si="6"/>
        <v>Search date</v>
      </c>
      <c r="D529" s="1117" t="str">
        <f t="shared" si="6"/>
        <v>The date when the price was researched.</v>
      </c>
      <c r="E529" s="1116" t="str">
        <f t="shared" si="6"/>
        <v>Recherche Datum</v>
      </c>
      <c r="F529" s="1117" t="str">
        <f t="shared" si="6"/>
        <v>Das Datum, an welchem der Preis recherchiert wurde.</v>
      </c>
      <c r="G529" s="1116" t="s">
        <v>3555</v>
      </c>
      <c r="H529" s="1116" t="s">
        <v>3481</v>
      </c>
      <c r="I529" s="6">
        <v>1</v>
      </c>
      <c r="K529" s="6"/>
      <c r="L529" s="6"/>
    </row>
    <row r="530" spans="2:12" ht="25.5" hidden="1" outlineLevel="1">
      <c r="B530" s="1116" t="s">
        <v>3554</v>
      </c>
      <c r="C530" s="1116" t="str">
        <f t="shared" si="6"/>
        <v>Project factor</v>
      </c>
      <c r="D530" s="1117" t="str">
        <f t="shared" si="6"/>
        <v>Project factor, which was determined via the AWS tool. Depends on the elements sourcing region, total volume, company size of the customer, industry, project attractiveness and market power.</v>
      </c>
      <c r="E530" s="1116" t="str">
        <f t="shared" si="6"/>
        <v>Projekt-Faktor</v>
      </c>
      <c r="F530" s="1117" t="str">
        <f t="shared" si="6"/>
        <v>Projekt-Faktor, welcher über das AWS Tool ermittelt wurde. Hängt von den Elementen Sourcing-Region, Gesamtvolumen, Firmengröße des Kunden, Branche, Projektattraktivität und Marktmacht ab.</v>
      </c>
      <c r="G530" s="1116" t="s">
        <v>3554</v>
      </c>
      <c r="H530" s="1116" t="s">
        <v>3466</v>
      </c>
      <c r="I530" s="6">
        <v>1</v>
      </c>
      <c r="K530" s="6"/>
      <c r="L530" s="6"/>
    </row>
    <row r="531" spans="2:12" hidden="1" outlineLevel="1">
      <c r="B531" s="1116" t="s">
        <v>3365</v>
      </c>
      <c r="C531" s="1116" t="str">
        <f t="shared" si="6"/>
        <v>Factor</v>
      </c>
      <c r="D531" s="1117" t="str">
        <f t="shared" si="6"/>
        <v>Degression Factor. Based on a unit count function normalized to 1,000 pcs.</v>
      </c>
      <c r="E531" s="1116" t="str">
        <f t="shared" si="6"/>
        <v>Faktor</v>
      </c>
      <c r="F531" s="1117" t="str">
        <f t="shared" si="6"/>
        <v>Degressionfaktor. Beruht auf einer Stückzahlfunktion, welche auf 1.000 Stk normiert ist.</v>
      </c>
      <c r="G531" s="1116" t="s">
        <v>3365</v>
      </c>
      <c r="H531" s="1116" t="s">
        <v>439</v>
      </c>
      <c r="I531" s="6">
        <v>1</v>
      </c>
      <c r="K531" s="6"/>
      <c r="L531" s="6"/>
    </row>
    <row r="532" spans="2:12" ht="25.5" hidden="1" outlineLevel="1">
      <c r="B532" s="1116" t="s">
        <v>3525</v>
      </c>
      <c r="C532" s="1116" t="str">
        <f t="shared" si="6"/>
        <v>Factorized Single Price</v>
      </c>
      <c r="D532" s="1117" t="str">
        <f t="shared" si="6"/>
        <v>Multiplication of project factor, (degression) factor and price.</v>
      </c>
      <c r="E532" s="1116" t="str">
        <f t="shared" si="6"/>
        <v>faktorisierter Einzelpreis</v>
      </c>
      <c r="F532" s="1117" t="str">
        <f t="shared" si="6"/>
        <v>Multiplikation aus Projekt-Faktor, (Degressions-)Faktor und Preis</v>
      </c>
      <c r="G532" s="1116" t="s">
        <v>3525</v>
      </c>
      <c r="H532" s="1116" t="s">
        <v>3482</v>
      </c>
      <c r="I532" s="6">
        <v>1</v>
      </c>
      <c r="K532" s="6"/>
      <c r="L532" s="6"/>
    </row>
    <row r="533" spans="2:12" hidden="1" outlineLevel="1">
      <c r="B533" s="1116" t="s">
        <v>3526</v>
      </c>
      <c r="C533" s="1116" t="str">
        <f t="shared" si="6"/>
        <v>Price Top Side</v>
      </c>
      <c r="D533" s="1117" t="str">
        <f t="shared" si="6"/>
        <v>Multiplication of number of topsides times the factorized price.</v>
      </c>
      <c r="E533" s="1116" t="str">
        <f t="shared" si="6"/>
        <v>Preis Oberseite</v>
      </c>
      <c r="F533" s="1117" t="str">
        <f t="shared" si="6"/>
        <v>Multiplikation aus Anzahl Oberseite mal den faktorisierten Preis</v>
      </c>
      <c r="G533" s="1116" t="s">
        <v>3526</v>
      </c>
      <c r="H533" s="1116" t="s">
        <v>3483</v>
      </c>
      <c r="I533" s="6">
        <v>1</v>
      </c>
      <c r="K533" s="6"/>
      <c r="L533" s="6"/>
    </row>
    <row r="534" spans="2:12" hidden="1" outlineLevel="1">
      <c r="B534" s="1116" t="s">
        <v>3527</v>
      </c>
      <c r="C534" s="1116" t="str">
        <f t="shared" si="6"/>
        <v>Price Bottom Side</v>
      </c>
      <c r="D534" s="1117" t="str">
        <f t="shared" si="6"/>
        <v>Multiplication of number of bottom side times the factorized price</v>
      </c>
      <c r="E534" s="1116" t="str">
        <f t="shared" si="6"/>
        <v>Preis Unterseite</v>
      </c>
      <c r="F534" s="1117" t="str">
        <f t="shared" si="6"/>
        <v>Multiplikation aus Anzahl Unterseite mal den faktorisierten Preis</v>
      </c>
      <c r="G534" s="1116" t="s">
        <v>3527</v>
      </c>
      <c r="H534" s="1116" t="s">
        <v>3484</v>
      </c>
      <c r="I534" s="6">
        <v>1</v>
      </c>
      <c r="K534" s="6"/>
      <c r="L534" s="6"/>
    </row>
    <row r="535" spans="2:12" hidden="1" outlineLevel="1">
      <c r="B535" s="1116" t="s">
        <v>3532</v>
      </c>
      <c r="C535" s="1116" t="str">
        <f t="shared" si="6"/>
        <v>Total Price</v>
      </c>
      <c r="D535" s="1117" t="str">
        <f t="shared" si="6"/>
        <v>Sum of price top side and bottom side.</v>
      </c>
      <c r="E535" s="1116" t="str">
        <f t="shared" si="6"/>
        <v>Gesamtpreis</v>
      </c>
      <c r="F535" s="1117" t="str">
        <f t="shared" si="6"/>
        <v>Summe aus Preis Oberseite und Unterseite.</v>
      </c>
      <c r="G535" s="1116" t="s">
        <v>3532</v>
      </c>
      <c r="H535" s="1116" t="s">
        <v>1787</v>
      </c>
      <c r="I535" s="6">
        <v>1</v>
      </c>
      <c r="K535" s="6"/>
      <c r="L535" s="6"/>
    </row>
    <row r="536" spans="2:12" ht="25.5" hidden="1" outlineLevel="1">
      <c r="B536" s="1116" t="s">
        <v>3528</v>
      </c>
      <c r="C536" s="1116" t="str">
        <f t="shared" si="6"/>
        <v>Comment</v>
      </c>
      <c r="D536" s="1117" t="str">
        <f t="shared" si="6"/>
        <v>Comment, which can be deposited. Here, for example, it should be explained why a reference component was selected.</v>
      </c>
      <c r="E536" s="1116" t="str">
        <f t="shared" si="6"/>
        <v>Kommentar</v>
      </c>
      <c r="F536" s="1117" t="str">
        <f t="shared" si="6"/>
        <v>Kommentar, welcher hinterlegt werden kann. Hier sollte zum Beispiel erklärt werden, warum eine Referenzkomponente ausgewählt wurde.</v>
      </c>
      <c r="G536" s="1116" t="s">
        <v>3528</v>
      </c>
      <c r="H536" s="1116" t="s">
        <v>3485</v>
      </c>
      <c r="I536" s="6">
        <v>1</v>
      </c>
      <c r="K536" s="6"/>
      <c r="L536" s="6"/>
    </row>
    <row r="537" spans="2:12" ht="25.5" hidden="1" outlineLevel="1">
      <c r="B537" s="1116" t="s">
        <v>3594</v>
      </c>
      <c r="C537" s="869" t="str">
        <f>DocEBOM[[#This Row],[Category EN]]</f>
        <v>Total Price</v>
      </c>
      <c r="D537" s="1117" t="s">
        <v>3664</v>
      </c>
      <c r="E537" s="869" t="str">
        <f>DocEBOM[[#This Row],[Category DE]]</f>
        <v>Gesamtpreis</v>
      </c>
      <c r="F537" s="1103" t="s">
        <v>3654</v>
      </c>
      <c r="G537" s="1116" t="s">
        <v>3532</v>
      </c>
      <c r="H537" s="1116" t="s">
        <v>1787</v>
      </c>
      <c r="I537" s="6">
        <v>1</v>
      </c>
      <c r="K537" s="6"/>
      <c r="L537" s="6"/>
    </row>
    <row r="538" spans="2:12" ht="25.5" hidden="1" outlineLevel="1">
      <c r="B538" s="1116" t="s">
        <v>3595</v>
      </c>
      <c r="C538" s="869" t="str">
        <f>DocEBOM[[#This Row],[Category EN]]</f>
        <v>Annual Volume</v>
      </c>
      <c r="D538" s="1117" t="s">
        <v>3665</v>
      </c>
      <c r="E538" s="869" t="str">
        <f>DocEBOM[[#This Row],[Category DE]]</f>
        <v>Jahresstückzahl</v>
      </c>
      <c r="F538" s="1103" t="s">
        <v>3655</v>
      </c>
      <c r="G538" s="1116" t="s">
        <v>3531</v>
      </c>
      <c r="H538" s="1116" t="s">
        <v>3181</v>
      </c>
      <c r="I538" s="6">
        <v>1</v>
      </c>
      <c r="K538" s="6"/>
      <c r="L538" s="6"/>
    </row>
    <row r="539" spans="2:12" hidden="1" outlineLevel="1">
      <c r="B539" s="1116" t="s">
        <v>3596</v>
      </c>
      <c r="C539" s="869" t="s">
        <v>3320</v>
      </c>
      <c r="D539" s="1117" t="s">
        <v>3666</v>
      </c>
      <c r="E539" s="869" t="s">
        <v>3182</v>
      </c>
      <c r="F539" s="1103" t="s">
        <v>3656</v>
      </c>
      <c r="G539" s="1116" t="s">
        <v>3586</v>
      </c>
      <c r="H539" s="1116" t="s">
        <v>3573</v>
      </c>
      <c r="I539" s="6">
        <v>1</v>
      </c>
      <c r="K539" s="6"/>
      <c r="L539" s="6"/>
    </row>
    <row r="540" spans="2:12" hidden="1" outlineLevel="1">
      <c r="B540" s="1116" t="s">
        <v>3597</v>
      </c>
      <c r="C540" s="869" t="s">
        <v>3321</v>
      </c>
      <c r="D540" s="1117" t="s">
        <v>3667</v>
      </c>
      <c r="E540" s="869" t="s">
        <v>3184</v>
      </c>
      <c r="F540" s="1103" t="s">
        <v>3657</v>
      </c>
      <c r="G540" s="1116" t="s">
        <v>3587</v>
      </c>
      <c r="H540" s="1116" t="s">
        <v>3574</v>
      </c>
      <c r="I540" s="6">
        <v>1</v>
      </c>
      <c r="K540" s="6"/>
      <c r="L540" s="6"/>
    </row>
    <row r="541" spans="2:12" ht="25.5" hidden="1" outlineLevel="1">
      <c r="B541" s="1116" t="s">
        <v>3598</v>
      </c>
      <c r="C541" s="869" t="s">
        <v>3533</v>
      </c>
      <c r="D541" s="1117" t="s">
        <v>3668</v>
      </c>
      <c r="E541" s="869" t="s">
        <v>3462</v>
      </c>
      <c r="F541" s="1103" t="s">
        <v>3658</v>
      </c>
      <c r="G541" s="1116" t="s">
        <v>3588</v>
      </c>
      <c r="H541" s="1116" t="s">
        <v>3462</v>
      </c>
      <c r="I541" s="6">
        <v>1</v>
      </c>
      <c r="K541" s="6"/>
      <c r="L541" s="6"/>
    </row>
    <row r="542" spans="2:12" ht="25.5" hidden="1" outlineLevel="1">
      <c r="B542" s="1116" t="s">
        <v>3599</v>
      </c>
      <c r="C542" s="869" t="s">
        <v>3534</v>
      </c>
      <c r="D542" s="1117" t="s">
        <v>3669</v>
      </c>
      <c r="E542" s="869" t="s">
        <v>3463</v>
      </c>
      <c r="F542" s="1103" t="s">
        <v>3659</v>
      </c>
      <c r="G542" s="1116" t="s">
        <v>3589</v>
      </c>
      <c r="H542" s="1116" t="s">
        <v>3575</v>
      </c>
      <c r="I542" s="6">
        <v>1</v>
      </c>
      <c r="K542" s="6"/>
      <c r="L542" s="6"/>
    </row>
    <row r="543" spans="2:12" ht="25.5" hidden="1" outlineLevel="1">
      <c r="B543" s="1116" t="s">
        <v>3600</v>
      </c>
      <c r="C543" s="869" t="s">
        <v>3592</v>
      </c>
      <c r="D543" s="1117" t="s">
        <v>3670</v>
      </c>
      <c r="E543" s="869" t="s">
        <v>3464</v>
      </c>
      <c r="F543" s="1103" t="s">
        <v>3660</v>
      </c>
      <c r="G543" s="1116" t="s">
        <v>3590</v>
      </c>
      <c r="H543" s="1116" t="s">
        <v>3576</v>
      </c>
      <c r="I543" s="6">
        <v>1</v>
      </c>
      <c r="K543" s="6"/>
      <c r="L543" s="6"/>
    </row>
    <row r="544" spans="2:12" ht="79.900000000000006" hidden="1" customHeight="1" outlineLevel="1">
      <c r="B544" s="1116" t="s">
        <v>3601</v>
      </c>
      <c r="C544" s="869" t="s">
        <v>3593</v>
      </c>
      <c r="D544" s="1117" t="s">
        <v>3671</v>
      </c>
      <c r="E544" s="869" t="s">
        <v>3465</v>
      </c>
      <c r="F544" s="1103" t="s">
        <v>3661</v>
      </c>
      <c r="G544" s="1116" t="s">
        <v>3591</v>
      </c>
      <c r="H544" s="1116" t="s">
        <v>3577</v>
      </c>
      <c r="I544" s="6">
        <v>1</v>
      </c>
      <c r="K544" s="6"/>
      <c r="L544" s="6"/>
    </row>
    <row r="545" spans="2:12" ht="37.15" hidden="1" customHeight="1" outlineLevel="1">
      <c r="B545" s="1116" t="s">
        <v>3602</v>
      </c>
      <c r="C545" s="869" t="str">
        <f>DocEBOM[[#This Row],[Category EN]]</f>
        <v>Project factor</v>
      </c>
      <c r="D545" s="1117" t="s">
        <v>3672</v>
      </c>
      <c r="E545" s="869" t="str">
        <f>DocEBOM[[#This Row],[Category DE]]</f>
        <v>Projekt-Faktor</v>
      </c>
      <c r="F545" s="1103" t="s">
        <v>3662</v>
      </c>
      <c r="G545" s="1116" t="s">
        <v>3554</v>
      </c>
      <c r="H545" s="1116" t="s">
        <v>3466</v>
      </c>
      <c r="I545" s="6">
        <v>1</v>
      </c>
      <c r="K545" s="6"/>
      <c r="L545" s="6"/>
    </row>
    <row r="546" spans="2:12" ht="36" hidden="1" customHeight="1" outlineLevel="1">
      <c r="B546" s="1116" t="s">
        <v>3603</v>
      </c>
      <c r="C546" s="869" t="s">
        <v>3585</v>
      </c>
      <c r="D546" s="1117" t="s">
        <v>3673</v>
      </c>
      <c r="E546" s="869" t="s">
        <v>3467</v>
      </c>
      <c r="F546" s="1103" t="s">
        <v>3663</v>
      </c>
      <c r="G546" s="1116" t="s">
        <v>3549</v>
      </c>
      <c r="H546" s="1116" t="s">
        <v>3565</v>
      </c>
      <c r="I546" s="6">
        <v>1</v>
      </c>
      <c r="K546" s="6"/>
      <c r="L546" s="6"/>
    </row>
    <row r="554" spans="2:12">
      <c r="I554" s="19"/>
    </row>
    <row r="555" spans="2:12">
      <c r="I555" s="19"/>
    </row>
    <row r="556" spans="2:12">
      <c r="I556" s="19"/>
    </row>
  </sheetData>
  <phoneticPr fontId="39" type="noConversion"/>
  <conditionalFormatting sqref="L164:L183 A394:K395 A396:M397 A484:K489 A490:A546 J490:K546 I487:I546 B490:I547 E463:E482 A90:A108 A109:K391 E90:E108 C90:C108 A2:K89">
    <cfRule type="expression" dxfId="608" priority="44">
      <formula>_xlfn.ISFORMULA(A2)</formula>
    </cfRule>
  </conditionalFormatting>
  <conditionalFormatting sqref="I113:I130">
    <cfRule type="expression" dxfId="607" priority="42">
      <formula>_xlfn.ISFORMULA(I113)</formula>
    </cfRule>
  </conditionalFormatting>
  <conditionalFormatting sqref="K189:K237">
    <cfRule type="expression" dxfId="606" priority="38">
      <formula>_xlfn.ISFORMULA(K189)</formula>
    </cfRule>
  </conditionalFormatting>
  <conditionalFormatting sqref="K242:K269">
    <cfRule type="expression" dxfId="605" priority="36">
      <formula>_xlfn.ISFORMULA(K242)</formula>
    </cfRule>
  </conditionalFormatting>
  <conditionalFormatting sqref="I274:I298">
    <cfRule type="expression" dxfId="604" priority="34">
      <formula>_xlfn.ISFORMULA(I274)</formula>
    </cfRule>
  </conditionalFormatting>
  <conditionalFormatting sqref="K374 I373">
    <cfRule type="expression" dxfId="603" priority="18">
      <formula>_xlfn.ISFORMULA(I373)</formula>
    </cfRule>
  </conditionalFormatting>
  <conditionalFormatting sqref="A455:K459">
    <cfRule type="expression" dxfId="602" priority="11">
      <formula>_xlfn.ISFORMULA(A455)</formula>
    </cfRule>
  </conditionalFormatting>
  <conditionalFormatting sqref="A460:K462 A463:B466 A482:K483 J463:K481 A467:H481">
    <cfRule type="expression" dxfId="601" priority="9">
      <formula>_xlfn.ISFORMULA(A460)</formula>
    </cfRule>
  </conditionalFormatting>
  <conditionalFormatting sqref="C463:C466">
    <cfRule type="expression" dxfId="600" priority="6">
      <formula>_xlfn.ISFORMULA(C463)</formula>
    </cfRule>
  </conditionalFormatting>
  <conditionalFormatting sqref="D463:D466 F463:I466">
    <cfRule type="expression" dxfId="599" priority="5">
      <formula>_xlfn.ISFORMULA(D463)</formula>
    </cfRule>
  </conditionalFormatting>
  <conditionalFormatting sqref="I467:I481">
    <cfRule type="expression" dxfId="598" priority="3">
      <formula>_xlfn.ISFORMULA(I467)</formula>
    </cfRule>
  </conditionalFormatting>
  <conditionalFormatting sqref="B90:B108 F90:K108 D90:D108">
    <cfRule type="expression" dxfId="597" priority="1">
      <formula>_xlfn.ISFORMULA(B90)</formula>
    </cfRule>
  </conditionalFormatting>
  <pageMargins left="0.7" right="0.7" top="0.78740157499999996" bottom="0.78740157499999996" header="0.3" footer="0.3"/>
  <tableParts count="15">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s>
  <extLst>
    <ext xmlns:x14="http://schemas.microsoft.com/office/spreadsheetml/2009/9/main" uri="{78C0D931-6437-407d-A8EE-F0AAD7539E65}">
      <x14:conditionalFormattings>
        <x14:conditionalFormatting xmlns:xm="http://schemas.microsoft.com/office/excel/2006/main">
          <x14:cfRule type="iconSet" priority="43" id="{BC9BDE12-26E7-441B-9AC0-C902B1310D0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I113:I130</xm:sqref>
        </x14:conditionalFormatting>
        <x14:conditionalFormatting xmlns:xm="http://schemas.microsoft.com/office/excel/2006/main">
          <x14:cfRule type="iconSet" priority="39" id="{57406F78-9428-4C83-8ED2-AD311112C5C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K189:K237</xm:sqref>
        </x14:conditionalFormatting>
        <x14:conditionalFormatting xmlns:xm="http://schemas.microsoft.com/office/excel/2006/main">
          <x14:cfRule type="iconSet" priority="37" id="{183BFEC6-90F3-4698-A03D-D39ED1ACE49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K242:K269</xm:sqref>
        </x14:conditionalFormatting>
        <x14:conditionalFormatting xmlns:xm="http://schemas.microsoft.com/office/excel/2006/main">
          <x14:cfRule type="iconSet" priority="1410" id="{E3C56D37-EF76-4E98-8A12-1FC5B066789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G383:G391</xm:sqref>
        </x14:conditionalFormatting>
        <x14:conditionalFormatting xmlns:xm="http://schemas.microsoft.com/office/excel/2006/main">
          <x14:cfRule type="iconSet" priority="1411" id="{23AC16BD-632D-489F-81BF-A0717C198E8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I274:I298</xm:sqref>
        </x14:conditionalFormatting>
        <x14:conditionalFormatting xmlns:xm="http://schemas.microsoft.com/office/excel/2006/main">
          <x14:cfRule type="iconSet" priority="1436" id="{70E89180-6752-4259-8A2D-44CDB975B929}">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I302:I319</xm:sqref>
        </x14:conditionalFormatting>
        <x14:conditionalFormatting xmlns:xm="http://schemas.microsoft.com/office/excel/2006/main">
          <x14:cfRule type="iconSet" priority="1480" id="{14EFEF61-C3DF-4221-9424-8D9F006DFEE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K323:K369</xm:sqref>
        </x14:conditionalFormatting>
        <x14:conditionalFormatting xmlns:xm="http://schemas.microsoft.com/office/excel/2006/main">
          <x14:cfRule type="iconSet" priority="1483" id="{9461A5DA-CBB5-4A29-B803-FB4D40D009A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I378 K379</xm:sqref>
        </x14:conditionalFormatting>
        <x14:conditionalFormatting xmlns:xm="http://schemas.microsoft.com/office/excel/2006/main">
          <x14:cfRule type="iconSet" priority="19" id="{E2E1C8F0-B364-4B38-9AB5-16F04066518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I373 K374</xm:sqref>
        </x14:conditionalFormatting>
        <x14:conditionalFormatting xmlns:xm="http://schemas.microsoft.com/office/excel/2006/main">
          <x14:cfRule type="iconSet" priority="1490" id="{BB533BFA-1CD6-4B49-B6AB-28E021883B3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L183:L184 L135:L163</xm:sqref>
        </x14:conditionalFormatting>
        <x14:conditionalFormatting xmlns:xm="http://schemas.microsoft.com/office/excel/2006/main">
          <x14:cfRule type="iconSet" priority="1669" id="{4D2BD3E2-94A3-4833-980F-D4C93B26DDC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L164:L182</xm:sqref>
        </x14:conditionalFormatting>
        <x14:conditionalFormatting xmlns:xm="http://schemas.microsoft.com/office/excel/2006/main">
          <x14:cfRule type="iconSet" priority="1695" id="{B2A5042E-D1B6-4C30-A3C5-ADE3882EAA98}">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K397:K452</xm:sqref>
        </x14:conditionalFormatting>
        <x14:conditionalFormatting xmlns:xm="http://schemas.microsoft.com/office/excel/2006/main">
          <x14:cfRule type="iconSet" priority="12" id="{621DFAE9-967C-40E2-8B5A-31DF34EC8BC4}">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I458 K459</xm:sqref>
        </x14:conditionalFormatting>
        <x14:conditionalFormatting xmlns:xm="http://schemas.microsoft.com/office/excel/2006/main">
          <x14:cfRule type="iconSet" priority="10" id="{C8D01F59-C92C-4A14-8ACD-12B4E6A3287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I482 K483</xm:sqref>
        </x14:conditionalFormatting>
        <x14:conditionalFormatting xmlns:xm="http://schemas.microsoft.com/office/excel/2006/main">
          <x14:cfRule type="iconSet" priority="1704" id="{55CE1C6F-65E9-4BA8-ADB5-6AF4327F4E4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K511:K546 I487:I546</xm:sqref>
        </x14:conditionalFormatting>
        <x14:conditionalFormatting xmlns:xm="http://schemas.microsoft.com/office/excel/2006/main">
          <x14:cfRule type="iconSet" priority="1709" id="{A7697A5C-C76E-4F38-882E-B41DB060FEE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I463:I481</xm:sqref>
        </x14:conditionalFormatting>
        <x14:conditionalFormatting xmlns:xm="http://schemas.microsoft.com/office/excel/2006/main">
          <x14:cfRule type="iconSet" priority="2" id="{CCDE92E2-5065-435F-9F00-9486E586CEDC}">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L90:L108</xm:sqref>
        </x14:conditionalFormatting>
        <x14:conditionalFormatting xmlns:xm="http://schemas.microsoft.com/office/excel/2006/main">
          <x14:cfRule type="iconSet" priority="7482" id="{03262110-808A-445B-8B61-CAE8E86950F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L6:L89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1F2B3-A9B5-41B8-9609-C9E6F514516F}">
  <sheetPr codeName="TabTranslation">
    <tabColor theme="9"/>
  </sheetPr>
  <dimension ref="B2:E417"/>
  <sheetViews>
    <sheetView showGridLines="0" zoomScaleNormal="100" workbookViewId="0">
      <pane ySplit="2" topLeftCell="A58" activePane="bottomLeft" state="frozen"/>
      <selection activeCell="B2" sqref="B2:AX2"/>
      <selection pane="bottomLeft" activeCell="B78" sqref="B78"/>
    </sheetView>
  </sheetViews>
  <sheetFormatPr baseColWidth="10" defaultColWidth="11.42578125" defaultRowHeight="12.75"/>
  <cols>
    <col min="1" max="1" width="2.7109375" style="5" customWidth="1"/>
    <col min="2" max="3" width="40.7109375" style="5" customWidth="1"/>
    <col min="4" max="4" width="2.7109375" style="5" customWidth="1"/>
    <col min="5" max="5" width="20.7109375" style="1" customWidth="1"/>
    <col min="6" max="6" width="2.7109375" style="5" customWidth="1"/>
    <col min="7" max="16384" width="11.42578125" style="5"/>
  </cols>
  <sheetData>
    <row r="2" spans="2:5">
      <c r="B2" s="4" t="s">
        <v>54</v>
      </c>
      <c r="C2" s="4" t="s">
        <v>50</v>
      </c>
      <c r="E2" s="470" t="s">
        <v>52</v>
      </c>
    </row>
    <row r="3" spans="2:5">
      <c r="B3" s="19" t="s">
        <v>76</v>
      </c>
      <c r="C3" s="19" t="s">
        <v>32</v>
      </c>
      <c r="E3" s="4" t="str">
        <f>IF(Language="DE","T","D")</f>
        <v>D</v>
      </c>
    </row>
    <row r="4" spans="2:5">
      <c r="B4" s="19" t="s">
        <v>69</v>
      </c>
      <c r="C4" s="19" t="s">
        <v>2</v>
      </c>
      <c r="E4" s="4" t="s">
        <v>51</v>
      </c>
    </row>
    <row r="5" spans="2:5">
      <c r="B5" s="19" t="s">
        <v>78</v>
      </c>
      <c r="C5" s="19" t="s">
        <v>35</v>
      </c>
      <c r="E5" s="4" t="s">
        <v>49</v>
      </c>
    </row>
    <row r="6" spans="2:5">
      <c r="B6" s="19" t="s">
        <v>902</v>
      </c>
      <c r="C6" s="19" t="s">
        <v>140</v>
      </c>
      <c r="E6" s="4" t="str">
        <f>IF(Language="DE","HJ","HY")</f>
        <v>HY</v>
      </c>
    </row>
    <row r="7" spans="2:5" ht="13.5" thickBot="1">
      <c r="B7" s="19" t="s">
        <v>901</v>
      </c>
      <c r="C7" s="19" t="s">
        <v>900</v>
      </c>
      <c r="E7" s="4" t="str">
        <f>IF(Language="DE","J","Y")</f>
        <v>Y</v>
      </c>
    </row>
    <row r="8" spans="2:5">
      <c r="B8" s="19" t="s">
        <v>171</v>
      </c>
      <c r="C8" s="19" t="s">
        <v>170</v>
      </c>
      <c r="E8" s="483" t="str">
        <f>IF(Language="DE","M","U")</f>
        <v>U</v>
      </c>
    </row>
    <row r="9" spans="2:5" ht="13.5" thickBot="1">
      <c r="B9" s="19" t="s">
        <v>669</v>
      </c>
      <c r="C9" s="19" t="s">
        <v>412</v>
      </c>
      <c r="E9" s="484" t="str">
        <f>IF(Language="DE","F","S")</f>
        <v>S</v>
      </c>
    </row>
    <row r="10" spans="2:5">
      <c r="B10" s="19" t="s">
        <v>2394</v>
      </c>
      <c r="C10" s="19" t="s">
        <v>2395</v>
      </c>
      <c r="E10" s="4" t="s">
        <v>40</v>
      </c>
    </row>
    <row r="11" spans="2:5" ht="13.5" thickBot="1">
      <c r="B11" s="19" t="s">
        <v>2396</v>
      </c>
      <c r="C11" s="19" t="s">
        <v>2397</v>
      </c>
      <c r="E11" s="4" t="str">
        <f>IF(Language="DE","K","P")</f>
        <v>P</v>
      </c>
    </row>
    <row r="12" spans="2:5">
      <c r="B12" s="19" t="s">
        <v>2398</v>
      </c>
      <c r="C12" s="19" t="s">
        <v>2399</v>
      </c>
      <c r="E12" s="483" t="str">
        <f>IF(Language="DE","Stk.","pcs.")</f>
        <v>pcs.</v>
      </c>
    </row>
    <row r="13" spans="2:5">
      <c r="B13" s="19" t="s">
        <v>2400</v>
      </c>
      <c r="C13" s="19" t="s">
        <v>2401</v>
      </c>
      <c r="E13" s="4" t="s">
        <v>1238</v>
      </c>
    </row>
    <row r="14" spans="2:5">
      <c r="B14" s="19" t="s">
        <v>2402</v>
      </c>
      <c r="C14" s="19" t="s">
        <v>2403</v>
      </c>
      <c r="E14" s="4" t="s">
        <v>1266</v>
      </c>
    </row>
    <row r="15" spans="2:5">
      <c r="B15" s="19" t="s">
        <v>2425</v>
      </c>
      <c r="C15" s="19" t="s">
        <v>2424</v>
      </c>
      <c r="E15" s="4" t="s">
        <v>1267</v>
      </c>
    </row>
    <row r="16" spans="2:5">
      <c r="B16" s="19" t="s">
        <v>2426</v>
      </c>
      <c r="C16" s="19" t="s">
        <v>2404</v>
      </c>
      <c r="E16" s="4" t="s">
        <v>913</v>
      </c>
    </row>
    <row r="17" spans="2:5" ht="13.5" thickBot="1">
      <c r="B17" s="19" t="s">
        <v>2405</v>
      </c>
      <c r="C17" s="19" t="s">
        <v>2406</v>
      </c>
      <c r="E17" s="4" t="s">
        <v>1268</v>
      </c>
    </row>
    <row r="18" spans="2:5">
      <c r="B18" s="19" t="s">
        <v>2427</v>
      </c>
      <c r="C18" s="19" t="s">
        <v>2407</v>
      </c>
      <c r="E18" s="483" t="str">
        <f>IF(Language="DE","Konventionell","Coventional")</f>
        <v>Coventional</v>
      </c>
    </row>
    <row r="19" spans="2:5" ht="13.5" thickBot="1">
      <c r="B19" s="19" t="s">
        <v>2408</v>
      </c>
      <c r="C19" s="19" t="s">
        <v>2409</v>
      </c>
      <c r="E19" s="485" t="str">
        <f>IF(Language="DE","Ökostrom","Green electricity")</f>
        <v>Green electricity</v>
      </c>
    </row>
    <row r="20" spans="2:5">
      <c r="B20" s="19" t="s">
        <v>2410</v>
      </c>
      <c r="C20" s="19" t="s">
        <v>2411</v>
      </c>
      <c r="E20" s="4" t="str">
        <f>IF(Language="DE","Luft","Air")</f>
        <v>Air</v>
      </c>
    </row>
    <row r="21" spans="2:5">
      <c r="B21" s="19" t="s">
        <v>2412</v>
      </c>
      <c r="C21" s="19" t="s">
        <v>2413</v>
      </c>
      <c r="E21" s="4" t="str">
        <f>IF(Language="DE","See","Sea")</f>
        <v>Sea</v>
      </c>
    </row>
    <row r="22" spans="2:5">
      <c r="B22" s="19" t="s">
        <v>2414</v>
      </c>
      <c r="C22" s="19" t="s">
        <v>2415</v>
      </c>
      <c r="E22" s="4" t="str">
        <f>IF(Language="DE","Schiene","Rail")</f>
        <v>Rail</v>
      </c>
    </row>
    <row r="23" spans="2:5">
      <c r="B23" s="19" t="s">
        <v>2416</v>
      </c>
      <c r="C23" s="19" t="s">
        <v>2417</v>
      </c>
      <c r="E23" s="4" t="str">
        <f>IF(Language="DE","Straße","Road")</f>
        <v>Road</v>
      </c>
    </row>
    <row r="24" spans="2:5">
      <c r="B24" s="19" t="s">
        <v>2418</v>
      </c>
      <c r="C24" s="19" t="s">
        <v>2419</v>
      </c>
      <c r="E24" s="4" t="s">
        <v>2471</v>
      </c>
    </row>
    <row r="25" spans="2:5">
      <c r="B25" s="19" t="s">
        <v>2420</v>
      </c>
      <c r="C25" s="19" t="s">
        <v>2421</v>
      </c>
      <c r="E25" s="4" t="str">
        <f>IF(Language="DE","Straße","Road")</f>
        <v>Road</v>
      </c>
    </row>
    <row r="26" spans="2:5">
      <c r="B26" s="19" t="s">
        <v>2422</v>
      </c>
      <c r="C26" s="19" t="s">
        <v>2423</v>
      </c>
      <c r="E26" s="4" t="s">
        <v>2472</v>
      </c>
    </row>
    <row r="27" spans="2:5">
      <c r="B27" s="19" t="s">
        <v>2393</v>
      </c>
      <c r="C27" s="19" t="s">
        <v>2392</v>
      </c>
      <c r="E27" s="4" t="s">
        <v>2514</v>
      </c>
    </row>
    <row r="28" spans="2:5">
      <c r="B28" s="19" t="s">
        <v>284</v>
      </c>
      <c r="C28" s="19" t="s">
        <v>2391</v>
      </c>
      <c r="E28" s="4" t="s">
        <v>2665</v>
      </c>
    </row>
    <row r="29" spans="2:5">
      <c r="B29" s="19" t="s">
        <v>151</v>
      </c>
      <c r="C29" s="19" t="s">
        <v>123</v>
      </c>
      <c r="E29" s="4" t="s">
        <v>2666</v>
      </c>
    </row>
    <row r="30" spans="2:5">
      <c r="B30" s="19" t="s">
        <v>55</v>
      </c>
      <c r="C30" s="19" t="s">
        <v>150</v>
      </c>
      <c r="E30" s="4" t="s">
        <v>2543</v>
      </c>
    </row>
    <row r="31" spans="2:5">
      <c r="B31" s="19" t="s">
        <v>81</v>
      </c>
      <c r="C31" s="19" t="s">
        <v>80</v>
      </c>
      <c r="E31" s="4" t="s">
        <v>3226</v>
      </c>
    </row>
    <row r="32" spans="2:5">
      <c r="B32" s="19" t="s">
        <v>58</v>
      </c>
      <c r="C32" s="19" t="s">
        <v>39</v>
      </c>
      <c r="E32" s="4" t="s">
        <v>3227</v>
      </c>
    </row>
    <row r="33" spans="2:3">
      <c r="B33" s="486" t="str">
        <f>Currency &amp;"/Prt"</f>
        <v>EUR/Prt</v>
      </c>
      <c r="C33" s="486" t="str">
        <f>Currency &amp;"/Stk"</f>
        <v>EUR/Stk</v>
      </c>
    </row>
    <row r="34" spans="2:3">
      <c r="B34" s="19" t="s">
        <v>73</v>
      </c>
      <c r="C34" s="19" t="s">
        <v>4</v>
      </c>
    </row>
    <row r="35" spans="2:3">
      <c r="B35" s="19" t="s">
        <v>74</v>
      </c>
      <c r="C35" s="19" t="s">
        <v>8</v>
      </c>
    </row>
    <row r="36" spans="2:3">
      <c r="B36" s="19" t="s">
        <v>75</v>
      </c>
      <c r="C36" s="19" t="s">
        <v>62</v>
      </c>
    </row>
    <row r="37" spans="2:3">
      <c r="B37" s="19" t="s">
        <v>455</v>
      </c>
      <c r="C37" s="19" t="s">
        <v>437</v>
      </c>
    </row>
    <row r="38" spans="2:3">
      <c r="B38" s="19" t="s">
        <v>2082</v>
      </c>
      <c r="C38" s="19" t="s">
        <v>0</v>
      </c>
    </row>
    <row r="39" spans="2:3">
      <c r="B39" s="19" t="s">
        <v>156</v>
      </c>
      <c r="C39" s="19" t="s">
        <v>60</v>
      </c>
    </row>
    <row r="40" spans="2:3">
      <c r="B40" s="19" t="s">
        <v>172</v>
      </c>
      <c r="C40" s="19" t="s">
        <v>125</v>
      </c>
    </row>
    <row r="41" spans="2:3">
      <c r="B41" s="19" t="s">
        <v>139</v>
      </c>
      <c r="C41" s="19" t="s">
        <v>153</v>
      </c>
    </row>
    <row r="42" spans="2:3" ht="25.5">
      <c r="B42" s="19" t="s">
        <v>2378</v>
      </c>
      <c r="C42" s="19" t="s">
        <v>127</v>
      </c>
    </row>
    <row r="43" spans="2:3">
      <c r="B43" s="19" t="s">
        <v>157</v>
      </c>
      <c r="C43" s="19" t="s">
        <v>11</v>
      </c>
    </row>
    <row r="44" spans="2:3">
      <c r="B44" s="19" t="s">
        <v>72</v>
      </c>
      <c r="C44" s="19" t="s">
        <v>128</v>
      </c>
    </row>
    <row r="45" spans="2:3">
      <c r="B45" s="19" t="s">
        <v>158</v>
      </c>
      <c r="C45" s="19" t="s">
        <v>158</v>
      </c>
    </row>
    <row r="46" spans="2:3">
      <c r="B46" s="19" t="s">
        <v>159</v>
      </c>
      <c r="C46" s="19" t="s">
        <v>129</v>
      </c>
    </row>
    <row r="47" spans="2:3">
      <c r="B47" s="19" t="s">
        <v>1224</v>
      </c>
      <c r="C47" s="19" t="s">
        <v>63</v>
      </c>
    </row>
    <row r="48" spans="2:3">
      <c r="B48" s="19" t="s">
        <v>71</v>
      </c>
      <c r="C48" s="19" t="s">
        <v>59</v>
      </c>
    </row>
    <row r="49" spans="2:3">
      <c r="B49" s="19" t="s">
        <v>163</v>
      </c>
      <c r="C49" s="19" t="s">
        <v>154</v>
      </c>
    </row>
    <row r="50" spans="2:3">
      <c r="B50" s="19" t="s">
        <v>160</v>
      </c>
      <c r="C50" s="19" t="s">
        <v>120</v>
      </c>
    </row>
    <row r="51" spans="2:3">
      <c r="B51" s="19" t="s">
        <v>164</v>
      </c>
      <c r="C51" s="19" t="s">
        <v>162</v>
      </c>
    </row>
    <row r="52" spans="2:3">
      <c r="B52" s="19" t="s">
        <v>165</v>
      </c>
      <c r="C52" s="19" t="s">
        <v>161</v>
      </c>
    </row>
    <row r="53" spans="2:3">
      <c r="B53" s="19" t="s">
        <v>166</v>
      </c>
      <c r="C53" s="19" t="s">
        <v>85</v>
      </c>
    </row>
    <row r="54" spans="2:3">
      <c r="B54" s="272" t="s">
        <v>1379</v>
      </c>
      <c r="C54" s="19" t="s">
        <v>27</v>
      </c>
    </row>
    <row r="55" spans="2:3">
      <c r="B55" s="19" t="s">
        <v>155</v>
      </c>
      <c r="C55" s="19" t="s">
        <v>10</v>
      </c>
    </row>
    <row r="56" spans="2:3" ht="11.25" customHeight="1">
      <c r="B56" s="19" t="s">
        <v>168</v>
      </c>
      <c r="C56" s="19" t="s">
        <v>26</v>
      </c>
    </row>
    <row r="57" spans="2:3">
      <c r="B57" s="19" t="s">
        <v>283</v>
      </c>
      <c r="C57" s="19" t="s">
        <v>1</v>
      </c>
    </row>
    <row r="58" spans="2:3">
      <c r="B58" s="19" t="s">
        <v>152</v>
      </c>
      <c r="C58" s="19" t="s">
        <v>9</v>
      </c>
    </row>
    <row r="59" spans="2:3">
      <c r="B59" s="19" t="s">
        <v>169</v>
      </c>
      <c r="C59" s="19" t="s">
        <v>12</v>
      </c>
    </row>
    <row r="60" spans="2:3">
      <c r="B60" s="19" t="s">
        <v>174</v>
      </c>
      <c r="C60" s="19" t="s">
        <v>29</v>
      </c>
    </row>
    <row r="61" spans="2:3">
      <c r="B61" s="19" t="s">
        <v>175</v>
      </c>
      <c r="C61" s="19" t="s">
        <v>28</v>
      </c>
    </row>
    <row r="62" spans="2:3">
      <c r="B62" s="19" t="s">
        <v>177</v>
      </c>
      <c r="C62" s="19" t="s">
        <v>31</v>
      </c>
    </row>
    <row r="63" spans="2:3">
      <c r="B63" s="19" t="s">
        <v>176</v>
      </c>
      <c r="C63" s="19" t="s">
        <v>30</v>
      </c>
    </row>
    <row r="64" spans="2:3">
      <c r="B64" s="19" t="s">
        <v>2070</v>
      </c>
      <c r="C64" s="19" t="s">
        <v>2061</v>
      </c>
    </row>
    <row r="65" spans="2:3">
      <c r="B65" s="19" t="s">
        <v>2071</v>
      </c>
      <c r="C65" s="19" t="s">
        <v>152</v>
      </c>
    </row>
    <row r="66" spans="2:3">
      <c r="B66" s="19" t="s">
        <v>667</v>
      </c>
      <c r="C66" s="19" t="s">
        <v>666</v>
      </c>
    </row>
    <row r="67" spans="2:3">
      <c r="B67" s="19" t="s">
        <v>203</v>
      </c>
      <c r="C67" s="19" t="s">
        <v>206</v>
      </c>
    </row>
    <row r="68" spans="2:3">
      <c r="B68" s="19" t="s">
        <v>241</v>
      </c>
      <c r="C68" s="19" t="s">
        <v>532</v>
      </c>
    </row>
    <row r="69" spans="2:3">
      <c r="B69" s="19" t="s">
        <v>440</v>
      </c>
      <c r="C69" s="19" t="s">
        <v>533</v>
      </c>
    </row>
    <row r="70" spans="2:3">
      <c r="B70" s="19" t="s">
        <v>208</v>
      </c>
      <c r="C70" s="19" t="s">
        <v>86</v>
      </c>
    </row>
    <row r="71" spans="2:3">
      <c r="B71" s="19" t="s">
        <v>210</v>
      </c>
      <c r="C71" s="19" t="s">
        <v>13</v>
      </c>
    </row>
    <row r="72" spans="2:3">
      <c r="B72" s="19" t="s">
        <v>207</v>
      </c>
      <c r="C72" s="19" t="s">
        <v>709</v>
      </c>
    </row>
    <row r="73" spans="2:3">
      <c r="B73" s="19" t="s">
        <v>534</v>
      </c>
      <c r="C73" s="19" t="s">
        <v>335</v>
      </c>
    </row>
    <row r="74" spans="2:3">
      <c r="B74" s="19" t="s">
        <v>2147</v>
      </c>
      <c r="C74" s="19" t="s">
        <v>535</v>
      </c>
    </row>
    <row r="75" spans="2:3">
      <c r="B75" s="19" t="s">
        <v>536</v>
      </c>
      <c r="C75" s="19" t="s">
        <v>22</v>
      </c>
    </row>
    <row r="76" spans="2:3">
      <c r="B76" s="19" t="s">
        <v>537</v>
      </c>
      <c r="C76" s="19" t="s">
        <v>19</v>
      </c>
    </row>
    <row r="77" spans="2:3">
      <c r="B77" s="19" t="s">
        <v>538</v>
      </c>
      <c r="C77" s="19" t="s">
        <v>48</v>
      </c>
    </row>
    <row r="78" spans="2:3">
      <c r="B78" s="19" t="s">
        <v>2084</v>
      </c>
      <c r="C78" s="19" t="s">
        <v>47</v>
      </c>
    </row>
    <row r="79" spans="2:3">
      <c r="B79" s="19" t="s">
        <v>2083</v>
      </c>
      <c r="C79" s="19" t="s">
        <v>46</v>
      </c>
    </row>
    <row r="80" spans="2:3">
      <c r="B80" s="19" t="s">
        <v>492</v>
      </c>
      <c r="C80" s="19" t="s">
        <v>33</v>
      </c>
    </row>
    <row r="81" spans="2:3">
      <c r="B81" s="19" t="s">
        <v>541</v>
      </c>
      <c r="C81" s="19" t="s">
        <v>15</v>
      </c>
    </row>
    <row r="82" spans="2:3">
      <c r="B82" s="19" t="s">
        <v>2487</v>
      </c>
      <c r="C82" s="19" t="s">
        <v>16</v>
      </c>
    </row>
    <row r="83" spans="2:3">
      <c r="B83" s="19" t="s">
        <v>2491</v>
      </c>
      <c r="C83" s="19" t="s">
        <v>6</v>
      </c>
    </row>
    <row r="84" spans="2:3">
      <c r="B84" s="19" t="s">
        <v>2489</v>
      </c>
      <c r="C84" s="19" t="s">
        <v>91</v>
      </c>
    </row>
    <row r="85" spans="2:3">
      <c r="B85" s="19" t="s">
        <v>2490</v>
      </c>
      <c r="C85" s="19" t="s">
        <v>92</v>
      </c>
    </row>
    <row r="86" spans="2:3">
      <c r="B86" s="19" t="s">
        <v>542</v>
      </c>
      <c r="C86" s="19" t="s">
        <v>17</v>
      </c>
    </row>
    <row r="87" spans="2:3">
      <c r="B87" s="19" t="s">
        <v>543</v>
      </c>
      <c r="C87" s="19" t="s">
        <v>21</v>
      </c>
    </row>
    <row r="88" spans="2:3">
      <c r="B88" s="19" t="s">
        <v>1131</v>
      </c>
      <c r="C88" s="19" t="s">
        <v>587</v>
      </c>
    </row>
    <row r="89" spans="2:3">
      <c r="B89" s="19" t="s">
        <v>544</v>
      </c>
      <c r="C89" s="19" t="s">
        <v>45</v>
      </c>
    </row>
    <row r="90" spans="2:3">
      <c r="B90" s="19" t="s">
        <v>498</v>
      </c>
      <c r="C90" s="19" t="s">
        <v>41</v>
      </c>
    </row>
    <row r="91" spans="2:3">
      <c r="B91" s="19" t="s">
        <v>545</v>
      </c>
      <c r="C91" s="19" t="s">
        <v>42</v>
      </c>
    </row>
    <row r="92" spans="2:3">
      <c r="B92" s="19" t="s">
        <v>209</v>
      </c>
      <c r="C92" s="19" t="s">
        <v>14</v>
      </c>
    </row>
    <row r="93" spans="2:3">
      <c r="B93" s="19" t="s">
        <v>503</v>
      </c>
      <c r="C93" s="19" t="s">
        <v>43</v>
      </c>
    </row>
    <row r="94" spans="2:3">
      <c r="B94" s="19" t="s">
        <v>506</v>
      </c>
      <c r="C94" s="19" t="s">
        <v>44</v>
      </c>
    </row>
    <row r="95" spans="2:3">
      <c r="B95" s="19" t="s">
        <v>481</v>
      </c>
      <c r="C95" s="19" t="s">
        <v>77</v>
      </c>
    </row>
    <row r="96" spans="2:3">
      <c r="B96" s="19" t="s">
        <v>2493</v>
      </c>
      <c r="C96" s="19" t="s">
        <v>64</v>
      </c>
    </row>
    <row r="97" spans="2:3">
      <c r="B97" s="19" t="s">
        <v>2492</v>
      </c>
      <c r="C97" s="19" t="s">
        <v>94</v>
      </c>
    </row>
    <row r="98" spans="2:3">
      <c r="B98" s="19" t="s">
        <v>668</v>
      </c>
      <c r="C98" s="19" t="s">
        <v>665</v>
      </c>
    </row>
    <row r="99" spans="2:3">
      <c r="B99" s="19" t="s">
        <v>1526</v>
      </c>
      <c r="C99" s="19" t="s">
        <v>1414</v>
      </c>
    </row>
    <row r="100" spans="2:3">
      <c r="B100" s="19" t="s">
        <v>1527</v>
      </c>
      <c r="C100" s="19" t="s">
        <v>1417</v>
      </c>
    </row>
    <row r="101" spans="2:3">
      <c r="B101" s="19" t="s">
        <v>3340</v>
      </c>
      <c r="C101" s="19" t="s">
        <v>3337</v>
      </c>
    </row>
    <row r="102" spans="2:3">
      <c r="B102" s="19" t="s">
        <v>2081</v>
      </c>
      <c r="C102" s="19" t="s">
        <v>2075</v>
      </c>
    </row>
    <row r="103" spans="2:3">
      <c r="B103" s="19" t="s">
        <v>2079</v>
      </c>
      <c r="C103" s="19" t="s">
        <v>2072</v>
      </c>
    </row>
    <row r="104" spans="2:3">
      <c r="B104" s="19" t="s">
        <v>2080</v>
      </c>
      <c r="C104" s="19" t="s">
        <v>2073</v>
      </c>
    </row>
    <row r="105" spans="2:3">
      <c r="B105" s="19" t="s">
        <v>2143</v>
      </c>
      <c r="C105" s="19" t="s">
        <v>2120</v>
      </c>
    </row>
    <row r="106" spans="2:3">
      <c r="B106" s="19" t="s">
        <v>2144</v>
      </c>
      <c r="C106" s="19" t="s">
        <v>1416</v>
      </c>
    </row>
    <row r="107" spans="2:3">
      <c r="B107" s="19" t="s">
        <v>2180</v>
      </c>
      <c r="C107" s="19" t="s">
        <v>2181</v>
      </c>
    </row>
    <row r="108" spans="2:3">
      <c r="B108" s="19" t="s">
        <v>2142</v>
      </c>
      <c r="C108" s="19" t="s">
        <v>2145</v>
      </c>
    </row>
    <row r="109" spans="2:3">
      <c r="B109" s="19" t="s">
        <v>2146</v>
      </c>
      <c r="C109" s="19" t="s">
        <v>2141</v>
      </c>
    </row>
    <row r="110" spans="2:3">
      <c r="B110" s="878" t="s">
        <v>2497</v>
      </c>
      <c r="C110" s="19" t="s">
        <v>2499</v>
      </c>
    </row>
    <row r="111" spans="2:3">
      <c r="B111" s="878" t="s">
        <v>2498</v>
      </c>
      <c r="C111" s="19" t="s">
        <v>2500</v>
      </c>
    </row>
    <row r="112" spans="2:3">
      <c r="B112" s="19" t="s">
        <v>546</v>
      </c>
      <c r="C112" s="19" t="s">
        <v>97</v>
      </c>
    </row>
    <row r="113" spans="2:3">
      <c r="B113" s="19" t="s">
        <v>547</v>
      </c>
      <c r="C113" s="19" t="s">
        <v>116</v>
      </c>
    </row>
    <row r="114" spans="2:3" ht="25.5">
      <c r="B114" s="19" t="s">
        <v>562</v>
      </c>
      <c r="C114" s="19" t="s">
        <v>1558</v>
      </c>
    </row>
    <row r="115" spans="2:3" ht="25.5">
      <c r="B115" s="19" t="s">
        <v>548</v>
      </c>
      <c r="C115" s="19" t="s">
        <v>109</v>
      </c>
    </row>
    <row r="116" spans="2:3">
      <c r="B116" s="19" t="s">
        <v>2076</v>
      </c>
      <c r="C116" s="19" t="s">
        <v>583</v>
      </c>
    </row>
    <row r="117" spans="2:3" ht="25.5">
      <c r="B117" s="19" t="s">
        <v>591</v>
      </c>
      <c r="C117" s="19" t="s">
        <v>585</v>
      </c>
    </row>
    <row r="118" spans="2:3">
      <c r="B118" s="19" t="s">
        <v>2077</v>
      </c>
      <c r="C118" s="19" t="s">
        <v>586</v>
      </c>
    </row>
    <row r="119" spans="2:3" ht="25.5">
      <c r="B119" s="19" t="s">
        <v>549</v>
      </c>
      <c r="C119" s="19" t="s">
        <v>110</v>
      </c>
    </row>
    <row r="120" spans="2:3" ht="25.5">
      <c r="B120" s="19" t="s">
        <v>1562</v>
      </c>
      <c r="C120" s="19" t="s">
        <v>101</v>
      </c>
    </row>
    <row r="121" spans="2:3" ht="25.5">
      <c r="B121" s="19" t="s">
        <v>550</v>
      </c>
      <c r="C121" s="19" t="s">
        <v>445</v>
      </c>
    </row>
    <row r="122" spans="2:3" ht="25.5">
      <c r="B122" s="19" t="s">
        <v>1381</v>
      </c>
      <c r="C122" s="19" t="s">
        <v>579</v>
      </c>
    </row>
    <row r="123" spans="2:3" ht="25.5">
      <c r="B123" s="19" t="s">
        <v>1382</v>
      </c>
      <c r="C123" s="19" t="s">
        <v>575</v>
      </c>
    </row>
    <row r="124" spans="2:3" ht="25.5">
      <c r="B124" s="19" t="s">
        <v>551</v>
      </c>
      <c r="C124" s="19" t="s">
        <v>111</v>
      </c>
    </row>
    <row r="125" spans="2:3" ht="25.5">
      <c r="B125" s="19" t="str">
        <f>"Auxiliary and test equip.
["&amp;InputCurrency&amp;"/Year]"</f>
        <v>Auxiliary and test equip.
[EUR/Year]</v>
      </c>
      <c r="C125" s="19" t="str">
        <f>"Hilfs- und Prüfgeräte
["&amp;InputCurrency&amp;"/Jahr]"</f>
        <v>Hilfs- und Prüfgeräte
[EUR/Jahr]</v>
      </c>
    </row>
    <row r="126" spans="2:3" ht="25.5">
      <c r="B126" s="19" t="s">
        <v>1682</v>
      </c>
      <c r="C126" s="19" t="s">
        <v>1681</v>
      </c>
    </row>
    <row r="127" spans="2:3" ht="25.5">
      <c r="B127" s="19" t="str">
        <f>"General operating costs
["&amp;InputCurrency&amp;"/Year]"</f>
        <v>General operating costs
[EUR/Year]</v>
      </c>
      <c r="C127" s="19" t="str">
        <f>"Allg. Betriebskosten 
["&amp;InputCurrency&amp;"/Jahr]"</f>
        <v>Allg. Betriebskosten 
[EUR/Jahr]</v>
      </c>
    </row>
    <row r="128" spans="2:3" ht="25.5">
      <c r="B128" s="19" t="s">
        <v>2078</v>
      </c>
      <c r="C128" s="19" t="s">
        <v>1559</v>
      </c>
    </row>
    <row r="129" spans="2:3" ht="25.5">
      <c r="B129" s="19" t="s">
        <v>1561</v>
      </c>
      <c r="C129" s="19" t="s">
        <v>1560</v>
      </c>
    </row>
    <row r="130" spans="2:3">
      <c r="B130" s="19" t="s">
        <v>1583</v>
      </c>
      <c r="C130" s="19" t="s">
        <v>1149</v>
      </c>
    </row>
    <row r="131" spans="2:3" ht="25.5">
      <c r="B131" s="19" t="str">
        <f>"MHR 
["&amp;Currency&amp;"/h]"</f>
        <v>MHR 
[EUR/h]</v>
      </c>
      <c r="C131" s="19" t="str">
        <f>"MSS 
["&amp;Currency&amp;"/h]"</f>
        <v>MSS 
[EUR/h]</v>
      </c>
    </row>
    <row r="132" spans="2:3" ht="25.5">
      <c r="B132" s="19" t="str">
        <f>"IMHR IMC
["&amp;Currency&amp;"/h]"</f>
        <v>IMHR IMC
[EUR/h]</v>
      </c>
      <c r="C132" s="19" t="str">
        <f>"RSS RFGK 
["&amp;Currency&amp;"/h]"</f>
        <v>RSS RFGK 
[EUR/h]</v>
      </c>
    </row>
    <row r="133" spans="2:3">
      <c r="B133" s="19" t="s">
        <v>1220</v>
      </c>
      <c r="C133" s="19" t="s">
        <v>1042</v>
      </c>
    </row>
    <row r="134" spans="2:3">
      <c r="B134" s="19" t="s">
        <v>1221</v>
      </c>
      <c r="C134" s="19" t="s">
        <v>1043</v>
      </c>
    </row>
    <row r="135" spans="2:3">
      <c r="B135" s="19" t="s">
        <v>1222</v>
      </c>
      <c r="C135" s="19" t="s">
        <v>1058</v>
      </c>
    </row>
    <row r="136" spans="2:3">
      <c r="B136" s="19" t="s">
        <v>563</v>
      </c>
      <c r="C136" s="19" t="s">
        <v>135</v>
      </c>
    </row>
    <row r="137" spans="2:3">
      <c r="B137" s="19" t="s">
        <v>1223</v>
      </c>
      <c r="C137" s="19" t="s">
        <v>917</v>
      </c>
    </row>
    <row r="138" spans="2:3" ht="25.5">
      <c r="B138" s="19" t="str">
        <f>"Price 
["&amp;InputCurrency&amp;"/Unit] "</f>
        <v xml:space="preserve">Price 
[EUR/Unit] </v>
      </c>
      <c r="C138" s="19" t="str">
        <f>"Preis 
["&amp;InputCurrency&amp;"/Einheit] "</f>
        <v xml:space="preserve">Preis 
[EUR/Einheit] </v>
      </c>
    </row>
    <row r="139" spans="2:3" ht="25.5">
      <c r="B139" s="19" t="str">
        <f>"Price
["&amp;Currency&amp;"/Unit]"</f>
        <v>Price
[EUR/Unit]</v>
      </c>
      <c r="C139" s="19" t="str">
        <f>"Preis
["&amp;Currency&amp;"/Einheit]"</f>
        <v>Preis
[EUR/Einheit]</v>
      </c>
    </row>
    <row r="140" spans="2:3" ht="25.5">
      <c r="B140" s="19" t="str">
        <f>"Annual costs
[" &amp; Currency &amp; "/Year]"</f>
        <v>Annual costs
[EUR/Year]</v>
      </c>
      <c r="C140" s="19" t="str">
        <f>"Jährliche Kosten
[" &amp; Currency &amp; "/Jahr]"</f>
        <v>Jährliche Kosten
[EUR/Jahr]</v>
      </c>
    </row>
    <row r="141" spans="2:3" ht="25.5">
      <c r="B141" s="19" t="str">
        <f>"Purchasing
[" &amp; Currency &amp; "/Year]"</f>
        <v>Purchasing
[EUR/Year]</v>
      </c>
      <c r="C141" s="19" t="str">
        <f>"Einkauf
[" &amp; Currency &amp; "/Jahr]"</f>
        <v>Einkauf
[EUR/Jahr]</v>
      </c>
    </row>
    <row r="142" spans="2:3" ht="25.5">
      <c r="B142" s="19" t="str">
        <f>"Quality
[" &amp; Currency &amp; "/Year]"</f>
        <v>Quality
[EUR/Year]</v>
      </c>
      <c r="C142" s="19" t="str">
        <f>"Qualität
[" &amp; Currency &amp; "/Jahr]"</f>
        <v>Qualität
[EUR/Jahr]</v>
      </c>
    </row>
    <row r="143" spans="2:3" ht="25.5">
      <c r="B143" s="19" t="str">
        <f>"Stock movement
[" &amp; Currency &amp; "/Year]"</f>
        <v>Stock movement
[EUR/Year]</v>
      </c>
      <c r="C143" s="19" t="str">
        <f>"Lagerbewegung
[" &amp; Currency &amp; "/Jahr]"</f>
        <v>Lagerbewegung
[EUR/Jahr]</v>
      </c>
    </row>
    <row r="144" spans="2:3" ht="25.5">
      <c r="B144" s="19" t="str">
        <f>"Capital lockup
[" &amp; Currency &amp; "/Unit]"</f>
        <v>Capital lockup
[EUR/Unit]</v>
      </c>
      <c r="C144" s="19" t="str">
        <f>"Kapitalbindung
[" &amp; Currency &amp; "/Einheit]"</f>
        <v>Kapitalbindung
[EUR/Einheit]</v>
      </c>
    </row>
    <row r="145" spans="2:3" ht="25.5">
      <c r="B145" s="19" t="str">
        <f>"Insurance
[" &amp; Currency &amp; "/Unit]"</f>
        <v>Insurance
[EUR/Unit]</v>
      </c>
      <c r="C145" s="19" t="str">
        <f>"Versicherung
[" &amp; Currency &amp; "/Einheit]"</f>
        <v>Versicherung
[EUR/Einheit]</v>
      </c>
    </row>
    <row r="146" spans="2:3" ht="25.5">
      <c r="B146" s="19" t="str">
        <f>"Storage costs
[" &amp; Currency &amp; "/Unit]"</f>
        <v>Storage costs
[EUR/Unit]</v>
      </c>
      <c r="C146" s="19" t="str">
        <f>"Lagerplatzkosten
[" &amp; Currency &amp; "/Einheit]"</f>
        <v>Lagerplatzkosten
[EUR/Einheit]</v>
      </c>
    </row>
    <row r="147" spans="2:3" ht="25.5">
      <c r="B147" s="19" t="str">
        <f>"Costs per unit
[" &amp; Currency &amp; "/Unit]"</f>
        <v>Costs per unit
[EUR/Unit]</v>
      </c>
      <c r="C147" s="19" t="str">
        <f>"Kosten je Einheit
[" &amp; Currency &amp; "/Einheit]"</f>
        <v>Kosten je Einheit
[EUR/Einheit]</v>
      </c>
    </row>
    <row r="148" spans="2:3" ht="25.5">
      <c r="B148" s="19" t="str">
        <f>"Unskilled
1 shift [" &amp; InputCurrency &amp; "]"</f>
        <v>Unskilled
1 shift [EUR]</v>
      </c>
      <c r="C148" s="19" t="str">
        <f>"Maschinenb.
1-S [" &amp; InputCurrency &amp; "]"</f>
        <v>Maschinenb.
1-S [EUR]</v>
      </c>
    </row>
    <row r="149" spans="2:3" ht="25.5">
      <c r="B149" s="19" t="str">
        <f>"Skilled
1 shift [" &amp; InputCurrency &amp; "]"</f>
        <v>Skilled
1 shift [EUR]</v>
      </c>
      <c r="C149" s="19" t="str">
        <f>"Facharbeiter
1-S [" &amp; InputCurrency &amp; "]"</f>
        <v>Facharbeiter
1-S [EUR]</v>
      </c>
    </row>
    <row r="150" spans="2:3" ht="25.5">
      <c r="B150" s="19" t="str">
        <f>"Unskilled
2 shift [" &amp; InputCurrency &amp; "]"</f>
        <v>Unskilled
2 shift [EUR]</v>
      </c>
      <c r="C150" s="19" t="str">
        <f>"Maschinenb.
2-S [" &amp; InputCurrency &amp; "]"</f>
        <v>Maschinenb.
2-S [EUR]</v>
      </c>
    </row>
    <row r="151" spans="2:3" ht="25.5">
      <c r="B151" s="19" t="str">
        <f>"Skilled
2 shift [" &amp; InputCurrency &amp; "]"</f>
        <v>Skilled
2 shift [EUR]</v>
      </c>
      <c r="C151" s="19" t="str">
        <f>"Facharbeiter
2-S [" &amp; InputCurrency &amp; "]"</f>
        <v>Facharbeiter
2-S [EUR]</v>
      </c>
    </row>
    <row r="152" spans="2:3" ht="25.5">
      <c r="B152" s="19" t="str">
        <f>"Unskilled
3 shift [" &amp; InputCurrency &amp; "]"</f>
        <v>Unskilled
3 shift [EUR]</v>
      </c>
      <c r="C152" s="19" t="str">
        <f>"Maschinenb.
3-S [" &amp; InputCurrency &amp; "]"</f>
        <v>Maschinenb.
3-S [EUR]</v>
      </c>
    </row>
    <row r="153" spans="2:3" ht="25.5">
      <c r="B153" s="19" t="str">
        <f>"Skilled
3 shift [" &amp; InputCurrency &amp; "]"</f>
        <v>Skilled
3 shift [EUR]</v>
      </c>
      <c r="C153" s="19" t="str">
        <f>"Facharbeiter
3-S [" &amp; InputCurrency &amp; "]"</f>
        <v>Facharbeiter
3-S [EUR]</v>
      </c>
    </row>
    <row r="154" spans="2:3" ht="25.5">
      <c r="B154" s="19" t="s">
        <v>572</v>
      </c>
      <c r="C154" s="19" t="s">
        <v>3256</v>
      </c>
    </row>
    <row r="155" spans="2:3" ht="25.5">
      <c r="B155" s="19" t="s">
        <v>573</v>
      </c>
      <c r="C155" s="19" t="s">
        <v>3257</v>
      </c>
    </row>
    <row r="156" spans="2:3" ht="25.5">
      <c r="B156" s="19" t="str">
        <f>"High-skilled
[" &amp; InputCurrency &amp; "]"</f>
        <v>High-skilled
[EUR]</v>
      </c>
      <c r="C156" s="19" t="str">
        <f>"High-skilled
[" &amp; InputCurrency &amp; "]"</f>
        <v>High-skilled
[EUR]</v>
      </c>
    </row>
    <row r="157" spans="2:3">
      <c r="B157" s="19" t="s">
        <v>574</v>
      </c>
      <c r="C157" s="19" t="s">
        <v>2428</v>
      </c>
    </row>
    <row r="158" spans="2:3" ht="25.5">
      <c r="B158" s="19" t="str">
        <f>"Monthly rent 
[" &amp; InputCurrency &amp; "/m²]"</f>
        <v>Monthly rent 
[EUR/m²]</v>
      </c>
      <c r="C158" s="19" t="str">
        <f>"Monatsmiete 
[" &amp; InputCurrency &amp; "/m²]"</f>
        <v>Monatsmiete 
[EUR/m²]</v>
      </c>
    </row>
    <row r="159" spans="2:3" ht="25.5">
      <c r="B159" s="19" t="str">
        <f>"Electricity 
[" &amp; InputCurrency &amp; "/kWh]"</f>
        <v>Electricity 
[EUR/kWh]</v>
      </c>
      <c r="C159" s="19" t="str">
        <f>"Strom 
[" &amp; InputCurrency &amp; "/kWh]"</f>
        <v>Strom 
[EUR/kWh]</v>
      </c>
    </row>
    <row r="160" spans="2:3" ht="25.5">
      <c r="B160" s="19" t="str">
        <f>"Natural gas 
[" &amp; InputCurrency &amp; "/kWh]"</f>
        <v>Natural gas 
[EUR/kWh]</v>
      </c>
      <c r="C160" s="19" t="str">
        <f>"Erdgas
[" &amp; InputCurrency &amp; "/kWh]"</f>
        <v>Erdgas
[EUR/kWh]</v>
      </c>
    </row>
    <row r="161" spans="2:3" ht="25.5">
      <c r="B161" s="19" t="s">
        <v>552</v>
      </c>
      <c r="C161" s="19" t="s">
        <v>105</v>
      </c>
    </row>
    <row r="162" spans="2:3">
      <c r="B162" s="19" t="s">
        <v>553</v>
      </c>
      <c r="C162" s="19" t="s">
        <v>24</v>
      </c>
    </row>
    <row r="163" spans="2:3">
      <c r="B163" s="19" t="s">
        <v>554</v>
      </c>
      <c r="C163" s="19" t="s">
        <v>443</v>
      </c>
    </row>
    <row r="164" spans="2:3">
      <c r="B164" s="19" t="s">
        <v>555</v>
      </c>
      <c r="C164" s="19" t="s">
        <v>444</v>
      </c>
    </row>
    <row r="165" spans="2:3">
      <c r="B165" s="19" t="s">
        <v>1407</v>
      </c>
      <c r="C165" s="19" t="s">
        <v>1191</v>
      </c>
    </row>
    <row r="166" spans="2:3">
      <c r="B166" s="19" t="s">
        <v>556</v>
      </c>
      <c r="C166" s="19" t="s">
        <v>95</v>
      </c>
    </row>
    <row r="167" spans="2:3">
      <c r="B167" s="19" t="s">
        <v>2494</v>
      </c>
      <c r="C167" s="19" t="s">
        <v>99</v>
      </c>
    </row>
    <row r="168" spans="2:3">
      <c r="B168" s="19" t="s">
        <v>564</v>
      </c>
      <c r="C168" s="19" t="s">
        <v>100</v>
      </c>
    </row>
    <row r="169" spans="2:3">
      <c r="B169" s="19" t="s">
        <v>565</v>
      </c>
      <c r="C169" s="19" t="s">
        <v>117</v>
      </c>
    </row>
    <row r="170" spans="2:3">
      <c r="B170" s="19" t="s">
        <v>566</v>
      </c>
      <c r="C170" s="19" t="s">
        <v>118</v>
      </c>
    </row>
    <row r="171" spans="2:3">
      <c r="B171" s="19" t="s">
        <v>567</v>
      </c>
      <c r="C171" s="19" t="s">
        <v>180</v>
      </c>
    </row>
    <row r="172" spans="2:3">
      <c r="B172" s="19" t="s">
        <v>568</v>
      </c>
      <c r="C172" s="19" t="s">
        <v>181</v>
      </c>
    </row>
    <row r="173" spans="2:3" ht="25.5">
      <c r="B173" s="19" t="s">
        <v>569</v>
      </c>
      <c r="C173" s="19" t="s">
        <v>112</v>
      </c>
    </row>
    <row r="174" spans="2:3" ht="25.5">
      <c r="B174" s="19" t="s">
        <v>570</v>
      </c>
      <c r="C174" s="19" t="s">
        <v>7</v>
      </c>
    </row>
    <row r="175" spans="2:3" ht="25.5">
      <c r="B175" s="19" t="s">
        <v>571</v>
      </c>
      <c r="C175" s="19" t="s">
        <v>20</v>
      </c>
    </row>
    <row r="176" spans="2:3" ht="25.5">
      <c r="B176" s="19" t="str">
        <f>"Fixed Costs
["&amp;Currency&amp;"/h]"</f>
        <v>Fixed Costs
[EUR/h]</v>
      </c>
      <c r="C176" s="19" t="str">
        <f>"Fixkosten 
["&amp;Currency&amp;"/h]"</f>
        <v>Fixkosten 
[EUR/h]</v>
      </c>
    </row>
    <row r="177" spans="2:3" ht="25.5">
      <c r="B177" s="19" t="str">
        <f>"Variable costs 
["&amp;Currency&amp;"/h]"</f>
        <v>Variable costs 
[EUR/h]</v>
      </c>
      <c r="C177" s="19" t="str">
        <f>"Variable Kosten 
["&amp;Currency&amp;"/h]"</f>
        <v>Variable Kosten 
[EUR/h]</v>
      </c>
    </row>
    <row r="178" spans="2:3" ht="25.5">
      <c r="B178" s="19" t="str">
        <f>"Rent 
["&amp;Currency&amp;"/m²]"</f>
        <v>Rent 
[EUR/m²]</v>
      </c>
      <c r="C178" s="19" t="str">
        <f>"Miete 
["&amp;Currency&amp;"/m²]"</f>
        <v>Miete 
[EUR/m²]</v>
      </c>
    </row>
    <row r="179" spans="2:3">
      <c r="B179" s="19" t="s">
        <v>1377</v>
      </c>
      <c r="C179" s="19" t="s">
        <v>56</v>
      </c>
    </row>
    <row r="180" spans="2:3">
      <c r="B180" s="19" t="s">
        <v>588</v>
      </c>
      <c r="C180" s="19" t="s">
        <v>107</v>
      </c>
    </row>
    <row r="181" spans="2:3">
      <c r="B181" s="19" t="s">
        <v>589</v>
      </c>
      <c r="C181" s="19" t="s">
        <v>106</v>
      </c>
    </row>
    <row r="182" spans="2:3">
      <c r="B182" s="19" t="s">
        <v>590</v>
      </c>
      <c r="C182" s="19" t="s">
        <v>1596</v>
      </c>
    </row>
    <row r="183" spans="2:3">
      <c r="B183" s="19" t="s">
        <v>1523</v>
      </c>
      <c r="C183" s="19" t="s">
        <v>57</v>
      </c>
    </row>
    <row r="184" spans="2:3">
      <c r="B184" s="19" t="s">
        <v>874</v>
      </c>
      <c r="C184" s="19" t="s">
        <v>705</v>
      </c>
    </row>
    <row r="185" spans="2:3">
      <c r="B185" s="19" t="s">
        <v>903</v>
      </c>
      <c r="C185" s="19" t="s">
        <v>904</v>
      </c>
    </row>
    <row r="186" spans="2:3">
      <c r="B186" s="19" t="s">
        <v>905</v>
      </c>
      <c r="C186" s="19" t="s">
        <v>703</v>
      </c>
    </row>
    <row r="187" spans="2:3">
      <c r="B187" s="19" t="s">
        <v>915</v>
      </c>
      <c r="C187" s="19" t="s">
        <v>914</v>
      </c>
    </row>
    <row r="188" spans="2:3">
      <c r="B188" s="19" t="s">
        <v>952</v>
      </c>
      <c r="C188" s="487" t="s">
        <v>940</v>
      </c>
    </row>
    <row r="189" spans="2:3">
      <c r="B189" s="19" t="s">
        <v>953</v>
      </c>
      <c r="C189" s="487" t="s">
        <v>945</v>
      </c>
    </row>
    <row r="190" spans="2:3" ht="25.5">
      <c r="B190" s="19" t="s">
        <v>954</v>
      </c>
      <c r="C190" s="487" t="s">
        <v>941</v>
      </c>
    </row>
    <row r="191" spans="2:3" ht="25.5">
      <c r="B191" s="19" t="s">
        <v>1279</v>
      </c>
      <c r="C191" s="487" t="s">
        <v>1276</v>
      </c>
    </row>
    <row r="192" spans="2:3" ht="25.5">
      <c r="B192" s="19" t="s">
        <v>1280</v>
      </c>
      <c r="C192" s="487" t="s">
        <v>1277</v>
      </c>
    </row>
    <row r="193" spans="2:3">
      <c r="B193" s="19" t="s">
        <v>957</v>
      </c>
      <c r="C193" s="487" t="s">
        <v>942</v>
      </c>
    </row>
    <row r="194" spans="2:3" ht="25.5">
      <c r="B194" s="19" t="s">
        <v>1040</v>
      </c>
      <c r="C194" s="19" t="s">
        <v>1091</v>
      </c>
    </row>
    <row r="195" spans="2:3" ht="25.5">
      <c r="B195" s="19" t="s">
        <v>1278</v>
      </c>
      <c r="C195" s="19" t="s">
        <v>1275</v>
      </c>
    </row>
    <row r="196" spans="2:3" ht="25.5">
      <c r="B196" s="487" t="s">
        <v>960</v>
      </c>
      <c r="C196" s="487" t="s">
        <v>946</v>
      </c>
    </row>
    <row r="197" spans="2:3" ht="25.5">
      <c r="B197" s="19" t="s">
        <v>958</v>
      </c>
      <c r="C197" s="487" t="s">
        <v>943</v>
      </c>
    </row>
    <row r="198" spans="2:3" ht="25.5">
      <c r="B198" s="19" t="s">
        <v>959</v>
      </c>
      <c r="C198" s="487" t="s">
        <v>944</v>
      </c>
    </row>
    <row r="199" spans="2:3">
      <c r="B199" s="19" t="s">
        <v>1185</v>
      </c>
      <c r="C199" s="487" t="s">
        <v>1094</v>
      </c>
    </row>
    <row r="200" spans="2:3">
      <c r="B200" s="19" t="s">
        <v>1186</v>
      </c>
      <c r="C200" s="487" t="s">
        <v>1095</v>
      </c>
    </row>
    <row r="201" spans="2:3">
      <c r="B201" s="19" t="s">
        <v>1187</v>
      </c>
      <c r="C201" s="487" t="s">
        <v>1067</v>
      </c>
    </row>
    <row r="202" spans="2:3">
      <c r="B202" s="19" t="s">
        <v>1189</v>
      </c>
      <c r="C202" s="487" t="s">
        <v>1070</v>
      </c>
    </row>
    <row r="203" spans="2:3">
      <c r="B203" s="19" t="s">
        <v>1188</v>
      </c>
      <c r="C203" s="487" t="s">
        <v>1083</v>
      </c>
    </row>
    <row r="204" spans="2:3">
      <c r="B204" s="487" t="s">
        <v>1204</v>
      </c>
      <c r="C204" s="487" t="s">
        <v>1199</v>
      </c>
    </row>
    <row r="205" spans="2:3">
      <c r="B205" s="19" t="s">
        <v>1169</v>
      </c>
      <c r="C205" s="487" t="s">
        <v>1014</v>
      </c>
    </row>
    <row r="206" spans="2:3">
      <c r="B206" s="19" t="s">
        <v>1192</v>
      </c>
      <c r="C206" s="487" t="s">
        <v>989</v>
      </c>
    </row>
    <row r="207" spans="2:3">
      <c r="B207" s="19" t="s">
        <v>1170</v>
      </c>
      <c r="C207" s="487" t="s">
        <v>1046</v>
      </c>
    </row>
    <row r="208" spans="2:3">
      <c r="B208" s="19" t="s">
        <v>1171</v>
      </c>
      <c r="C208" s="487" t="s">
        <v>990</v>
      </c>
    </row>
    <row r="209" spans="2:3">
      <c r="B209" s="19" t="s">
        <v>1172</v>
      </c>
      <c r="C209" s="487" t="s">
        <v>1013</v>
      </c>
    </row>
    <row r="210" spans="2:3" ht="25.5">
      <c r="B210" s="19" t="s">
        <v>1173</v>
      </c>
      <c r="C210" s="487" t="s">
        <v>1020</v>
      </c>
    </row>
    <row r="211" spans="2:3">
      <c r="B211" s="19" t="s">
        <v>1174</v>
      </c>
      <c r="C211" s="487" t="s">
        <v>1017</v>
      </c>
    </row>
    <row r="212" spans="2:3" ht="25.5">
      <c r="B212" s="19" t="s">
        <v>1175</v>
      </c>
      <c r="C212" s="487" t="s">
        <v>1016</v>
      </c>
    </row>
    <row r="213" spans="2:3">
      <c r="B213" s="19" t="s">
        <v>1206</v>
      </c>
      <c r="C213" s="487" t="s">
        <v>1197</v>
      </c>
    </row>
    <row r="214" spans="2:3">
      <c r="B214" s="19" t="s">
        <v>1207</v>
      </c>
      <c r="C214" s="487" t="s">
        <v>1198</v>
      </c>
    </row>
    <row r="215" spans="2:3">
      <c r="B215" s="19" t="s">
        <v>1190</v>
      </c>
      <c r="C215" s="487" t="s">
        <v>1084</v>
      </c>
    </row>
    <row r="216" spans="2:3">
      <c r="B216" s="19" t="s">
        <v>1176</v>
      </c>
      <c r="C216" s="487" t="s">
        <v>1055</v>
      </c>
    </row>
    <row r="217" spans="2:3">
      <c r="B217" s="19" t="s">
        <v>1177</v>
      </c>
      <c r="C217" s="487" t="s">
        <v>1056</v>
      </c>
    </row>
    <row r="218" spans="2:3">
      <c r="B218" s="19" t="s">
        <v>1178</v>
      </c>
      <c r="C218" s="487" t="s">
        <v>1057</v>
      </c>
    </row>
    <row r="219" spans="2:3">
      <c r="B219" s="19" t="s">
        <v>134</v>
      </c>
      <c r="C219" s="487" t="s">
        <v>1047</v>
      </c>
    </row>
    <row r="220" spans="2:3">
      <c r="B220" s="19" t="s">
        <v>1179</v>
      </c>
      <c r="C220" s="487" t="s">
        <v>1049</v>
      </c>
    </row>
    <row r="221" spans="2:3">
      <c r="B221" s="19" t="s">
        <v>1180</v>
      </c>
      <c r="C221" s="487" t="s">
        <v>1050</v>
      </c>
    </row>
    <row r="222" spans="2:3">
      <c r="B222" s="19" t="s">
        <v>1181</v>
      </c>
      <c r="C222" s="487" t="s">
        <v>1051</v>
      </c>
    </row>
    <row r="223" spans="2:3">
      <c r="B223" s="19" t="s">
        <v>1182</v>
      </c>
      <c r="C223" s="487" t="s">
        <v>1052</v>
      </c>
    </row>
    <row r="224" spans="2:3">
      <c r="B224" s="19" t="s">
        <v>1184</v>
      </c>
      <c r="C224" s="487" t="s">
        <v>1053</v>
      </c>
    </row>
    <row r="225" spans="2:3">
      <c r="B225" s="19" t="s">
        <v>962</v>
      </c>
      <c r="C225" s="487" t="s">
        <v>1054</v>
      </c>
    </row>
    <row r="226" spans="2:3" ht="25.5">
      <c r="B226" s="19" t="str">
        <f>"Interest bearing investment
in " &amp;Currency</f>
        <v>Interest bearing investment
in EUR</v>
      </c>
      <c r="C226" s="487" t="str">
        <f>"Zu verzinsender Invest
in " &amp;Currency</f>
        <v>Zu verzinsender Invest
in EUR</v>
      </c>
    </row>
    <row r="227" spans="2:3">
      <c r="B227" s="488" t="s">
        <v>1205</v>
      </c>
      <c r="C227" s="488" t="s">
        <v>1200</v>
      </c>
    </row>
    <row r="228" spans="2:3">
      <c r="B228" s="19" t="s">
        <v>597</v>
      </c>
      <c r="C228" s="19" t="s">
        <v>558</v>
      </c>
    </row>
    <row r="229" spans="2:3">
      <c r="B229" s="19" t="s">
        <v>2495</v>
      </c>
      <c r="C229" s="19" t="s">
        <v>1244</v>
      </c>
    </row>
    <row r="230" spans="2:3">
      <c r="B230" s="19" t="s">
        <v>2496</v>
      </c>
      <c r="C230" s="19" t="s">
        <v>1245</v>
      </c>
    </row>
    <row r="231" spans="2:3">
      <c r="B231" s="19" t="s">
        <v>3455</v>
      </c>
      <c r="C231" s="19" t="s">
        <v>1358</v>
      </c>
    </row>
    <row r="232" spans="2:3">
      <c r="B232" s="19" t="s">
        <v>1388</v>
      </c>
      <c r="C232" s="19" t="s">
        <v>1359</v>
      </c>
    </row>
    <row r="233" spans="2:3">
      <c r="B233" s="19" t="s">
        <v>2265</v>
      </c>
      <c r="C233" s="19" t="s">
        <v>1363</v>
      </c>
    </row>
    <row r="234" spans="2:3">
      <c r="B234" s="19" t="s">
        <v>1390</v>
      </c>
      <c r="C234" s="19" t="s">
        <v>1370</v>
      </c>
    </row>
    <row r="235" spans="2:3">
      <c r="B235" s="19" t="s">
        <v>1397</v>
      </c>
      <c r="C235" s="19" t="s">
        <v>1356</v>
      </c>
    </row>
    <row r="236" spans="2:3">
      <c r="B236" s="19" t="s">
        <v>1391</v>
      </c>
      <c r="C236" s="19" t="s">
        <v>1364</v>
      </c>
    </row>
    <row r="237" spans="2:3">
      <c r="B237" s="19" t="s">
        <v>1398</v>
      </c>
      <c r="C237" s="19" t="s">
        <v>384</v>
      </c>
    </row>
    <row r="238" spans="2:3">
      <c r="B238" s="19" t="s">
        <v>1392</v>
      </c>
      <c r="C238" s="19" t="s">
        <v>1365</v>
      </c>
    </row>
    <row r="239" spans="2:3">
      <c r="B239" s="19" t="s">
        <v>1394</v>
      </c>
      <c r="C239" s="19" t="s">
        <v>1369</v>
      </c>
    </row>
    <row r="240" spans="2:3">
      <c r="B240" s="19" t="s">
        <v>1393</v>
      </c>
      <c r="C240" s="19" t="s">
        <v>1357</v>
      </c>
    </row>
    <row r="241" spans="2:3">
      <c r="B241" s="19" t="s">
        <v>1399</v>
      </c>
      <c r="C241" s="19" t="s">
        <v>1328</v>
      </c>
    </row>
    <row r="242" spans="2:3">
      <c r="B242" s="19" t="s">
        <v>496</v>
      </c>
      <c r="C242" s="19" t="s">
        <v>389</v>
      </c>
    </row>
    <row r="243" spans="2:3">
      <c r="B243" s="19" t="s">
        <v>489</v>
      </c>
      <c r="C243" s="19" t="s">
        <v>390</v>
      </c>
    </row>
    <row r="244" spans="2:3">
      <c r="B244" s="19" t="s">
        <v>1400</v>
      </c>
      <c r="C244" s="752" t="s">
        <v>2447</v>
      </c>
    </row>
    <row r="245" spans="2:3">
      <c r="B245" s="19" t="s">
        <v>1387</v>
      </c>
      <c r="C245" s="19" t="s">
        <v>1386</v>
      </c>
    </row>
    <row r="246" spans="2:3">
      <c r="B246" s="19" t="s">
        <v>2314</v>
      </c>
      <c r="C246" s="19" t="s">
        <v>1362</v>
      </c>
    </row>
    <row r="247" spans="2:3">
      <c r="B247" s="19" t="s">
        <v>1395</v>
      </c>
      <c r="C247" s="19" t="s">
        <v>1371</v>
      </c>
    </row>
    <row r="248" spans="2:3">
      <c r="B248" s="19" t="s">
        <v>2616</v>
      </c>
      <c r="C248" s="19" t="s">
        <v>2598</v>
      </c>
    </row>
    <row r="249" spans="2:3">
      <c r="B249" s="19" t="s">
        <v>2619</v>
      </c>
      <c r="C249" s="19" t="s">
        <v>697</v>
      </c>
    </row>
    <row r="250" spans="2:3">
      <c r="B250" s="19" t="s">
        <v>2620</v>
      </c>
      <c r="C250" s="19" t="s">
        <v>698</v>
      </c>
    </row>
    <row r="251" spans="2:3">
      <c r="B251" s="19" t="s">
        <v>1405</v>
      </c>
      <c r="C251" s="19" t="s">
        <v>672</v>
      </c>
    </row>
    <row r="252" spans="2:3">
      <c r="B252" s="19" t="s">
        <v>1406</v>
      </c>
      <c r="C252" s="19" t="s">
        <v>673</v>
      </c>
    </row>
    <row r="253" spans="2:3">
      <c r="B253" s="19" t="s">
        <v>1401</v>
      </c>
      <c r="C253" s="19" t="s">
        <v>674</v>
      </c>
    </row>
    <row r="254" spans="2:3">
      <c r="B254" s="19" t="s">
        <v>2618</v>
      </c>
      <c r="C254" s="19" t="s">
        <v>2617</v>
      </c>
    </row>
    <row r="255" spans="2:3">
      <c r="B255" s="19" t="s">
        <v>1403</v>
      </c>
      <c r="C255" s="19" t="s">
        <v>690</v>
      </c>
    </row>
    <row r="256" spans="2:3">
      <c r="B256" s="19" t="s">
        <v>1404</v>
      </c>
      <c r="C256" s="19" t="s">
        <v>691</v>
      </c>
    </row>
    <row r="257" spans="2:3">
      <c r="B257" s="19" t="s">
        <v>3456</v>
      </c>
      <c r="C257" s="19" t="s">
        <v>1360</v>
      </c>
    </row>
    <row r="258" spans="2:3">
      <c r="B258" s="19" t="s">
        <v>1536</v>
      </c>
      <c r="C258" s="19" t="s">
        <v>1361</v>
      </c>
    </row>
    <row r="259" spans="2:3">
      <c r="B259" s="13" t="s">
        <v>2091</v>
      </c>
      <c r="C259" s="13" t="s">
        <v>1528</v>
      </c>
    </row>
    <row r="260" spans="2:3">
      <c r="B260" s="13" t="s">
        <v>2093</v>
      </c>
      <c r="C260" s="13" t="s">
        <v>2092</v>
      </c>
    </row>
    <row r="261" spans="2:3">
      <c r="B261" s="19" t="s">
        <v>2121</v>
      </c>
      <c r="C261" s="19" t="s">
        <v>2118</v>
      </c>
    </row>
    <row r="262" spans="2:3">
      <c r="B262" s="19" t="s">
        <v>2122</v>
      </c>
      <c r="C262" s="19" t="s">
        <v>2119</v>
      </c>
    </row>
    <row r="263" spans="2:3">
      <c r="B263" s="19" t="s">
        <v>2152</v>
      </c>
      <c r="C263" s="19" t="s">
        <v>2150</v>
      </c>
    </row>
    <row r="264" spans="2:3">
      <c r="B264" s="19" t="s">
        <v>2158</v>
      </c>
      <c r="C264" s="19" t="s">
        <v>2149</v>
      </c>
    </row>
    <row r="265" spans="2:3">
      <c r="B265" s="19" t="s">
        <v>2153</v>
      </c>
      <c r="C265" s="19" t="s">
        <v>2111</v>
      </c>
    </row>
    <row r="266" spans="2:3">
      <c r="B266" s="19" t="s">
        <v>2154</v>
      </c>
      <c r="C266" s="19" t="s">
        <v>2112</v>
      </c>
    </row>
    <row r="267" spans="2:3">
      <c r="B267" s="19" t="s">
        <v>2155</v>
      </c>
      <c r="C267" s="19" t="s">
        <v>2113</v>
      </c>
    </row>
    <row r="268" spans="2:3">
      <c r="B268" s="19" t="s">
        <v>2156</v>
      </c>
      <c r="C268" s="19" t="s">
        <v>2114</v>
      </c>
    </row>
    <row r="269" spans="2:3">
      <c r="B269" s="19" t="s">
        <v>2115</v>
      </c>
      <c r="C269" s="19" t="s">
        <v>2115</v>
      </c>
    </row>
    <row r="270" spans="2:3">
      <c r="B270" s="19" t="s">
        <v>2159</v>
      </c>
      <c r="C270" s="19" t="s">
        <v>2116</v>
      </c>
    </row>
    <row r="271" spans="2:3">
      <c r="B271" s="19" t="s">
        <v>2184</v>
      </c>
      <c r="C271" s="19" t="s">
        <v>2151</v>
      </c>
    </row>
    <row r="272" spans="2:3">
      <c r="B272" s="19" t="s">
        <v>2183</v>
      </c>
      <c r="C272" s="19" t="s">
        <v>2117</v>
      </c>
    </row>
    <row r="273" spans="2:3">
      <c r="B273" s="19" t="s">
        <v>2157</v>
      </c>
      <c r="C273" s="19" t="s">
        <v>2148</v>
      </c>
    </row>
    <row r="274" spans="2:3">
      <c r="B274" s="19" t="s">
        <v>596</v>
      </c>
      <c r="C274" s="19" t="s">
        <v>25</v>
      </c>
    </row>
    <row r="275" spans="2:3">
      <c r="B275" s="19" t="s">
        <v>2235</v>
      </c>
      <c r="C275" s="19" t="s">
        <v>2237</v>
      </c>
    </row>
    <row r="276" spans="2:3">
      <c r="B276" s="19" t="s">
        <v>2179</v>
      </c>
      <c r="C276" s="19" t="s">
        <v>2236</v>
      </c>
    </row>
    <row r="277" spans="2:3">
      <c r="B277" s="19" t="s">
        <v>2182</v>
      </c>
      <c r="C277" s="19" t="s">
        <v>2238</v>
      </c>
    </row>
    <row r="278" spans="2:3">
      <c r="B278" s="19" t="s">
        <v>2177</v>
      </c>
      <c r="C278" s="19" t="s">
        <v>2239</v>
      </c>
    </row>
    <row r="279" spans="2:3">
      <c r="B279" s="19" t="s">
        <v>2232</v>
      </c>
      <c r="C279" s="19" t="s">
        <v>2240</v>
      </c>
    </row>
    <row r="280" spans="2:3">
      <c r="B280" s="19" t="s">
        <v>2178</v>
      </c>
      <c r="C280" s="19" t="s">
        <v>2241</v>
      </c>
    </row>
    <row r="281" spans="2:3" ht="25.5">
      <c r="B281" s="19" t="s">
        <v>2222</v>
      </c>
      <c r="C281" s="19" t="s">
        <v>2221</v>
      </c>
    </row>
    <row r="282" spans="2:3">
      <c r="B282" s="19" t="s">
        <v>2167</v>
      </c>
      <c r="C282" s="19" t="s">
        <v>2169</v>
      </c>
    </row>
    <row r="283" spans="2:3" ht="25.5">
      <c r="B283" s="19" t="s">
        <v>2231</v>
      </c>
      <c r="C283" s="19" t="s">
        <v>1524</v>
      </c>
    </row>
    <row r="284" spans="2:3">
      <c r="B284" s="19" t="s">
        <v>2229</v>
      </c>
      <c r="C284" s="19" t="s">
        <v>2176</v>
      </c>
    </row>
    <row r="285" spans="2:3">
      <c r="B285" s="19" t="s">
        <v>2230</v>
      </c>
      <c r="C285" s="19" t="s">
        <v>2160</v>
      </c>
    </row>
    <row r="286" spans="2:3">
      <c r="B286" s="19" t="s">
        <v>961</v>
      </c>
      <c r="C286" s="19" t="s">
        <v>1103</v>
      </c>
    </row>
    <row r="287" spans="2:3">
      <c r="B287" s="19" t="s">
        <v>1254</v>
      </c>
      <c r="C287" s="19" t="s">
        <v>1004</v>
      </c>
    </row>
    <row r="288" spans="2:3">
      <c r="B288" s="19" t="s">
        <v>2233</v>
      </c>
      <c r="C288" s="19" t="s">
        <v>2234</v>
      </c>
    </row>
    <row r="289" spans="2:3">
      <c r="B289" s="19" t="s">
        <v>2296</v>
      </c>
      <c r="C289" s="487" t="s">
        <v>2248</v>
      </c>
    </row>
    <row r="290" spans="2:3">
      <c r="B290" s="19" t="s">
        <v>2297</v>
      </c>
      <c r="C290" s="489" t="s">
        <v>2250</v>
      </c>
    </row>
    <row r="291" spans="2:3">
      <c r="B291" s="19" t="s">
        <v>2136</v>
      </c>
      <c r="C291" s="487" t="s">
        <v>202</v>
      </c>
    </row>
    <row r="292" spans="2:3">
      <c r="B292" s="19" t="s">
        <v>2308</v>
      </c>
      <c r="C292" s="19" t="s">
        <v>2302</v>
      </c>
    </row>
    <row r="293" spans="2:3">
      <c r="B293" s="19" t="s">
        <v>2309</v>
      </c>
      <c r="C293" s="19" t="s">
        <v>2303</v>
      </c>
    </row>
    <row r="294" spans="2:3">
      <c r="B294" s="19" t="s">
        <v>2310</v>
      </c>
      <c r="C294" s="19" t="s">
        <v>2304</v>
      </c>
    </row>
    <row r="295" spans="2:3">
      <c r="B295" s="19" t="str">
        <f>"Tooling costs in "&amp;Currency</f>
        <v>Tooling costs in EUR</v>
      </c>
      <c r="C295" s="19" t="str">
        <f>"Werkzeugkosten in "&amp;Currency</f>
        <v>Werkzeugkosten in EUR</v>
      </c>
    </row>
    <row r="296" spans="2:3">
      <c r="B296" s="19" t="s">
        <v>1396</v>
      </c>
      <c r="C296" s="19" t="s">
        <v>2301</v>
      </c>
    </row>
    <row r="297" spans="2:3">
      <c r="B297" s="19" t="s">
        <v>2311</v>
      </c>
      <c r="C297" s="19" t="s">
        <v>2305</v>
      </c>
    </row>
    <row r="298" spans="2:3">
      <c r="B298" s="19" t="s">
        <v>2300</v>
      </c>
      <c r="C298" s="19" t="s">
        <v>2300</v>
      </c>
    </row>
    <row r="299" spans="2:3">
      <c r="B299" s="19" t="s">
        <v>2312</v>
      </c>
      <c r="C299" s="19" t="s">
        <v>2306</v>
      </c>
    </row>
    <row r="300" spans="2:3">
      <c r="B300" s="19" t="s">
        <v>2313</v>
      </c>
      <c r="C300" s="19" t="s">
        <v>2307</v>
      </c>
    </row>
    <row r="301" spans="2:3">
      <c r="B301" s="19" t="s">
        <v>2331</v>
      </c>
      <c r="C301" s="19" t="s">
        <v>2332</v>
      </c>
    </row>
    <row r="302" spans="2:3" ht="25.5">
      <c r="B302" s="19" t="s">
        <v>2360</v>
      </c>
      <c r="C302" s="19" t="s">
        <v>2359</v>
      </c>
    </row>
    <row r="303" spans="2:3">
      <c r="B303" s="19" t="s">
        <v>2444</v>
      </c>
      <c r="C303" s="19" t="s">
        <v>2438</v>
      </c>
    </row>
    <row r="304" spans="2:3">
      <c r="B304" s="19" t="s">
        <v>2473</v>
      </c>
      <c r="C304" s="19" t="s">
        <v>2383</v>
      </c>
    </row>
    <row r="305" spans="2:3">
      <c r="B305" s="19" t="s">
        <v>2474</v>
      </c>
      <c r="C305" s="19" t="s">
        <v>2384</v>
      </c>
    </row>
    <row r="306" spans="2:3">
      <c r="B306" s="19" t="s">
        <v>2475</v>
      </c>
      <c r="C306" s="19" t="s">
        <v>2385</v>
      </c>
    </row>
    <row r="307" spans="2:3">
      <c r="B307" s="19" t="s">
        <v>2476</v>
      </c>
      <c r="C307" s="19" t="s">
        <v>2386</v>
      </c>
    </row>
    <row r="308" spans="2:3">
      <c r="B308" s="19" t="s">
        <v>2477</v>
      </c>
      <c r="C308" s="19" t="s">
        <v>2471</v>
      </c>
    </row>
    <row r="309" spans="2:3">
      <c r="B309" s="19" t="s">
        <v>2478</v>
      </c>
      <c r="C309" s="19" t="s">
        <v>2472</v>
      </c>
    </row>
    <row r="310" spans="2:3">
      <c r="B310" s="19" t="s">
        <v>2481</v>
      </c>
      <c r="C310" s="19" t="s">
        <v>2479</v>
      </c>
    </row>
    <row r="311" spans="2:3">
      <c r="B311" s="19" t="s">
        <v>2482</v>
      </c>
      <c r="C311" s="19" t="s">
        <v>2480</v>
      </c>
    </row>
    <row r="312" spans="2:3">
      <c r="B312" s="19" t="s">
        <v>2582</v>
      </c>
      <c r="C312" s="19" t="s">
        <v>2514</v>
      </c>
    </row>
    <row r="313" spans="2:3">
      <c r="B313" s="19" t="s">
        <v>2667</v>
      </c>
      <c r="C313" s="19" t="s">
        <v>2665</v>
      </c>
    </row>
    <row r="314" spans="2:3">
      <c r="B314" s="19" t="s">
        <v>2668</v>
      </c>
      <c r="C314" s="19" t="s">
        <v>2666</v>
      </c>
    </row>
    <row r="315" spans="2:3">
      <c r="B315" s="19" t="s">
        <v>2670</v>
      </c>
      <c r="C315" s="19" t="s">
        <v>2543</v>
      </c>
    </row>
    <row r="316" spans="2:3">
      <c r="B316" s="19" t="s">
        <v>3228</v>
      </c>
      <c r="C316" s="19" t="s">
        <v>3226</v>
      </c>
    </row>
    <row r="317" spans="2:3">
      <c r="B317" s="1097" t="s">
        <v>3317</v>
      </c>
      <c r="C317" s="1097" t="s">
        <v>3316</v>
      </c>
    </row>
    <row r="318" spans="2:3">
      <c r="B318" s="1097" t="s">
        <v>3318</v>
      </c>
      <c r="C318" s="1097" t="s">
        <v>3319</v>
      </c>
    </row>
    <row r="319" spans="2:3">
      <c r="B319" s="1097" t="s">
        <v>197</v>
      </c>
      <c r="C319" s="1097" t="s">
        <v>3180</v>
      </c>
    </row>
    <row r="320" spans="2:3">
      <c r="B320" s="1097" t="s">
        <v>3320</v>
      </c>
      <c r="C320" s="1097" t="s">
        <v>3182</v>
      </c>
    </row>
    <row r="321" spans="2:3">
      <c r="B321" s="1097" t="s">
        <v>3321</v>
      </c>
      <c r="C321" s="1097" t="s">
        <v>3184</v>
      </c>
    </row>
    <row r="322" spans="2:3">
      <c r="B322" s="1097" t="s">
        <v>3322</v>
      </c>
      <c r="C322" s="1097" t="s">
        <v>3185</v>
      </c>
    </row>
    <row r="323" spans="2:3">
      <c r="B323" s="1097" t="s">
        <v>3323</v>
      </c>
      <c r="C323" s="1097" t="s">
        <v>3186</v>
      </c>
    </row>
    <row r="324" spans="2:3" ht="25.5">
      <c r="B324" s="19" t="s">
        <v>3779</v>
      </c>
      <c r="C324" s="19" t="s">
        <v>3191</v>
      </c>
    </row>
    <row r="325" spans="2:3">
      <c r="B325" s="1097" t="s">
        <v>3324</v>
      </c>
      <c r="C325" s="1097" t="s">
        <v>3192</v>
      </c>
    </row>
    <row r="326" spans="2:3">
      <c r="B326" s="1097" t="s">
        <v>3325</v>
      </c>
      <c r="C326" s="1097" t="s">
        <v>3193</v>
      </c>
    </row>
    <row r="327" spans="2:3">
      <c r="B327" s="1097" t="s">
        <v>3326</v>
      </c>
      <c r="C327" s="1097" t="s">
        <v>3194</v>
      </c>
    </row>
    <row r="328" spans="2:3" ht="25.5">
      <c r="B328" s="19" t="s">
        <v>3776</v>
      </c>
      <c r="C328" s="19" t="s">
        <v>3774</v>
      </c>
    </row>
    <row r="329" spans="2:3" ht="25.5">
      <c r="B329" s="19" t="s">
        <v>3777</v>
      </c>
      <c r="C329" s="19" t="s">
        <v>3775</v>
      </c>
    </row>
    <row r="330" spans="2:3" ht="25.5">
      <c r="B330" s="19" t="s">
        <v>3198</v>
      </c>
      <c r="C330" s="19" t="s">
        <v>3778</v>
      </c>
    </row>
    <row r="331" spans="2:3">
      <c r="B331" s="1097" t="s">
        <v>624</v>
      </c>
      <c r="C331" s="1097" t="s">
        <v>23</v>
      </c>
    </row>
    <row r="332" spans="2:3">
      <c r="B332" s="1097" t="s">
        <v>3327</v>
      </c>
      <c r="C332" s="1097" t="s">
        <v>3181</v>
      </c>
    </row>
    <row r="333" spans="2:3">
      <c r="B333" s="1097" t="s">
        <v>3328</v>
      </c>
      <c r="C333" s="1097" t="s">
        <v>3183</v>
      </c>
    </row>
    <row r="334" spans="2:3">
      <c r="B334" s="1097" t="s">
        <v>3329</v>
      </c>
      <c r="C334" s="1097" t="s">
        <v>539</v>
      </c>
    </row>
    <row r="335" spans="2:3">
      <c r="B335" s="1097" t="s">
        <v>3330</v>
      </c>
      <c r="C335" s="1097" t="s">
        <v>3187</v>
      </c>
    </row>
    <row r="336" spans="2:3">
      <c r="B336" s="1097" t="s">
        <v>3331</v>
      </c>
      <c r="C336" s="1097" t="s">
        <v>3178</v>
      </c>
    </row>
    <row r="337" spans="2:3">
      <c r="B337" s="1097" t="s">
        <v>3332</v>
      </c>
      <c r="C337" s="1097" t="s">
        <v>3179</v>
      </c>
    </row>
    <row r="338" spans="2:3" ht="15.75">
      <c r="B338" s="19" t="s">
        <v>3339</v>
      </c>
      <c r="C338" s="19" t="s">
        <v>3338</v>
      </c>
    </row>
    <row r="339" spans="2:3">
      <c r="B339" s="19" t="s">
        <v>3342</v>
      </c>
      <c r="C339" s="19" t="s">
        <v>3335</v>
      </c>
    </row>
    <row r="340" spans="2:3">
      <c r="B340" s="19" t="s">
        <v>3341</v>
      </c>
      <c r="C340" s="19" t="s">
        <v>3336</v>
      </c>
    </row>
    <row r="341" spans="2:3">
      <c r="B341" s="19" t="s">
        <v>3361</v>
      </c>
      <c r="C341" s="19" t="s">
        <v>3345</v>
      </c>
    </row>
    <row r="342" spans="2:3">
      <c r="B342" s="19" t="s">
        <v>3362</v>
      </c>
      <c r="C342" s="19" t="s">
        <v>3347</v>
      </c>
    </row>
    <row r="343" spans="2:3">
      <c r="B343" s="19" t="s">
        <v>3363</v>
      </c>
      <c r="C343" s="19" t="s">
        <v>3348</v>
      </c>
    </row>
    <row r="344" spans="2:3">
      <c r="B344" s="19" t="s">
        <v>3349</v>
      </c>
      <c r="C344" s="19" t="s">
        <v>3349</v>
      </c>
    </row>
    <row r="345" spans="2:3">
      <c r="B345" s="19" t="s">
        <v>3364</v>
      </c>
      <c r="C345" s="19" t="s">
        <v>3350</v>
      </c>
    </row>
    <row r="346" spans="2:3">
      <c r="B346" s="19" t="s">
        <v>3375</v>
      </c>
      <c r="C346" s="1102" t="s">
        <v>3373</v>
      </c>
    </row>
    <row r="347" spans="2:3">
      <c r="B347" s="19" t="s">
        <v>3365</v>
      </c>
      <c r="C347" s="19" t="s">
        <v>439</v>
      </c>
    </row>
    <row r="348" spans="2:3">
      <c r="B348" s="19" t="s">
        <v>3366</v>
      </c>
      <c r="C348" s="19" t="s">
        <v>3355</v>
      </c>
    </row>
    <row r="349" spans="2:3">
      <c r="B349" s="19" t="s">
        <v>3367</v>
      </c>
      <c r="C349" s="19" t="s">
        <v>3356</v>
      </c>
    </row>
    <row r="350" spans="2:3">
      <c r="B350" s="1103" t="s">
        <v>3370</v>
      </c>
      <c r="C350" s="19" t="s">
        <v>3346</v>
      </c>
    </row>
    <row r="351" spans="2:3">
      <c r="B351" s="19" t="s">
        <v>3374</v>
      </c>
      <c r="C351" s="19" t="s">
        <v>3374</v>
      </c>
    </row>
    <row r="352" spans="2:3">
      <c r="B352" s="1103" t="s">
        <v>3377</v>
      </c>
      <c r="C352" s="1103" t="s">
        <v>3376</v>
      </c>
    </row>
    <row r="353" spans="2:3">
      <c r="B353" s="1103" t="s">
        <v>3513</v>
      </c>
      <c r="C353" s="1103" t="s">
        <v>3468</v>
      </c>
    </row>
    <row r="354" spans="2:3">
      <c r="B354" s="1103" t="s">
        <v>3514</v>
      </c>
      <c r="C354" s="1103" t="s">
        <v>3469</v>
      </c>
    </row>
    <row r="355" spans="2:3">
      <c r="B355" s="1103" t="s">
        <v>3515</v>
      </c>
      <c r="C355" s="1103" t="s">
        <v>3470</v>
      </c>
    </row>
    <row r="356" spans="2:3" ht="25.5">
      <c r="B356" s="1103" t="s">
        <v>3516</v>
      </c>
      <c r="C356" s="1103" t="s">
        <v>3581</v>
      </c>
    </row>
    <row r="357" spans="2:3" ht="25.5">
      <c r="B357" s="1103" t="s">
        <v>3580</v>
      </c>
      <c r="C357" s="1103" t="s">
        <v>3582</v>
      </c>
    </row>
    <row r="358" spans="2:3" ht="25.5">
      <c r="B358" s="1103" t="s">
        <v>3517</v>
      </c>
      <c r="C358" s="1103" t="s">
        <v>3471</v>
      </c>
    </row>
    <row r="359" spans="2:3">
      <c r="B359" s="1103" t="s">
        <v>3472</v>
      </c>
      <c r="C359" s="1103" t="s">
        <v>3472</v>
      </c>
    </row>
    <row r="360" spans="2:3">
      <c r="B360" s="1103" t="s">
        <v>3518</v>
      </c>
      <c r="C360" s="1103" t="s">
        <v>3473</v>
      </c>
    </row>
    <row r="361" spans="2:3" ht="25.5">
      <c r="B361" s="1103" t="s">
        <v>3519</v>
      </c>
      <c r="C361" s="1103" t="s">
        <v>3583</v>
      </c>
    </row>
    <row r="362" spans="2:3" ht="25.5">
      <c r="B362" s="1103" t="s">
        <v>3520</v>
      </c>
      <c r="C362" s="1103" t="s">
        <v>3475</v>
      </c>
    </row>
    <row r="363" spans="2:3">
      <c r="B363" s="1103" t="s">
        <v>3521</v>
      </c>
      <c r="C363" s="1103" t="s">
        <v>3476</v>
      </c>
    </row>
    <row r="364" spans="2:3">
      <c r="B364" s="1103" t="s">
        <v>3522</v>
      </c>
      <c r="C364" s="1103" t="s">
        <v>3477</v>
      </c>
    </row>
    <row r="365" spans="2:3">
      <c r="B365" s="1103" t="s">
        <v>3523</v>
      </c>
      <c r="C365" s="1103" t="s">
        <v>3478</v>
      </c>
    </row>
    <row r="366" spans="2:3">
      <c r="B366" s="1103" t="s">
        <v>3524</v>
      </c>
      <c r="C366" s="1103" t="s">
        <v>3480</v>
      </c>
    </row>
    <row r="367" spans="2:3">
      <c r="B367" s="1103" t="s">
        <v>3525</v>
      </c>
      <c r="C367" s="1103" t="s">
        <v>3482</v>
      </c>
    </row>
    <row r="368" spans="2:3">
      <c r="B368" s="1103" t="s">
        <v>3526</v>
      </c>
      <c r="C368" s="1103" t="s">
        <v>3483</v>
      </c>
    </row>
    <row r="369" spans="2:3">
      <c r="B369" s="1103" t="s">
        <v>3527</v>
      </c>
      <c r="C369" s="1103" t="s">
        <v>3484</v>
      </c>
    </row>
    <row r="370" spans="2:3">
      <c r="B370" s="1103" t="s">
        <v>3528</v>
      </c>
      <c r="C370" s="1103" t="s">
        <v>3485</v>
      </c>
    </row>
    <row r="371" spans="2:3">
      <c r="B371" s="1103" t="s">
        <v>3529</v>
      </c>
      <c r="C371" s="1103" t="s">
        <v>3487</v>
      </c>
    </row>
    <row r="372" spans="2:3">
      <c r="B372" s="1103" t="s">
        <v>3530</v>
      </c>
      <c r="C372" s="1103" t="s">
        <v>3496</v>
      </c>
    </row>
    <row r="373" spans="2:3">
      <c r="B373" s="1103" t="s">
        <v>3532</v>
      </c>
      <c r="C373" s="1103" t="s">
        <v>1787</v>
      </c>
    </row>
    <row r="374" spans="2:3">
      <c r="B374" s="1103" t="s">
        <v>3533</v>
      </c>
      <c r="C374" s="1103" t="s">
        <v>3462</v>
      </c>
    </row>
    <row r="375" spans="2:3">
      <c r="B375" s="1103" t="s">
        <v>3534</v>
      </c>
      <c r="C375" s="1103" t="s">
        <v>3463</v>
      </c>
    </row>
    <row r="376" spans="2:3">
      <c r="B376" s="1103" t="s">
        <v>3535</v>
      </c>
      <c r="C376" s="1103" t="s">
        <v>3464</v>
      </c>
    </row>
    <row r="377" spans="2:3">
      <c r="B377" s="1103" t="s">
        <v>3536</v>
      </c>
      <c r="C377" s="1103" t="s">
        <v>3465</v>
      </c>
    </row>
    <row r="378" spans="2:3">
      <c r="B378" s="1103" t="s">
        <v>3537</v>
      </c>
      <c r="C378" s="1103" t="s">
        <v>3497</v>
      </c>
    </row>
    <row r="379" spans="2:3">
      <c r="B379" s="1103" t="s">
        <v>3538</v>
      </c>
      <c r="C379" s="1103" t="s">
        <v>3488</v>
      </c>
    </row>
    <row r="380" spans="2:3">
      <c r="B380" s="1103" t="s">
        <v>3539</v>
      </c>
      <c r="C380" s="1103" t="s">
        <v>3494</v>
      </c>
    </row>
    <row r="381" spans="2:3">
      <c r="B381" s="1103" t="s">
        <v>3504</v>
      </c>
      <c r="C381" s="1103" t="s">
        <v>3504</v>
      </c>
    </row>
    <row r="382" spans="2:3">
      <c r="B382" s="1103" t="s">
        <v>3540</v>
      </c>
      <c r="C382" s="1103" t="s">
        <v>3505</v>
      </c>
    </row>
    <row r="383" spans="2:3">
      <c r="B383" s="1103" t="s">
        <v>3541</v>
      </c>
      <c r="C383" s="1103" t="s">
        <v>3507</v>
      </c>
    </row>
    <row r="384" spans="2:3">
      <c r="B384" s="1103" t="s">
        <v>3542</v>
      </c>
      <c r="C384" s="1103" t="s">
        <v>3509</v>
      </c>
    </row>
    <row r="385" spans="2:3">
      <c r="B385" s="1103" t="s">
        <v>3511</v>
      </c>
      <c r="C385" s="1103" t="s">
        <v>3511</v>
      </c>
    </row>
    <row r="386" spans="2:3">
      <c r="B386" s="1103" t="s">
        <v>3544</v>
      </c>
      <c r="C386" s="1103" t="s">
        <v>3543</v>
      </c>
    </row>
    <row r="387" spans="2:3">
      <c r="B387" s="1103" t="s">
        <v>3545</v>
      </c>
      <c r="C387" s="1103" t="s">
        <v>3545</v>
      </c>
    </row>
    <row r="388" spans="2:3">
      <c r="B388" s="1103" t="s">
        <v>3546</v>
      </c>
      <c r="C388" s="1103" t="s">
        <v>3546</v>
      </c>
    </row>
    <row r="389" spans="2:3">
      <c r="B389" s="1103" t="s">
        <v>3547</v>
      </c>
      <c r="C389" s="1103" t="s">
        <v>3547</v>
      </c>
    </row>
    <row r="390" spans="2:3">
      <c r="B390" s="1103" t="s">
        <v>3491</v>
      </c>
      <c r="C390" s="1103" t="s">
        <v>3491</v>
      </c>
    </row>
    <row r="391" spans="2:3">
      <c r="B391" s="1103" t="s">
        <v>3498</v>
      </c>
      <c r="C391" s="1103" t="s">
        <v>3498</v>
      </c>
    </row>
    <row r="392" spans="2:3">
      <c r="B392" s="1103" t="s">
        <v>3499</v>
      </c>
      <c r="C392" s="1103" t="s">
        <v>3499</v>
      </c>
    </row>
    <row r="393" spans="2:3">
      <c r="B393" s="1103" t="s">
        <v>3548</v>
      </c>
      <c r="C393" s="1103" t="s">
        <v>3500</v>
      </c>
    </row>
    <row r="394" spans="2:3">
      <c r="B394" s="1103" t="s">
        <v>3585</v>
      </c>
      <c r="C394" s="1103" t="s">
        <v>3467</v>
      </c>
    </row>
    <row r="395" spans="2:3">
      <c r="B395" s="1103" t="s">
        <v>3550</v>
      </c>
      <c r="C395" s="1103" t="s">
        <v>3501</v>
      </c>
    </row>
    <row r="396" spans="2:3">
      <c r="B396" s="1103" t="s">
        <v>3551</v>
      </c>
      <c r="C396" s="1103" t="s">
        <v>3502</v>
      </c>
    </row>
    <row r="397" spans="2:3">
      <c r="B397" s="1103" t="s">
        <v>3552</v>
      </c>
      <c r="C397" s="1103" t="s">
        <v>3503</v>
      </c>
    </row>
    <row r="398" spans="2:3">
      <c r="B398" s="1103" t="s">
        <v>3553</v>
      </c>
      <c r="C398" s="1103" t="s">
        <v>3486</v>
      </c>
    </row>
    <row r="399" spans="2:3">
      <c r="B399" s="1103" t="s">
        <v>3554</v>
      </c>
      <c r="C399" s="1103" t="s">
        <v>3466</v>
      </c>
    </row>
    <row r="400" spans="2:3">
      <c r="B400" s="1103" t="s">
        <v>3555</v>
      </c>
      <c r="C400" s="1103" t="s">
        <v>3481</v>
      </c>
    </row>
    <row r="401" spans="2:3">
      <c r="B401" s="1103" t="s">
        <v>3556</v>
      </c>
      <c r="C401" s="1103" t="s">
        <v>3479</v>
      </c>
    </row>
    <row r="402" spans="2:3">
      <c r="B402" s="1103" t="s">
        <v>3557</v>
      </c>
      <c r="C402" s="1103" t="s">
        <v>3489</v>
      </c>
    </row>
    <row r="403" spans="2:3">
      <c r="B403" s="1103" t="s">
        <v>3558</v>
      </c>
      <c r="C403" s="1103" t="s">
        <v>3490</v>
      </c>
    </row>
    <row r="404" spans="2:3">
      <c r="B404" s="1103" t="s">
        <v>3559</v>
      </c>
      <c r="C404" s="1103" t="s">
        <v>3492</v>
      </c>
    </row>
    <row r="405" spans="2:3">
      <c r="B405" s="1103" t="s">
        <v>3560</v>
      </c>
      <c r="C405" s="1103" t="s">
        <v>3493</v>
      </c>
    </row>
    <row r="406" spans="2:3">
      <c r="B406" s="1103" t="s">
        <v>3495</v>
      </c>
      <c r="C406" s="1103" t="s">
        <v>3495</v>
      </c>
    </row>
    <row r="407" spans="2:3">
      <c r="B407" s="1103" t="s">
        <v>3561</v>
      </c>
      <c r="C407" s="1103" t="s">
        <v>3508</v>
      </c>
    </row>
    <row r="408" spans="2:3">
      <c r="B408" s="1103" t="s">
        <v>3562</v>
      </c>
      <c r="C408" s="1103" t="s">
        <v>3510</v>
      </c>
    </row>
    <row r="409" spans="2:3">
      <c r="B409" s="1103" t="s">
        <v>3563</v>
      </c>
      <c r="C409" s="1103" t="s">
        <v>3512</v>
      </c>
    </row>
    <row r="410" spans="2:3">
      <c r="B410" s="1103" t="s">
        <v>3564</v>
      </c>
      <c r="C410" s="1103" t="s">
        <v>3506</v>
      </c>
    </row>
    <row r="411" spans="2:3">
      <c r="B411" s="19" t="s">
        <v>3746</v>
      </c>
      <c r="C411" s="19" t="s">
        <v>3745</v>
      </c>
    </row>
    <row r="412" spans="2:3">
      <c r="B412" s="19" t="s">
        <v>3750</v>
      </c>
      <c r="C412" s="19" t="s">
        <v>2515</v>
      </c>
    </row>
    <row r="413" spans="2:3">
      <c r="B413" s="19" t="s">
        <v>3747</v>
      </c>
      <c r="C413" s="19" t="s">
        <v>3742</v>
      </c>
    </row>
    <row r="414" spans="2:3">
      <c r="B414" s="19" t="s">
        <v>3769</v>
      </c>
      <c r="C414" s="19" t="s">
        <v>3743</v>
      </c>
    </row>
    <row r="415" spans="2:3">
      <c r="B415" s="19" t="s">
        <v>3748</v>
      </c>
      <c r="C415" s="19" t="s">
        <v>3744</v>
      </c>
    </row>
    <row r="416" spans="2:3">
      <c r="B416" s="19" t="s">
        <v>3749</v>
      </c>
      <c r="C416" s="19" t="s">
        <v>3741</v>
      </c>
    </row>
    <row r="417" spans="2:3">
      <c r="B417" s="19" t="s">
        <v>3920</v>
      </c>
      <c r="C417" s="1157" t="s">
        <v>3919</v>
      </c>
    </row>
  </sheetData>
  <phoneticPr fontId="39" type="noConversion"/>
  <conditionalFormatting sqref="B339:B345 B286:B288 B140:B258 B1:B101 B261:B282 B103:B137 B347:B350 B292:B337 B352:B1048576">
    <cfRule type="expression" dxfId="434" priority="1435">
      <formula>_xlfn.ISFORMULA(B1)</formula>
    </cfRule>
    <cfRule type="duplicateValues" dxfId="433" priority="1436"/>
  </conditionalFormatting>
  <conditionalFormatting sqref="C416 C283:C288 C261:C281 C1:C258 C292:C411 C418:C1048576">
    <cfRule type="expression" dxfId="432" priority="1437">
      <formula>_xlfn.ISFORMULA(C1)</formula>
    </cfRule>
    <cfRule type="duplicateValues" dxfId="431" priority="1438"/>
  </conditionalFormatting>
  <conditionalFormatting sqref="B138:B139">
    <cfRule type="expression" dxfId="430" priority="25">
      <formula>_xlfn.ISFORMULA(B138)</formula>
    </cfRule>
    <cfRule type="duplicateValues" dxfId="429" priority="26"/>
  </conditionalFormatting>
  <conditionalFormatting sqref="B102">
    <cfRule type="expression" dxfId="428" priority="23">
      <formula>_xlfn.ISFORMULA(B102)</formula>
    </cfRule>
    <cfRule type="duplicateValues" dxfId="427" priority="24"/>
  </conditionalFormatting>
  <conditionalFormatting sqref="C282">
    <cfRule type="expression" dxfId="426" priority="21">
      <formula>_xlfn.ISFORMULA(C282)</formula>
    </cfRule>
    <cfRule type="duplicateValues" dxfId="425" priority="22"/>
  </conditionalFormatting>
  <conditionalFormatting sqref="B283:B285">
    <cfRule type="expression" dxfId="424" priority="19">
      <formula>_xlfn.ISFORMULA(B283)</formula>
    </cfRule>
    <cfRule type="duplicateValues" dxfId="423" priority="20"/>
  </conditionalFormatting>
  <conditionalFormatting sqref="B289:B291">
    <cfRule type="expression" dxfId="422" priority="15">
      <formula>_xlfn.ISFORMULA(B289)</formula>
    </cfRule>
    <cfRule type="duplicateValues" dxfId="421" priority="16"/>
  </conditionalFormatting>
  <conditionalFormatting sqref="C289:C291">
    <cfRule type="expression" dxfId="420" priority="13">
      <formula>_xlfn.ISFORMULA(C289)</formula>
    </cfRule>
    <cfRule type="duplicateValues" dxfId="419" priority="14"/>
  </conditionalFormatting>
  <conditionalFormatting sqref="B338">
    <cfRule type="expression" dxfId="418" priority="11">
      <formula>_xlfn.ISFORMULA(B338)</formula>
    </cfRule>
    <cfRule type="duplicateValues" dxfId="417" priority="12"/>
  </conditionalFormatting>
  <conditionalFormatting sqref="B351">
    <cfRule type="expression" dxfId="416" priority="3">
      <formula>_xlfn.ISFORMULA(B351)</formula>
    </cfRule>
    <cfRule type="duplicateValues" dxfId="415" priority="4"/>
  </conditionalFormatting>
  <conditionalFormatting sqref="B346">
    <cfRule type="expression" dxfId="414" priority="1">
      <formula>_xlfn.ISFORMULA(B346)</formula>
    </cfRule>
    <cfRule type="duplicateValues" dxfId="413" priority="2"/>
  </conditionalFormatting>
  <pageMargins left="0.7" right="0.7" top="0.78740157499999996" bottom="0.78740157499999996" header="0.3" footer="0.3"/>
  <legacyDrawing r:id="rId1"/>
  <tableParts count="2">
    <tablePart r:id="rId2"/>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0EA41-7D8B-412D-9B8A-028FB344CA93}">
  <sheetPr codeName="TabTutorial">
    <tabColor theme="9"/>
  </sheetPr>
  <dimension ref="B1:K23"/>
  <sheetViews>
    <sheetView showGridLines="0" zoomScale="85" zoomScaleNormal="85" workbookViewId="0">
      <selection activeCell="E17" sqref="E17"/>
    </sheetView>
  </sheetViews>
  <sheetFormatPr baseColWidth="10" defaultColWidth="11.42578125" defaultRowHeight="12.75"/>
  <cols>
    <col min="1" max="1" width="2.7109375" style="5" customWidth="1"/>
    <col min="2" max="3" width="15.7109375" style="4" customWidth="1"/>
    <col min="4" max="4" width="100.7109375" style="4" customWidth="1"/>
    <col min="5" max="5" width="15.7109375" style="4" customWidth="1"/>
    <col min="6" max="6" width="100.7109375" style="5" customWidth="1"/>
    <col min="7" max="11" width="15.7109375" style="4" customWidth="1"/>
    <col min="12" max="16384" width="11.42578125" style="5"/>
  </cols>
  <sheetData>
    <row r="1" spans="2:11">
      <c r="B1" s="468" cm="1">
        <f t="array" ref="B1">SUM(LEN(Tutorial[]))</f>
        <v>34699</v>
      </c>
      <c r="C1" s="469">
        <f>B1/1600</f>
        <v>21.686875000000001</v>
      </c>
    </row>
    <row r="3" spans="2:11">
      <c r="B3" s="6" t="s">
        <v>1378</v>
      </c>
      <c r="C3" s="473" t="s">
        <v>360</v>
      </c>
      <c r="D3" s="6" t="s">
        <v>361</v>
      </c>
      <c r="E3" s="473" t="s">
        <v>362</v>
      </c>
      <c r="F3" s="19" t="s">
        <v>363</v>
      </c>
      <c r="G3" s="6" t="s">
        <v>367</v>
      </c>
      <c r="H3" s="6" t="s">
        <v>368</v>
      </c>
      <c r="I3" s="6" t="s">
        <v>366</v>
      </c>
      <c r="J3" s="6" t="s">
        <v>369</v>
      </c>
      <c r="K3" s="6" t="s">
        <v>1367</v>
      </c>
    </row>
    <row r="4" spans="2:11" ht="114.75">
      <c r="B4" s="6"/>
      <c r="C4" s="473" t="str">
        <f>Tutorial[[#This Row],[Category EN]]</f>
        <v>Welcome!</v>
      </c>
      <c r="D4" s="466" t="s">
        <v>2094</v>
      </c>
      <c r="E4" s="473" t="str">
        <f>Tutorial[[#This Row],[Category DE]]</f>
        <v>Herzlich willkommen!</v>
      </c>
      <c r="F4" s="466" t="s">
        <v>2243</v>
      </c>
      <c r="G4" s="6" t="s">
        <v>2039</v>
      </c>
      <c r="H4" s="6"/>
      <c r="I4" s="6" t="s">
        <v>2382</v>
      </c>
      <c r="J4" s="6"/>
      <c r="K4" s="6"/>
    </row>
    <row r="5" spans="2:11" ht="140.25">
      <c r="B5" s="6"/>
      <c r="C5" s="473" t="str">
        <f>Tutorial[[#This Row],[Category EN]]</f>
        <v>Basics</v>
      </c>
      <c r="D5" s="466" t="s">
        <v>2095</v>
      </c>
      <c r="E5" s="473" t="str">
        <f>Tutorial[[#This Row],[Category DE]]</f>
        <v>Grundlegendes</v>
      </c>
      <c r="F5" s="466" t="s">
        <v>1915</v>
      </c>
      <c r="G5" s="6" t="s">
        <v>2038</v>
      </c>
      <c r="H5" s="6"/>
      <c r="I5" s="6" t="s">
        <v>1804</v>
      </c>
      <c r="J5" s="6"/>
      <c r="K5" s="6"/>
    </row>
    <row r="6" spans="2:11" ht="178.5">
      <c r="B6" s="6"/>
      <c r="C6" s="473" t="str">
        <f>Tutorial[[#This Row],[Category EN]]</f>
        <v>Output</v>
      </c>
      <c r="D6" s="466" t="s">
        <v>2350</v>
      </c>
      <c r="E6" s="473" t="str">
        <f>Tutorial[[#This Row],[Category DE]]</f>
        <v>Output</v>
      </c>
      <c r="F6" s="466" t="s">
        <v>2046</v>
      </c>
      <c r="G6" s="6" t="s">
        <v>1539</v>
      </c>
      <c r="H6" s="6"/>
      <c r="I6" s="6" t="s">
        <v>1539</v>
      </c>
      <c r="J6" s="6"/>
      <c r="K6" s="6"/>
    </row>
    <row r="7" spans="2:11" ht="267.75">
      <c r="B7" s="6"/>
      <c r="C7" s="473" t="str">
        <f>Tutorial[[#This Row],[Category EN]]</f>
        <v>First Steps</v>
      </c>
      <c r="D7" s="466" t="s">
        <v>2096</v>
      </c>
      <c r="E7" s="473" t="str">
        <f>Tutorial[[#This Row],[Category DE]]</f>
        <v>Erste Schritte</v>
      </c>
      <c r="F7" s="466" t="s">
        <v>2045</v>
      </c>
      <c r="G7" s="6" t="s">
        <v>2030</v>
      </c>
      <c r="H7" s="6"/>
      <c r="I7" s="6" t="s">
        <v>1806</v>
      </c>
      <c r="J7" s="6"/>
      <c r="K7" s="6"/>
    </row>
    <row r="8" spans="2:11" ht="102">
      <c r="B8" s="6"/>
      <c r="C8" s="473" t="str">
        <f>Tutorial[[#This Row],[Category EN]]</f>
        <v>The AWS Toolbox</v>
      </c>
      <c r="D8" s="466" t="s">
        <v>2097</v>
      </c>
      <c r="E8" s="473" t="str">
        <f>Tutorial[[#This Row],[Category DE]]</f>
        <v>Die AWS Toolbox</v>
      </c>
      <c r="F8" s="466" t="s">
        <v>1972</v>
      </c>
      <c r="G8" s="6" t="s">
        <v>2031</v>
      </c>
      <c r="H8" s="6"/>
      <c r="I8" s="6" t="s">
        <v>1919</v>
      </c>
      <c r="J8" s="6"/>
      <c r="K8" s="474" t="s">
        <v>1966</v>
      </c>
    </row>
    <row r="9" spans="2:11" ht="178.5">
      <c r="B9" s="6"/>
      <c r="C9" s="473" t="str">
        <f>Tutorial[[#This Row],[Category EN]]</f>
        <v>Version Control</v>
      </c>
      <c r="D9" s="466" t="s">
        <v>2098</v>
      </c>
      <c r="E9" s="473" t="str">
        <f>Tutorial[[#This Row],[Category DE]]</f>
        <v>Versionskontrolle</v>
      </c>
      <c r="F9" s="466" t="s">
        <v>2004</v>
      </c>
      <c r="G9" s="6" t="s">
        <v>2032</v>
      </c>
      <c r="H9" s="6"/>
      <c r="I9" s="6" t="s">
        <v>1920</v>
      </c>
      <c r="J9" s="6"/>
      <c r="K9" s="474" t="s">
        <v>1924</v>
      </c>
    </row>
    <row r="10" spans="2:11" ht="153">
      <c r="B10" s="6"/>
      <c r="C10" s="473" t="str">
        <f>Tutorial[[#This Row],[Category EN]]</f>
        <v>Language</v>
      </c>
      <c r="D10" s="466" t="s">
        <v>2099</v>
      </c>
      <c r="E10" s="473" t="str">
        <f>Tutorial[[#This Row],[Category DE]]</f>
        <v>Sprache</v>
      </c>
      <c r="F10" s="466" t="s">
        <v>1926</v>
      </c>
      <c r="G10" s="6" t="s">
        <v>182</v>
      </c>
      <c r="H10" s="6"/>
      <c r="I10" s="6" t="s">
        <v>1921</v>
      </c>
      <c r="J10" s="6"/>
      <c r="K10" s="6"/>
    </row>
    <row r="11" spans="2:11" ht="140.25">
      <c r="B11" s="6"/>
      <c r="C11" s="473" t="str">
        <f>Tutorial[[#This Row],[Category EN]]</f>
        <v>Online/Offline</v>
      </c>
      <c r="D11" s="466" t="s">
        <v>2100</v>
      </c>
      <c r="E11" s="473" t="str">
        <f>Tutorial[[#This Row],[Category DE]]</f>
        <v>Online/Offline</v>
      </c>
      <c r="F11" s="466" t="s">
        <v>1925</v>
      </c>
      <c r="G11" s="6" t="s">
        <v>1923</v>
      </c>
      <c r="H11" s="6"/>
      <c r="I11" s="6" t="s">
        <v>1923</v>
      </c>
      <c r="J11" s="6"/>
      <c r="K11" s="6"/>
    </row>
    <row r="12" spans="2:11" ht="89.25">
      <c r="B12" s="6"/>
      <c r="C12" s="473" t="str">
        <f>Tutorial[[#This Row],[Category EN]]</f>
        <v>Project template</v>
      </c>
      <c r="D12" s="466" t="str">
        <f>Documentation!D387</f>
        <v>The project manager has the possibility to create a specific project template at the beginning of a project and to make it available to the employees involved in the project.
Such a template can be used to integrate project-specific databases (column MHR etc.) or to control access to specific add-ins (column ACT-X etc.).
Please note: Unless otherwise specified by the project manager, the standard template 'Default' is to be used!</v>
      </c>
      <c r="E12" s="473" t="str">
        <f>Tutorial[[#This Row],[Category DE]]</f>
        <v>Projektvorlage</v>
      </c>
      <c r="F12" s="466" t="str">
        <f>Documentation!F387</f>
        <v>Der Projektleiter hat die Möglichkeit zu Beginn eines Projektes eine spezifische Projektvorlage anzulegen und den am Projekt beteiligten Mitarbeitern zur Verfügung zu stellen.
Über eine solche Vorlage können beispielsweise projektspezifische Datenbanken (Spalte MHR etc.) eingebunden oder der Zugriff auf bestimmte Addins (Spalte ACT-X etc.) gesteuert werden.
Achtung: Soweit durch den Projektleiter nicht anders kommuniziert, ist immer die Standardvorlage 'Default' zu verwenden!</v>
      </c>
      <c r="G12" s="6" t="s">
        <v>2033</v>
      </c>
      <c r="H12" s="6"/>
      <c r="I12" s="6" t="s">
        <v>1922</v>
      </c>
      <c r="J12" s="6"/>
      <c r="K12" s="6"/>
    </row>
    <row r="13" spans="2:11" ht="178.5">
      <c r="B13" s="6"/>
      <c r="C13" s="473" t="str">
        <f>Tutorial[[#This Row],[Category EN]]</f>
        <v>Addins and Modules</v>
      </c>
      <c r="D13" s="466" t="s">
        <v>2101</v>
      </c>
      <c r="E13" s="473" t="str">
        <f>Tutorial[[#This Row],[Category DE]]</f>
        <v>Addins und Module</v>
      </c>
      <c r="F13" s="466" t="s">
        <v>2019</v>
      </c>
      <c r="G13" s="6" t="s">
        <v>2034</v>
      </c>
      <c r="H13" s="6"/>
      <c r="I13" s="6" t="s">
        <v>2017</v>
      </c>
      <c r="J13" s="6"/>
      <c r="K13" s="6"/>
    </row>
    <row r="14" spans="2:11" ht="127.5">
      <c r="B14" s="6" t="s">
        <v>1377</v>
      </c>
      <c r="C14" s="473" t="str">
        <f>Tutorial[[#This Row],[Category EN]]</f>
        <v>Premises: Suppliers</v>
      </c>
      <c r="D14" s="466" t="s">
        <v>2245</v>
      </c>
      <c r="E14" s="473" t="str">
        <f>Tutorial[[#This Row],[Category DE]]</f>
        <v>Prämissen: Lieferanten</v>
      </c>
      <c r="F14" s="466" t="s">
        <v>2244</v>
      </c>
      <c r="G14" s="6" t="s">
        <v>2049</v>
      </c>
      <c r="H14" s="6"/>
      <c r="I14" s="6" t="s">
        <v>2047</v>
      </c>
      <c r="J14" s="6"/>
      <c r="K14" s="6"/>
    </row>
    <row r="15" spans="2:11" ht="204">
      <c r="B15" s="6" t="s">
        <v>1377</v>
      </c>
      <c r="C15" s="473" t="str">
        <f>Tutorial[[#This Row],[Category EN]]</f>
        <v>Premises: Overheads</v>
      </c>
      <c r="D15" s="466" t="s">
        <v>2102</v>
      </c>
      <c r="E15" s="473" t="str">
        <f>Tutorial[[#This Row],[Category DE]]</f>
        <v>Prämissen: Overheads</v>
      </c>
      <c r="F15" s="466" t="s">
        <v>2242</v>
      </c>
      <c r="G15" s="6" t="s">
        <v>2050</v>
      </c>
      <c r="H15" s="6"/>
      <c r="I15" s="6" t="s">
        <v>2048</v>
      </c>
      <c r="J15" s="6"/>
      <c r="K15" s="474" t="s">
        <v>1971</v>
      </c>
    </row>
    <row r="16" spans="2:11" ht="165.75">
      <c r="B16" s="6" t="s">
        <v>816</v>
      </c>
      <c r="C16" s="473" t="str">
        <f>Tutorial[[#This Row],[Category EN]]</f>
        <v>BOM</v>
      </c>
      <c r="D16" s="466" t="s">
        <v>2103</v>
      </c>
      <c r="E16" s="473" t="str">
        <f>Tutorial[[#This Row],[Category DE]]</f>
        <v>BOM</v>
      </c>
      <c r="F16" s="466" t="s">
        <v>1996</v>
      </c>
      <c r="G16" s="6" t="s">
        <v>816</v>
      </c>
      <c r="H16" s="6"/>
      <c r="I16" s="6" t="s">
        <v>816</v>
      </c>
      <c r="J16" s="6"/>
      <c r="K16" s="6"/>
    </row>
    <row r="17" spans="2:11" ht="204">
      <c r="B17" s="6"/>
      <c r="C17" s="473" t="str">
        <f>Tutorial[[#This Row],[Category EN]]</f>
        <v>Picture catalog</v>
      </c>
      <c r="D17" s="466" t="s">
        <v>2104</v>
      </c>
      <c r="E17" s="473" t="str">
        <f>Tutorial[[#This Row],[Category DE]]</f>
        <v>Bilderkatalog</v>
      </c>
      <c r="F17" s="466" t="s">
        <v>1999</v>
      </c>
      <c r="G17" s="6" t="s">
        <v>2109</v>
      </c>
      <c r="H17" s="6"/>
      <c r="I17" s="6" t="s">
        <v>1970</v>
      </c>
      <c r="J17" s="6"/>
      <c r="K17" s="6"/>
    </row>
    <row r="18" spans="2:11" ht="204">
      <c r="B18" s="6"/>
      <c r="C18" s="473" t="str">
        <f>Tutorial[[#This Row],[Category EN]]</f>
        <v>Transfer</v>
      </c>
      <c r="D18" s="466" t="s">
        <v>2105</v>
      </c>
      <c r="E18" s="473" t="str">
        <f>Tutorial[[#This Row],[Category DE]]</f>
        <v>Übertrag</v>
      </c>
      <c r="F18" s="466" t="s">
        <v>1969</v>
      </c>
      <c r="G18" s="6" t="s">
        <v>2035</v>
      </c>
      <c r="H18" s="6"/>
      <c r="I18" s="6" t="s">
        <v>1815</v>
      </c>
      <c r="J18" s="6"/>
      <c r="K18" s="6"/>
    </row>
    <row r="19" spans="2:11" ht="216.75">
      <c r="B19" s="6" t="s">
        <v>749</v>
      </c>
      <c r="C19" s="473" t="str">
        <f>Tutorial[[#This Row],[Category EN]]</f>
        <v>Calculation (1 of 2)</v>
      </c>
      <c r="D19" s="466" t="s">
        <v>2106</v>
      </c>
      <c r="E19" s="473" t="str">
        <f>Tutorial[[#This Row],[Category DE]]</f>
        <v>Kalkulation (1 von 2)</v>
      </c>
      <c r="F19" s="466" t="s">
        <v>2005</v>
      </c>
      <c r="G19" s="6" t="s">
        <v>2036</v>
      </c>
      <c r="H19" s="6"/>
      <c r="I19" s="6" t="s">
        <v>2011</v>
      </c>
      <c r="J19" s="6"/>
      <c r="K19" s="6"/>
    </row>
    <row r="20" spans="2:11" ht="178.5">
      <c r="B20" s="6" t="s">
        <v>749</v>
      </c>
      <c r="C20" s="473" t="str">
        <f>Tutorial[[#This Row],[Category EN]]</f>
        <v>Calculation (2 of 2)</v>
      </c>
      <c r="D20" s="466" t="s">
        <v>2107</v>
      </c>
      <c r="E20" s="473" t="str">
        <f>Tutorial[[#This Row],[Category DE]]</f>
        <v>Kalkulation (2 von 2)</v>
      </c>
      <c r="F20" s="466" t="s">
        <v>2012</v>
      </c>
      <c r="G20" s="6" t="s">
        <v>2037</v>
      </c>
      <c r="H20" s="6"/>
      <c r="I20" s="6" t="s">
        <v>2010</v>
      </c>
      <c r="J20" s="6"/>
      <c r="K20" s="6"/>
    </row>
    <row r="21" spans="2:11" ht="216.75">
      <c r="B21" s="6"/>
      <c r="C21" s="473" t="str">
        <f>Tutorial[[#This Row],[Category EN]]</f>
        <v>Check</v>
      </c>
      <c r="D21" s="466" t="s">
        <v>2108</v>
      </c>
      <c r="E21" s="473" t="str">
        <f>Tutorial[[#This Row],[Category DE]]</f>
        <v>Überprüfung</v>
      </c>
      <c r="F21" s="466" t="s">
        <v>1968</v>
      </c>
      <c r="G21" s="6" t="s">
        <v>744</v>
      </c>
      <c r="H21" s="6"/>
      <c r="I21" s="6" t="s">
        <v>1967</v>
      </c>
      <c r="J21" s="6"/>
      <c r="K21" s="6"/>
    </row>
    <row r="22" spans="2:11" ht="102">
      <c r="B22" s="6"/>
      <c r="C22" s="473" t="str">
        <f>Tutorial[[#This Row],[Category EN]]</f>
        <v>CO₂ emissions (1 of 2)</v>
      </c>
      <c r="D22" s="466" t="s">
        <v>2347</v>
      </c>
      <c r="E22" s="473" t="str">
        <f>Tutorial[[#This Row],[Category DE]]</f>
        <v>CO₂-Emissionen (1 von 2)</v>
      </c>
      <c r="F22" s="466" t="s">
        <v>2346</v>
      </c>
      <c r="G22" s="6" t="s">
        <v>2342</v>
      </c>
      <c r="H22" s="6"/>
      <c r="I22" s="6" t="s">
        <v>2344</v>
      </c>
      <c r="J22" s="6"/>
      <c r="K22" s="6"/>
    </row>
    <row r="23" spans="2:11" ht="140.25">
      <c r="B23" s="6"/>
      <c r="C23" s="473" t="str">
        <f>Tutorial[[#This Row],[Category EN]]</f>
        <v>CO₂ emissions (2 of 2)</v>
      </c>
      <c r="D23" s="466" t="s">
        <v>2349</v>
      </c>
      <c r="E23" s="473" t="str">
        <f>Tutorial[[#This Row],[Category DE]]</f>
        <v>CO₂-Emissionen (2 von 2)</v>
      </c>
      <c r="F23" s="466" t="s">
        <v>2348</v>
      </c>
      <c r="G23" s="6" t="s">
        <v>2343</v>
      </c>
      <c r="H23" s="6"/>
      <c r="I23" s="6" t="s">
        <v>2345</v>
      </c>
      <c r="J23" s="6"/>
      <c r="K23" s="6"/>
    </row>
  </sheetData>
  <conditionalFormatting sqref="B3:J3 B21:J21 C4:J11 C12:E12 G12:J12 B14:B15 C13:J20">
    <cfRule type="expression" dxfId="405" priority="6">
      <formula>_xlfn.ISFORMULA(B3)</formula>
    </cfRule>
  </conditionalFormatting>
  <conditionalFormatting sqref="B16:B20">
    <cfRule type="expression" dxfId="404" priority="3">
      <formula>_xlfn.ISFORMULA(B16)</formula>
    </cfRule>
  </conditionalFormatting>
  <conditionalFormatting sqref="F12">
    <cfRule type="expression" dxfId="403" priority="1">
      <formula>_xlfn.ISFORMULA(F12)</formula>
    </cfRule>
  </conditionalFormatting>
  <hyperlinks>
    <hyperlink ref="K8" r:id="rId1" xr:uid="{5C5F39DC-C5E9-48AC-B1A8-DA71101332AF}"/>
    <hyperlink ref="K9" r:id="rId2" xr:uid="{62256AF8-B04E-4B35-BD52-17E1CA2B6791}"/>
    <hyperlink ref="K15" r:id="rId3" xr:uid="{EF9980E3-0F97-4D4E-9D7C-0F2F27A33390}"/>
  </hyperlinks>
  <pageMargins left="0.7" right="0.7" top="0.78740157499999996" bottom="0.78740157499999996" header="0.3" footer="0.3"/>
  <tableParts count="1">
    <tablePart r:id="rId4"/>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C0AFC-1FBC-49A3-BD73-D5AFC09616A1}">
  <sheetPr codeName="TabXML">
    <tabColor theme="9"/>
  </sheetPr>
  <dimension ref="B1:M189"/>
  <sheetViews>
    <sheetView showGridLines="0" workbookViewId="0">
      <pane ySplit="3" topLeftCell="A45" activePane="bottomLeft" state="frozen"/>
      <selection activeCell="B2" sqref="B2:AX2"/>
      <selection pane="bottomLeft" activeCell="B2" sqref="B2:AX2"/>
    </sheetView>
  </sheetViews>
  <sheetFormatPr baseColWidth="10" defaultColWidth="11.42578125" defaultRowHeight="12.75"/>
  <cols>
    <col min="1" max="1" width="2.7109375" style="4" customWidth="1"/>
    <col min="2" max="2" width="16.42578125" style="4" customWidth="1"/>
    <col min="3" max="6" width="20.7109375" style="4" customWidth="1"/>
    <col min="7" max="7" width="50.7109375" style="4" customWidth="1"/>
    <col min="8" max="8" width="20.7109375" style="4" customWidth="1"/>
    <col min="9" max="9" width="50.7109375" style="4" customWidth="1"/>
    <col min="10" max="10" width="10.7109375" style="4" customWidth="1"/>
    <col min="11" max="11" width="11.42578125" style="4"/>
    <col min="12" max="12" width="2.7109375" style="4" customWidth="1"/>
    <col min="13" max="13" width="14.140625" style="470" bestFit="1" customWidth="1"/>
    <col min="14" max="16384" width="11.42578125" style="4"/>
  </cols>
  <sheetData>
    <row r="1" spans="2:13">
      <c r="B1" s="468" cm="1">
        <f t="array" ref="B1">SUM(LEN(XML[]))</f>
        <v>39319</v>
      </c>
      <c r="C1" s="469">
        <f>B1/1600</f>
        <v>24.574375</v>
      </c>
    </row>
    <row r="2" spans="2:13" s="471" customFormat="1">
      <c r="M2" s="472"/>
    </row>
    <row r="3" spans="2:13">
      <c r="B3" s="6" t="s">
        <v>148</v>
      </c>
      <c r="C3" s="6" t="s">
        <v>713</v>
      </c>
      <c r="D3" s="6" t="s">
        <v>711</v>
      </c>
      <c r="E3" s="6" t="s">
        <v>712</v>
      </c>
      <c r="F3" s="6" t="s">
        <v>714</v>
      </c>
      <c r="G3" s="6" t="s">
        <v>716</v>
      </c>
      <c r="H3" s="6" t="s">
        <v>715</v>
      </c>
      <c r="I3" s="6" t="s">
        <v>717</v>
      </c>
      <c r="J3" s="6" t="s">
        <v>720</v>
      </c>
      <c r="K3" s="6" t="s">
        <v>721</v>
      </c>
    </row>
    <row r="4" spans="2:13">
      <c r="B4" s="270" t="s">
        <v>719</v>
      </c>
      <c r="C4" s="6"/>
      <c r="D4" s="6"/>
      <c r="E4" s="6"/>
      <c r="F4" s="6"/>
      <c r="G4" s="6"/>
      <c r="H4" s="6"/>
      <c r="I4" s="6"/>
      <c r="J4" s="6">
        <v>1</v>
      </c>
      <c r="K4" s="6">
        <v>1</v>
      </c>
      <c r="M4" s="470" t="s">
        <v>1801</v>
      </c>
    </row>
    <row r="5" spans="2:13" ht="25.5">
      <c r="B5" s="6" t="s">
        <v>1105</v>
      </c>
      <c r="C5" s="6"/>
      <c r="D5" s="6" t="s">
        <v>249</v>
      </c>
      <c r="E5" s="6" t="s">
        <v>249</v>
      </c>
      <c r="F5" s="6" t="s">
        <v>249</v>
      </c>
      <c r="G5" s="6" t="str">
        <f>G6</f>
        <v>In online mode, the add-ins, databases and program scripts stored in the server are used.</v>
      </c>
      <c r="H5" s="6" t="s">
        <v>249</v>
      </c>
      <c r="I5" s="6" t="str">
        <f>I6</f>
        <v>Im Onlinemodus werden die auf dem Server hinterlegten Addins, Datenbanken und Routinen verwendet.</v>
      </c>
      <c r="J5" s="6">
        <v>0</v>
      </c>
      <c r="K5" s="6">
        <v>0</v>
      </c>
    </row>
    <row r="6" spans="2:13" ht="25.5">
      <c r="B6" s="6" t="s">
        <v>1108</v>
      </c>
      <c r="C6" s="6"/>
      <c r="D6" s="6" t="s">
        <v>1113</v>
      </c>
      <c r="E6" s="6" t="s">
        <v>1112</v>
      </c>
      <c r="F6" s="6" t="s">
        <v>1113</v>
      </c>
      <c r="G6" s="6" t="s">
        <v>1827</v>
      </c>
      <c r="H6" s="6" t="s">
        <v>1112</v>
      </c>
      <c r="I6" s="6" t="s">
        <v>1239</v>
      </c>
      <c r="J6" s="6">
        <v>0</v>
      </c>
      <c r="K6" s="6">
        <v>0</v>
      </c>
    </row>
    <row r="7" spans="2:13" ht="63.75">
      <c r="B7" s="6" t="s">
        <v>1107</v>
      </c>
      <c r="C7" s="6"/>
      <c r="D7" s="6" t="s">
        <v>1115</v>
      </c>
      <c r="E7" s="6" t="s">
        <v>1111</v>
      </c>
      <c r="F7" s="6" t="s">
        <v>1115</v>
      </c>
      <c r="G7" s="6" t="s">
        <v>1803</v>
      </c>
      <c r="H7" s="6" t="s">
        <v>1111</v>
      </c>
      <c r="I7" s="6" t="s">
        <v>1802</v>
      </c>
      <c r="J7" s="6">
        <v>0</v>
      </c>
      <c r="K7" s="6">
        <v>0</v>
      </c>
    </row>
    <row r="8" spans="2:13" ht="63.75">
      <c r="B8" s="6" t="s">
        <v>1106</v>
      </c>
      <c r="C8" s="6"/>
      <c r="D8" s="6" t="s">
        <v>1116</v>
      </c>
      <c r="E8" s="6" t="s">
        <v>1116</v>
      </c>
      <c r="F8" s="6" t="s">
        <v>1116</v>
      </c>
      <c r="G8" s="6" t="str">
        <f>G10</f>
        <v>In offline mode, the locally stored addins, databases and program scripts are used.
Please consider synchronising the locally stored data via the menu [Start - AWS - Toolbox - Sync] beforehand.</v>
      </c>
      <c r="H8" s="6" t="s">
        <v>1116</v>
      </c>
      <c r="I8" s="6" t="str">
        <f>I10</f>
        <v>Im Offlinemodus werden die lokal hinterlegten Addins, Datenbanken und Routinen verwendet.
Bitte die lokalen Daten bei Bedarf über das Menü [Start - AWS - Toolbox - Sync] zuvor eigenständig synchronisieren.</v>
      </c>
      <c r="J8" s="6">
        <f t="shared" ref="J8:K10" si="0">J5</f>
        <v>0</v>
      </c>
      <c r="K8" s="6">
        <f t="shared" si="0"/>
        <v>0</v>
      </c>
    </row>
    <row r="9" spans="2:13" ht="25.5">
      <c r="B9" s="6" t="s">
        <v>1109</v>
      </c>
      <c r="C9" s="6"/>
      <c r="D9" s="6" t="str">
        <f t="shared" ref="D9:I10" si="1">D6</f>
        <v>Work online</v>
      </c>
      <c r="E9" s="6" t="str">
        <f t="shared" si="1"/>
        <v>Online arbeiten</v>
      </c>
      <c r="F9" s="6" t="str">
        <f t="shared" si="1"/>
        <v>Work online</v>
      </c>
      <c r="G9" s="6" t="str">
        <f t="shared" si="1"/>
        <v>In online mode, the add-ins, databases and program scripts stored in the server are used.</v>
      </c>
      <c r="H9" s="6" t="str">
        <f t="shared" si="1"/>
        <v>Online arbeiten</v>
      </c>
      <c r="I9" s="6" t="str">
        <f t="shared" si="1"/>
        <v>Im Onlinemodus werden die auf dem Server hinterlegten Addins, Datenbanken und Routinen verwendet.</v>
      </c>
      <c r="J9" s="6">
        <f t="shared" si="0"/>
        <v>0</v>
      </c>
      <c r="K9" s="6">
        <f t="shared" si="0"/>
        <v>0</v>
      </c>
    </row>
    <row r="10" spans="2:13" ht="63.75">
      <c r="B10" s="6" t="s">
        <v>1110</v>
      </c>
      <c r="C10" s="6"/>
      <c r="D10" s="6" t="str">
        <f t="shared" si="1"/>
        <v>Work offline</v>
      </c>
      <c r="E10" s="6" t="str">
        <f t="shared" si="1"/>
        <v>Offline arbeiten</v>
      </c>
      <c r="F10" s="6" t="str">
        <f t="shared" si="1"/>
        <v>Work offline</v>
      </c>
      <c r="G10" s="6" t="str">
        <f t="shared" si="1"/>
        <v>In offline mode, the locally stored addins, databases and program scripts are used.
Please consider synchronising the locally stored data via the menu [Start - AWS - Toolbox - Sync] beforehand.</v>
      </c>
      <c r="H10" s="6" t="str">
        <f t="shared" si="1"/>
        <v>Offline arbeiten</v>
      </c>
      <c r="I10" s="6" t="str">
        <f t="shared" si="1"/>
        <v>Im Offlinemodus werden die lokal hinterlegten Addins, Datenbanken und Routinen verwendet.
Bitte die lokalen Daten bei Bedarf über das Menü [Start - AWS - Toolbox - Sync] zuvor eigenständig synchronisieren.</v>
      </c>
      <c r="J10" s="6">
        <f t="shared" si="0"/>
        <v>0</v>
      </c>
      <c r="K10" s="6">
        <f t="shared" si="0"/>
        <v>0</v>
      </c>
    </row>
    <row r="11" spans="2:13">
      <c r="B11" s="6" t="s">
        <v>804</v>
      </c>
      <c r="C11" s="6"/>
      <c r="D11" s="6"/>
      <c r="E11" s="6"/>
      <c r="F11" s="6"/>
      <c r="G11" s="6"/>
      <c r="H11" s="6"/>
      <c r="I11" s="6"/>
      <c r="J11" s="6">
        <v>0</v>
      </c>
      <c r="K11" s="6">
        <v>0</v>
      </c>
    </row>
    <row r="12" spans="2:13" ht="51">
      <c r="B12" s="6" t="s">
        <v>718</v>
      </c>
      <c r="C12" s="6" t="s">
        <v>772</v>
      </c>
      <c r="D12" s="6"/>
      <c r="E12" s="6"/>
      <c r="F12" s="6" t="s">
        <v>963</v>
      </c>
      <c r="G12" s="6" t="s">
        <v>1829</v>
      </c>
      <c r="H12" s="6" t="s">
        <v>722</v>
      </c>
      <c r="I12" s="6" t="s">
        <v>1828</v>
      </c>
      <c r="J12" s="6">
        <v>0</v>
      </c>
      <c r="K12" s="6">
        <v>0</v>
      </c>
    </row>
    <row r="13" spans="2:13" ht="102">
      <c r="B13" s="270" t="s">
        <v>2272</v>
      </c>
      <c r="C13" s="6"/>
      <c r="D13" s="6" t="s">
        <v>251</v>
      </c>
      <c r="E13" s="6" t="s">
        <v>251</v>
      </c>
      <c r="F13" s="6" t="s">
        <v>2020</v>
      </c>
      <c r="G13" s="6" t="s">
        <v>2021</v>
      </c>
      <c r="H13" s="6" t="s">
        <v>2017</v>
      </c>
      <c r="I13" s="6" t="s">
        <v>2018</v>
      </c>
      <c r="J13" s="6">
        <v>0</v>
      </c>
      <c r="K13" s="6">
        <v>0</v>
      </c>
    </row>
    <row r="14" spans="2:13">
      <c r="B14" s="6" t="s">
        <v>2013</v>
      </c>
      <c r="C14" s="6"/>
      <c r="D14" s="6" t="s">
        <v>800</v>
      </c>
      <c r="E14" s="6" t="s">
        <v>800</v>
      </c>
      <c r="F14" s="6" t="s">
        <v>842</v>
      </c>
      <c r="G14" s="6" t="s">
        <v>2024</v>
      </c>
      <c r="H14" s="6" t="s">
        <v>842</v>
      </c>
      <c r="I14" s="6" t="s">
        <v>2022</v>
      </c>
      <c r="J14" s="6">
        <v>0</v>
      </c>
      <c r="K14" s="6">
        <v>0</v>
      </c>
    </row>
    <row r="15" spans="2:13">
      <c r="B15" s="6" t="s">
        <v>2014</v>
      </c>
      <c r="C15" s="6"/>
      <c r="D15" s="6" t="s">
        <v>834</v>
      </c>
      <c r="E15" s="6" t="s">
        <v>834</v>
      </c>
      <c r="F15" s="6" t="s">
        <v>964</v>
      </c>
      <c r="G15" s="6" t="s">
        <v>2025</v>
      </c>
      <c r="H15" s="6" t="s">
        <v>841</v>
      </c>
      <c r="I15" s="6" t="s">
        <v>2023</v>
      </c>
      <c r="J15" s="6">
        <v>0</v>
      </c>
      <c r="K15" s="6">
        <v>0</v>
      </c>
    </row>
    <row r="16" spans="2:13">
      <c r="B16" s="6" t="s">
        <v>3806</v>
      </c>
      <c r="C16" s="6"/>
      <c r="D16" s="6" t="s">
        <v>3787</v>
      </c>
      <c r="E16" s="6" t="s">
        <v>3787</v>
      </c>
      <c r="F16" s="6" t="s">
        <v>3788</v>
      </c>
      <c r="G16" s="6" t="s">
        <v>3789</v>
      </c>
      <c r="H16" s="6" t="s">
        <v>3790</v>
      </c>
      <c r="I16" s="6" t="s">
        <v>3791</v>
      </c>
      <c r="J16" s="6">
        <v>1</v>
      </c>
      <c r="K16" s="6">
        <v>0</v>
      </c>
    </row>
    <row r="17" spans="2:13">
      <c r="B17" s="6" t="s">
        <v>3998</v>
      </c>
      <c r="C17" s="6" t="s">
        <v>4003</v>
      </c>
      <c r="D17" s="6" t="s">
        <v>3999</v>
      </c>
      <c r="E17" s="6" t="s">
        <v>4000</v>
      </c>
      <c r="F17" s="6" t="s">
        <v>4001</v>
      </c>
      <c r="G17" s="6" t="s">
        <v>4002</v>
      </c>
      <c r="H17" s="6"/>
      <c r="I17" s="6"/>
      <c r="J17" s="6">
        <v>1</v>
      </c>
      <c r="K17" s="6">
        <v>1</v>
      </c>
    </row>
    <row r="18" spans="2:13" ht="63.75">
      <c r="B18" s="270" t="s">
        <v>2257</v>
      </c>
      <c r="C18" s="6"/>
      <c r="D18" s="6" t="s">
        <v>2258</v>
      </c>
      <c r="E18" s="6" t="s">
        <v>2259</v>
      </c>
      <c r="F18" s="6" t="s">
        <v>2258</v>
      </c>
      <c r="G18" s="6" t="s">
        <v>2281</v>
      </c>
      <c r="H18" s="6" t="s">
        <v>2259</v>
      </c>
      <c r="I18" s="6" t="s">
        <v>2280</v>
      </c>
      <c r="J18" s="6">
        <v>0</v>
      </c>
      <c r="K18" s="6">
        <v>0</v>
      </c>
    </row>
    <row r="19" spans="2:13" ht="76.5">
      <c r="B19" s="270" t="s">
        <v>2269</v>
      </c>
      <c r="C19" s="6"/>
      <c r="D19" s="6" t="s">
        <v>834</v>
      </c>
      <c r="E19" s="6" t="s">
        <v>834</v>
      </c>
      <c r="F19" s="6" t="s">
        <v>2273</v>
      </c>
      <c r="G19" s="6" t="s">
        <v>2271</v>
      </c>
      <c r="H19" s="6" t="s">
        <v>2274</v>
      </c>
      <c r="I19" s="6" t="s">
        <v>2270</v>
      </c>
      <c r="J19" s="6">
        <v>0</v>
      </c>
      <c r="K19" s="6">
        <v>0</v>
      </c>
    </row>
    <row r="20" spans="2:13" ht="51">
      <c r="B20" s="6" t="s">
        <v>2267</v>
      </c>
      <c r="C20" s="6"/>
      <c r="D20" s="6" t="s">
        <v>2265</v>
      </c>
      <c r="E20" s="6" t="s">
        <v>1363</v>
      </c>
      <c r="F20" s="6" t="s">
        <v>2265</v>
      </c>
      <c r="G20" s="6" t="s">
        <v>2263</v>
      </c>
      <c r="H20" s="6" t="s">
        <v>1363</v>
      </c>
      <c r="I20" s="6" t="s">
        <v>2264</v>
      </c>
      <c r="J20" s="6">
        <v>0</v>
      </c>
      <c r="K20" s="6">
        <v>0</v>
      </c>
    </row>
    <row r="21" spans="2:13" ht="51">
      <c r="B21" s="6" t="s">
        <v>2268</v>
      </c>
      <c r="C21" s="6"/>
      <c r="D21" s="6" t="s">
        <v>2287</v>
      </c>
      <c r="E21" s="6" t="s">
        <v>2266</v>
      </c>
      <c r="F21" s="6" t="s">
        <v>2287</v>
      </c>
      <c r="G21" s="6" t="s">
        <v>2288</v>
      </c>
      <c r="H21" s="6" t="s">
        <v>2266</v>
      </c>
      <c r="I21" s="6" t="s">
        <v>2260</v>
      </c>
      <c r="J21" s="6">
        <v>0</v>
      </c>
      <c r="K21" s="6">
        <v>0</v>
      </c>
    </row>
    <row r="22" spans="2:13" ht="51">
      <c r="B22" s="6" t="s">
        <v>2261</v>
      </c>
      <c r="C22" s="6"/>
      <c r="D22" s="6" t="s">
        <v>2144</v>
      </c>
      <c r="E22" s="6" t="s">
        <v>2247</v>
      </c>
      <c r="F22" s="6" t="s">
        <v>2279</v>
      </c>
      <c r="G22" s="6" t="s">
        <v>2029</v>
      </c>
      <c r="H22" s="6" t="s">
        <v>2015</v>
      </c>
      <c r="I22" s="6" t="s">
        <v>2026</v>
      </c>
      <c r="J22" s="6">
        <v>0</v>
      </c>
      <c r="K22" s="6">
        <v>0</v>
      </c>
    </row>
    <row r="23" spans="2:13" ht="51">
      <c r="B23" s="6" t="s">
        <v>2262</v>
      </c>
      <c r="C23" s="6"/>
      <c r="D23" s="6" t="s">
        <v>2136</v>
      </c>
      <c r="E23" s="6" t="s">
        <v>202</v>
      </c>
      <c r="F23" s="6" t="s">
        <v>2278</v>
      </c>
      <c r="G23" s="6" t="s">
        <v>2252</v>
      </c>
      <c r="H23" s="6" t="s">
        <v>2251</v>
      </c>
      <c r="I23" s="6" t="s">
        <v>2253</v>
      </c>
      <c r="J23" s="6">
        <v>0</v>
      </c>
      <c r="K23" s="6">
        <v>0</v>
      </c>
    </row>
    <row r="24" spans="2:13">
      <c r="B24" s="6" t="s">
        <v>803</v>
      </c>
      <c r="C24" s="6"/>
      <c r="D24" s="6"/>
      <c r="E24" s="6"/>
      <c r="F24" s="6"/>
      <c r="G24" s="6"/>
      <c r="H24" s="6"/>
      <c r="I24" s="6"/>
      <c r="J24" s="6">
        <v>0</v>
      </c>
      <c r="K24" s="6">
        <v>0</v>
      </c>
    </row>
    <row r="25" spans="2:13">
      <c r="B25" s="270" t="s">
        <v>814</v>
      </c>
      <c r="C25" s="6"/>
      <c r="D25" s="6" t="s">
        <v>816</v>
      </c>
      <c r="E25" s="6" t="s">
        <v>816</v>
      </c>
      <c r="F25" s="6"/>
      <c r="G25" s="6"/>
      <c r="H25" s="6"/>
      <c r="I25" s="6"/>
      <c r="J25" s="6">
        <v>1</v>
      </c>
      <c r="K25" s="6">
        <v>1</v>
      </c>
      <c r="M25" s="470" t="s">
        <v>816</v>
      </c>
    </row>
    <row r="26" spans="2:13">
      <c r="B26" s="6" t="s">
        <v>1942</v>
      </c>
      <c r="C26" s="6"/>
      <c r="D26" s="6"/>
      <c r="E26" s="6"/>
      <c r="F26" s="6"/>
      <c r="G26" s="6"/>
      <c r="H26" s="6"/>
      <c r="I26" s="6"/>
      <c r="J26" s="6">
        <v>0</v>
      </c>
      <c r="K26" s="6">
        <v>0</v>
      </c>
    </row>
    <row r="27" spans="2:13">
      <c r="B27" s="6" t="s">
        <v>1941</v>
      </c>
      <c r="C27" s="6"/>
      <c r="D27" s="6"/>
      <c r="E27" s="6"/>
      <c r="F27" s="6"/>
      <c r="G27" s="6"/>
      <c r="H27" s="6"/>
      <c r="I27" s="6"/>
      <c r="J27" s="6">
        <v>0</v>
      </c>
      <c r="K27" s="6">
        <v>0</v>
      </c>
    </row>
    <row r="28" spans="2:13" ht="51">
      <c r="B28" s="6" t="s">
        <v>906</v>
      </c>
      <c r="C28" s="6"/>
      <c r="D28" s="6" t="s">
        <v>2089</v>
      </c>
      <c r="E28" s="6" t="s">
        <v>1815</v>
      </c>
      <c r="F28" s="6" t="s">
        <v>1950</v>
      </c>
      <c r="G28" s="6" t="s">
        <v>1952</v>
      </c>
      <c r="H28" s="6" t="s">
        <v>1949</v>
      </c>
      <c r="I28" s="6" t="s">
        <v>1951</v>
      </c>
      <c r="J28" s="6">
        <v>0</v>
      </c>
      <c r="K28" s="6">
        <v>0</v>
      </c>
    </row>
    <row r="29" spans="2:13" ht="51">
      <c r="B29" s="6" t="s">
        <v>908</v>
      </c>
      <c r="C29" s="6"/>
      <c r="D29" s="6" t="str">
        <f t="shared" ref="D29:K29" si="2">D28</f>
        <v>Transpose</v>
      </c>
      <c r="E29" s="6" t="str">
        <f t="shared" si="2"/>
        <v>Übertrag</v>
      </c>
      <c r="F29" s="6" t="str">
        <f t="shared" si="2"/>
        <v>Synchronize</v>
      </c>
      <c r="G29" s="6" t="str">
        <f t="shared" si="2"/>
        <v>Synchronizes the BOM and Calculation tabs.
Please note: Subsequent changes WITHIN a BOM row or calculation block are not applied!</v>
      </c>
      <c r="H29" s="6" t="str">
        <f t="shared" si="2"/>
        <v>Synchronisieren</v>
      </c>
      <c r="I29" s="6" t="str">
        <f t="shared" si="2"/>
        <v>Synchronisiert die Reiter BOM und Calculation.
Achtung: Nachträgliche Änderungen INNERHALB einer BOM-Zeile oder eines Kalkulationsblocks werden nicht übernommen!</v>
      </c>
      <c r="J29" s="6">
        <f t="shared" si="2"/>
        <v>0</v>
      </c>
      <c r="K29" s="6">
        <f t="shared" si="2"/>
        <v>0</v>
      </c>
    </row>
    <row r="30" spans="2:13" ht="38.25">
      <c r="B30" s="6" t="s">
        <v>907</v>
      </c>
      <c r="C30" s="6"/>
      <c r="D30" s="6" t="s">
        <v>2090</v>
      </c>
      <c r="E30" s="6" t="s">
        <v>1817</v>
      </c>
      <c r="F30" s="6" t="s">
        <v>2090</v>
      </c>
      <c r="G30" s="6" t="s">
        <v>1887</v>
      </c>
      <c r="H30" s="6" t="s">
        <v>1817</v>
      </c>
      <c r="I30" s="6" t="s">
        <v>1888</v>
      </c>
      <c r="J30" s="6">
        <v>0</v>
      </c>
      <c r="K30" s="6">
        <v>0</v>
      </c>
    </row>
    <row r="31" spans="2:13" ht="25.5">
      <c r="B31" s="6" t="s">
        <v>909</v>
      </c>
      <c r="C31" s="6"/>
      <c r="D31" s="6" t="s">
        <v>663</v>
      </c>
      <c r="E31" s="6" t="s">
        <v>663</v>
      </c>
      <c r="F31" s="6" t="s">
        <v>663</v>
      </c>
      <c r="G31" s="6" t="s">
        <v>1889</v>
      </c>
      <c r="H31" s="6" t="s">
        <v>663</v>
      </c>
      <c r="I31" s="6" t="s">
        <v>1890</v>
      </c>
      <c r="J31" s="6">
        <v>0</v>
      </c>
      <c r="K31" s="6">
        <v>0</v>
      </c>
    </row>
    <row r="32" spans="2:13">
      <c r="B32" s="6" t="s">
        <v>1944</v>
      </c>
      <c r="C32" s="6"/>
      <c r="D32" s="6"/>
      <c r="E32" s="6"/>
      <c r="F32" s="6"/>
      <c r="G32" s="6"/>
      <c r="H32" s="6"/>
      <c r="I32" s="6"/>
      <c r="J32" s="6">
        <f>J26</f>
        <v>0</v>
      </c>
      <c r="K32" s="6">
        <f>K26</f>
        <v>0</v>
      </c>
    </row>
    <row r="33" spans="2:11">
      <c r="B33" s="6" t="s">
        <v>1945</v>
      </c>
      <c r="C33" s="6"/>
      <c r="D33" s="6"/>
      <c r="E33" s="6"/>
      <c r="F33" s="6"/>
      <c r="G33" s="6"/>
      <c r="H33" s="6"/>
      <c r="I33" s="6"/>
      <c r="J33" s="6">
        <f>J27</f>
        <v>0</v>
      </c>
      <c r="K33" s="6">
        <f>K27</f>
        <v>0</v>
      </c>
    </row>
    <row r="34" spans="2:11" ht="51">
      <c r="B34" s="6" t="s">
        <v>1927</v>
      </c>
      <c r="C34" s="6"/>
      <c r="D34" s="6" t="str">
        <f>D28</f>
        <v>Transpose</v>
      </c>
      <c r="E34" s="6" t="str">
        <f t="shared" ref="E34:K34" si="3">E28</f>
        <v>Übertrag</v>
      </c>
      <c r="F34" s="6" t="str">
        <f t="shared" si="3"/>
        <v>Synchronize</v>
      </c>
      <c r="G34" s="6" t="str">
        <f t="shared" si="3"/>
        <v>Synchronizes the BOM and Calculation tabs.
Please note: Subsequent changes WITHIN a BOM row or calculation block are not applied!</v>
      </c>
      <c r="H34" s="6" t="str">
        <f t="shared" si="3"/>
        <v>Synchronisieren</v>
      </c>
      <c r="I34" s="6" t="str">
        <f t="shared" si="3"/>
        <v>Synchronisiert die Reiter BOM und Calculation.
Achtung: Nachträgliche Änderungen INNERHALB einer BOM-Zeile oder eines Kalkulationsblocks werden nicht übernommen!</v>
      </c>
      <c r="J34" s="6">
        <f t="shared" si="3"/>
        <v>0</v>
      </c>
      <c r="K34" s="6">
        <f t="shared" si="3"/>
        <v>0</v>
      </c>
    </row>
    <row r="35" spans="2:11" ht="51">
      <c r="B35" s="6" t="s">
        <v>1928</v>
      </c>
      <c r="C35" s="6"/>
      <c r="D35" s="6" t="str">
        <f t="shared" ref="D35:K35" si="4">D29</f>
        <v>Transpose</v>
      </c>
      <c r="E35" s="6" t="str">
        <f t="shared" si="4"/>
        <v>Übertrag</v>
      </c>
      <c r="F35" s="6" t="str">
        <f t="shared" si="4"/>
        <v>Synchronize</v>
      </c>
      <c r="G35" s="6" t="str">
        <f t="shared" si="4"/>
        <v>Synchronizes the BOM and Calculation tabs.
Please note: Subsequent changes WITHIN a BOM row or calculation block are not applied!</v>
      </c>
      <c r="H35" s="6" t="str">
        <f t="shared" si="4"/>
        <v>Synchronisieren</v>
      </c>
      <c r="I35" s="6" t="str">
        <f t="shared" si="4"/>
        <v>Synchronisiert die Reiter BOM und Calculation.
Achtung: Nachträgliche Änderungen INNERHALB einer BOM-Zeile oder eines Kalkulationsblocks werden nicht übernommen!</v>
      </c>
      <c r="J35" s="6">
        <f t="shared" si="4"/>
        <v>0</v>
      </c>
      <c r="K35" s="6">
        <f t="shared" si="4"/>
        <v>0</v>
      </c>
    </row>
    <row r="36" spans="2:11" ht="38.25">
      <c r="B36" s="6" t="s">
        <v>1929</v>
      </c>
      <c r="C36" s="6"/>
      <c r="D36" s="6" t="str">
        <f t="shared" ref="D36:K36" si="5">D30</f>
        <v>Auto Transpose</v>
      </c>
      <c r="E36" s="6" t="str">
        <f t="shared" si="5"/>
        <v>Auto Übertrag</v>
      </c>
      <c r="F36" s="6" t="str">
        <f t="shared" si="5"/>
        <v>Auto Transpose</v>
      </c>
      <c r="G36" s="6" t="str">
        <f t="shared" si="5"/>
        <v>Checks automatically when leaving the active worksheet whether changes are available for synchronization in the BOM and/or the calculation tab.</v>
      </c>
      <c r="H36" s="6" t="str">
        <f t="shared" si="5"/>
        <v>Auto Übertrag</v>
      </c>
      <c r="I36" s="6" t="str">
        <f t="shared" si="5"/>
        <v>Prüft beim Verlassen des aktiven Arbeitsblattes automatisch, ob Änderungen in der BOM und/oder der Kalkulation zur Synchronisation vorliegen.</v>
      </c>
      <c r="J36" s="6">
        <f t="shared" si="5"/>
        <v>0</v>
      </c>
      <c r="K36" s="6">
        <f t="shared" si="5"/>
        <v>0</v>
      </c>
    </row>
    <row r="37" spans="2:11" ht="25.5">
      <c r="B37" s="6" t="s">
        <v>1930</v>
      </c>
      <c r="C37" s="6"/>
      <c r="D37" s="6" t="str">
        <f t="shared" ref="D37:K37" si="6">D31</f>
        <v>Auto Backup</v>
      </c>
      <c r="E37" s="6" t="str">
        <f t="shared" si="6"/>
        <v>Auto Backup</v>
      </c>
      <c r="F37" s="6" t="str">
        <f t="shared" si="6"/>
        <v>Auto Backup</v>
      </c>
      <c r="G37" s="6" t="str">
        <f t="shared" si="6"/>
        <v>Automatically creates a backup in the local temp directory before synchronization.</v>
      </c>
      <c r="H37" s="6" t="str">
        <f t="shared" si="6"/>
        <v>Auto Backup</v>
      </c>
      <c r="I37" s="6" t="str">
        <f t="shared" si="6"/>
        <v>Erstellt vor dem Synchronisieren automatisch ein Backup im lokalen Temp-Verzeichnis.</v>
      </c>
      <c r="J37" s="6">
        <f t="shared" si="6"/>
        <v>0</v>
      </c>
      <c r="K37" s="6">
        <f t="shared" si="6"/>
        <v>0</v>
      </c>
    </row>
    <row r="38" spans="2:11">
      <c r="B38" s="6" t="s">
        <v>838</v>
      </c>
      <c r="C38" s="6" t="s">
        <v>777</v>
      </c>
      <c r="D38" s="6" t="s">
        <v>737</v>
      </c>
      <c r="E38" s="6" t="s">
        <v>737</v>
      </c>
      <c r="F38" s="6" t="s">
        <v>2632</v>
      </c>
      <c r="G38" s="6" t="s">
        <v>966</v>
      </c>
      <c r="H38" s="6" t="s">
        <v>2631</v>
      </c>
      <c r="I38" s="6" t="s">
        <v>843</v>
      </c>
      <c r="J38" s="6">
        <v>1</v>
      </c>
      <c r="K38" s="6">
        <v>1</v>
      </c>
    </row>
    <row r="39" spans="2:11">
      <c r="B39" s="876" t="s">
        <v>2624</v>
      </c>
      <c r="C39" s="876" t="str">
        <f>C38</f>
        <v>GenerateBomNumbering</v>
      </c>
      <c r="D39" s="876" t="s">
        <v>2632</v>
      </c>
      <c r="E39" s="876" t="s">
        <v>2631</v>
      </c>
      <c r="F39" s="876" t="str">
        <f t="shared" ref="F39:K39" si="7">F38</f>
        <v>Generate Numbering</v>
      </c>
      <c r="G39" s="876" t="str">
        <f t="shared" si="7"/>
        <v>Renumbers the rows of the BOM according to the AWS logic.</v>
      </c>
      <c r="H39" s="876" t="str">
        <f t="shared" si="7"/>
        <v>Nummerierung generieren</v>
      </c>
      <c r="I39" s="876" t="str">
        <f t="shared" si="7"/>
        <v>Nummeriert die Zeilen der BOM gemäß der AWS-Logik neu.</v>
      </c>
      <c r="J39" s="876">
        <f t="shared" si="7"/>
        <v>1</v>
      </c>
      <c r="K39" s="876">
        <f t="shared" si="7"/>
        <v>1</v>
      </c>
    </row>
    <row r="40" spans="2:11" ht="25.5">
      <c r="B40" s="876" t="s">
        <v>2625</v>
      </c>
      <c r="C40" s="876" t="s">
        <v>2626</v>
      </c>
      <c r="D40" s="876" t="s">
        <v>2628</v>
      </c>
      <c r="E40" s="876" t="s">
        <v>2627</v>
      </c>
      <c r="F40" s="876" t="str">
        <f>XML[[#This Row],[Label EN]]</f>
        <v>Rebuild format</v>
      </c>
      <c r="G40" s="876" t="s">
        <v>2630</v>
      </c>
      <c r="H40" s="876" t="str">
        <f>XML[[#This Row],[Label DE]]</f>
        <v>Format erneuern</v>
      </c>
      <c r="I40" s="876" t="s">
        <v>2629</v>
      </c>
      <c r="J40" s="876">
        <v>1</v>
      </c>
      <c r="K40" s="876">
        <v>1</v>
      </c>
    </row>
    <row r="41" spans="2:11" ht="25.5">
      <c r="B41" s="6" t="s">
        <v>4005</v>
      </c>
      <c r="C41" s="6"/>
      <c r="D41" s="6" t="s">
        <v>259</v>
      </c>
      <c r="E41" s="6" t="s">
        <v>259</v>
      </c>
      <c r="F41" s="6" t="s">
        <v>1899</v>
      </c>
      <c r="G41" s="6" t="s">
        <v>2040</v>
      </c>
      <c r="H41" s="6" t="s">
        <v>860</v>
      </c>
      <c r="I41" s="6" t="s">
        <v>1830</v>
      </c>
      <c r="J41" s="6">
        <v>1</v>
      </c>
      <c r="K41" s="6">
        <v>1</v>
      </c>
    </row>
    <row r="42" spans="2:11" ht="25.5">
      <c r="B42" s="6" t="s">
        <v>859</v>
      </c>
      <c r="C42" s="6"/>
      <c r="D42" s="6" t="s">
        <v>861</v>
      </c>
      <c r="E42" s="6" t="s">
        <v>872</v>
      </c>
      <c r="F42" s="6" t="str">
        <f>F41</f>
        <v>Show/hide picture frame</v>
      </c>
      <c r="G42" s="6" t="str">
        <f t="shared" ref="G42:I42" si="8">G41</f>
        <v>The picture frame displays the pictures stored in the picture folder for the selected row or block.</v>
      </c>
      <c r="H42" s="6" t="str">
        <f t="shared" si="8"/>
        <v>Bilderrahmen ein-/ausblenden</v>
      </c>
      <c r="I42" s="6" t="str">
        <f t="shared" si="8"/>
        <v>Im Bilderrahmen werden die für die ausgewählte Zeile oder den ausgewählten Block im Bilderordner hinterlegten Bilder angezeigt.</v>
      </c>
      <c r="J42" s="6">
        <v>1</v>
      </c>
      <c r="K42" s="6">
        <v>1</v>
      </c>
    </row>
    <row r="43" spans="2:11" ht="25.5">
      <c r="B43" s="6" t="s">
        <v>835</v>
      </c>
      <c r="C43" s="6" t="s">
        <v>778</v>
      </c>
      <c r="D43" s="6" t="s">
        <v>797</v>
      </c>
      <c r="E43" s="6" t="s">
        <v>762</v>
      </c>
      <c r="F43" s="6" t="s">
        <v>797</v>
      </c>
      <c r="G43" s="6" t="s">
        <v>2041</v>
      </c>
      <c r="H43" s="6" t="s">
        <v>762</v>
      </c>
      <c r="I43" s="6" t="s">
        <v>1546</v>
      </c>
      <c r="J43" s="6">
        <v>1</v>
      </c>
      <c r="K43" s="6">
        <v>1</v>
      </c>
    </row>
    <row r="44" spans="2:11">
      <c r="B44" s="6" t="s">
        <v>836</v>
      </c>
      <c r="C44" s="6" t="s">
        <v>779</v>
      </c>
      <c r="D44" s="6" t="s">
        <v>798</v>
      </c>
      <c r="E44" s="6" t="s">
        <v>763</v>
      </c>
      <c r="F44" s="6" t="s">
        <v>967</v>
      </c>
      <c r="G44" s="6" t="s">
        <v>2042</v>
      </c>
      <c r="H44" s="6" t="s">
        <v>825</v>
      </c>
      <c r="I44" s="6" t="s">
        <v>1831</v>
      </c>
      <c r="J44" s="6">
        <v>1</v>
      </c>
      <c r="K44" s="6">
        <v>1</v>
      </c>
    </row>
    <row r="45" spans="2:11" ht="51">
      <c r="B45" s="1135" t="s">
        <v>3915</v>
      </c>
      <c r="C45" s="6" t="s">
        <v>3916</v>
      </c>
      <c r="D45" s="1135" t="s">
        <v>3917</v>
      </c>
      <c r="E45" s="1135" t="s">
        <v>3918</v>
      </c>
      <c r="F45" s="1135" t="str">
        <f>XML[[#This Row],[Label EN]]</f>
        <v>Move unused pictures to subfolder</v>
      </c>
      <c r="G45" s="1135" t="s">
        <v>3922</v>
      </c>
      <c r="H45" s="1135" t="str">
        <f>XML[[#This Row],[Label DE]]</f>
        <v>Unbenutze Bilder in Unterordner verschieben</v>
      </c>
      <c r="I45" s="1135" t="s">
        <v>3921</v>
      </c>
      <c r="J45" s="1135"/>
      <c r="K45" s="1135"/>
    </row>
    <row r="46" spans="2:11" ht="25.5">
      <c r="B46" s="6" t="s">
        <v>837</v>
      </c>
      <c r="C46" s="6" t="s">
        <v>780</v>
      </c>
      <c r="D46" s="6" t="s">
        <v>3924</v>
      </c>
      <c r="E46" s="6" t="s">
        <v>764</v>
      </c>
      <c r="F46" s="6" t="s">
        <v>1411</v>
      </c>
      <c r="G46" s="6" t="s">
        <v>2043</v>
      </c>
      <c r="H46" s="6" t="s">
        <v>1412</v>
      </c>
      <c r="I46" s="6" t="s">
        <v>1832</v>
      </c>
      <c r="J46" s="6">
        <v>1</v>
      </c>
      <c r="K46" s="6">
        <v>1</v>
      </c>
    </row>
    <row r="47" spans="2:11" ht="51">
      <c r="B47" s="6" t="s">
        <v>1409</v>
      </c>
      <c r="C47" s="6" t="s">
        <v>1410</v>
      </c>
      <c r="D47" s="6" t="s">
        <v>3923</v>
      </c>
      <c r="E47" s="6" t="s">
        <v>1426</v>
      </c>
      <c r="F47" s="6" t="s">
        <v>1427</v>
      </c>
      <c r="G47" s="6" t="s">
        <v>2044</v>
      </c>
      <c r="H47" s="6" t="s">
        <v>1428</v>
      </c>
      <c r="I47" s="6" t="s">
        <v>1900</v>
      </c>
      <c r="J47" s="6">
        <v>0</v>
      </c>
      <c r="K47" s="6">
        <v>0</v>
      </c>
    </row>
    <row r="48" spans="2:11" ht="25.5">
      <c r="B48" s="6" t="s">
        <v>4006</v>
      </c>
      <c r="C48" s="6"/>
      <c r="D48" s="6" t="str">
        <f t="shared" ref="D48:I48" si="9">D41</f>
        <v>Pic</v>
      </c>
      <c r="E48" s="6" t="str">
        <f t="shared" si="9"/>
        <v>Pic</v>
      </c>
      <c r="F48" s="6" t="str">
        <f t="shared" si="9"/>
        <v>Show/hide picture frame</v>
      </c>
      <c r="G48" s="6" t="str">
        <f t="shared" si="9"/>
        <v>The picture frame displays the pictures stored in the picture folder for the selected row or block.</v>
      </c>
      <c r="H48" s="6" t="str">
        <f t="shared" si="9"/>
        <v>Bilderrahmen ein-/ausblenden</v>
      </c>
      <c r="I48" s="6" t="str">
        <f t="shared" si="9"/>
        <v>Im Bilderrahmen werden die für die ausgewählte Zeile oder den ausgewählten Block im Bilderordner hinterlegten Bilder angezeigt.</v>
      </c>
      <c r="J48" s="6">
        <f t="shared" ref="J48:K50" si="10">J41</f>
        <v>1</v>
      </c>
      <c r="K48" s="6">
        <f t="shared" si="10"/>
        <v>1</v>
      </c>
    </row>
    <row r="49" spans="2:13" ht="25.5">
      <c r="B49" s="6" t="s">
        <v>4007</v>
      </c>
      <c r="C49" s="6"/>
      <c r="D49" s="6" t="str">
        <f t="shared" ref="D49:I49" si="11">D42</f>
        <v>Pictureframe</v>
      </c>
      <c r="E49" s="6" t="str">
        <f t="shared" si="11"/>
        <v>Bilderrahmen</v>
      </c>
      <c r="F49" s="6" t="str">
        <f t="shared" si="11"/>
        <v>Show/hide picture frame</v>
      </c>
      <c r="G49" s="6" t="str">
        <f t="shared" si="11"/>
        <v>The picture frame displays the pictures stored in the picture folder for the selected row or block.</v>
      </c>
      <c r="H49" s="6" t="str">
        <f t="shared" si="11"/>
        <v>Bilderrahmen ein-/ausblenden</v>
      </c>
      <c r="I49" s="6" t="str">
        <f t="shared" si="11"/>
        <v>Im Bilderrahmen werden die für die ausgewählte Zeile oder den ausgewählten Block im Bilderordner hinterlegten Bilder angezeigt.</v>
      </c>
      <c r="J49" s="6">
        <f t="shared" si="10"/>
        <v>1</v>
      </c>
      <c r="K49" s="6">
        <f t="shared" si="10"/>
        <v>1</v>
      </c>
    </row>
    <row r="50" spans="2:13">
      <c r="B50" s="6" t="s">
        <v>4009</v>
      </c>
      <c r="C50" s="6" t="str">
        <f t="shared" ref="C50:I50" si="12">C44</f>
        <v>PicturesOpenDirectory</v>
      </c>
      <c r="D50" s="6" t="str">
        <f t="shared" si="12"/>
        <v>Open folder</v>
      </c>
      <c r="E50" s="6" t="str">
        <f t="shared" si="12"/>
        <v>Ordner öffnen</v>
      </c>
      <c r="F50" s="6" t="str">
        <f t="shared" si="12"/>
        <v>Open picture folder</v>
      </c>
      <c r="G50" s="6" t="str">
        <f t="shared" si="12"/>
        <v>Opens the assigned picture folder.</v>
      </c>
      <c r="H50" s="6" t="str">
        <f t="shared" si="12"/>
        <v>Bilderordner öffnen</v>
      </c>
      <c r="I50" s="6" t="str">
        <f t="shared" si="12"/>
        <v>Öffnet den hinterlegten Bilderordner.</v>
      </c>
      <c r="J50" s="6">
        <f t="shared" si="10"/>
        <v>1</v>
      </c>
      <c r="K50" s="6">
        <f t="shared" si="10"/>
        <v>1</v>
      </c>
    </row>
    <row r="51" spans="2:13" ht="25.5">
      <c r="B51" s="6" t="s">
        <v>4008</v>
      </c>
      <c r="C51" s="6"/>
      <c r="D51" s="6" t="str">
        <f t="shared" ref="D51:K51" si="13">D41</f>
        <v>Pic</v>
      </c>
      <c r="E51" s="6" t="str">
        <f t="shared" si="13"/>
        <v>Pic</v>
      </c>
      <c r="F51" s="6" t="str">
        <f t="shared" si="13"/>
        <v>Show/hide picture frame</v>
      </c>
      <c r="G51" s="6" t="str">
        <f t="shared" si="13"/>
        <v>The picture frame displays the pictures stored in the picture folder for the selected row or block.</v>
      </c>
      <c r="H51" s="6" t="str">
        <f t="shared" si="13"/>
        <v>Bilderrahmen ein-/ausblenden</v>
      </c>
      <c r="I51" s="6" t="str">
        <f t="shared" si="13"/>
        <v>Im Bilderrahmen werden die für die ausgewählte Zeile oder den ausgewählten Block im Bilderordner hinterlegten Bilder angezeigt.</v>
      </c>
      <c r="J51" s="6">
        <f t="shared" si="13"/>
        <v>1</v>
      </c>
      <c r="K51" s="6">
        <f t="shared" si="13"/>
        <v>1</v>
      </c>
    </row>
    <row r="52" spans="2:13" ht="25.5">
      <c r="B52" s="6" t="s">
        <v>1901</v>
      </c>
      <c r="C52" s="6"/>
      <c r="D52" s="6" t="str">
        <f t="shared" ref="D52:K54" si="14">D42</f>
        <v>Pictureframe</v>
      </c>
      <c r="E52" s="6" t="str">
        <f t="shared" si="14"/>
        <v>Bilderrahmen</v>
      </c>
      <c r="F52" s="6" t="str">
        <f t="shared" si="14"/>
        <v>Show/hide picture frame</v>
      </c>
      <c r="G52" s="6" t="str">
        <f t="shared" si="14"/>
        <v>The picture frame displays the pictures stored in the picture folder for the selected row or block.</v>
      </c>
      <c r="H52" s="6" t="str">
        <f t="shared" si="14"/>
        <v>Bilderrahmen ein-/ausblenden</v>
      </c>
      <c r="I52" s="6" t="str">
        <f t="shared" si="14"/>
        <v>Im Bilderrahmen werden die für die ausgewählte Zeile oder den ausgewählten Block im Bilderordner hinterlegten Bilder angezeigt.</v>
      </c>
      <c r="J52" s="6">
        <f t="shared" si="14"/>
        <v>1</v>
      </c>
      <c r="K52" s="6">
        <f t="shared" si="14"/>
        <v>1</v>
      </c>
    </row>
    <row r="53" spans="2:13" ht="25.5">
      <c r="B53" s="6" t="s">
        <v>1902</v>
      </c>
      <c r="C53" s="6" t="str">
        <f>C43</f>
        <v>PicturesRename</v>
      </c>
      <c r="D53" s="6" t="str">
        <f t="shared" si="14"/>
        <v>Rename pictures</v>
      </c>
      <c r="E53" s="6" t="str">
        <f t="shared" si="14"/>
        <v>Bilder umbenennen</v>
      </c>
      <c r="F53" s="6" t="str">
        <f t="shared" si="14"/>
        <v>Rename pictures</v>
      </c>
      <c r="G53" s="6" t="str">
        <f t="shared" si="14"/>
        <v>Renames all pictures in the assigned picture folder that were assigned to a part in column R to the name formed in column A.</v>
      </c>
      <c r="H53" s="6" t="str">
        <f t="shared" si="14"/>
        <v>Bilder umbenennen</v>
      </c>
      <c r="I53" s="6" t="str">
        <f t="shared" si="14"/>
        <v>Benennt alle Bilder im zugewiesenen Bilderordner, die in Spalte R einem Bauteil zugeordnet wurden, in den in Spalte A gebildeten Namen um.</v>
      </c>
      <c r="J53" s="6">
        <f t="shared" si="14"/>
        <v>1</v>
      </c>
      <c r="K53" s="6">
        <f t="shared" si="14"/>
        <v>1</v>
      </c>
    </row>
    <row r="54" spans="2:13">
      <c r="B54" s="6" t="s">
        <v>1903</v>
      </c>
      <c r="C54" s="6" t="str">
        <f>C44</f>
        <v>PicturesOpenDirectory</v>
      </c>
      <c r="D54" s="6" t="str">
        <f t="shared" si="14"/>
        <v>Open folder</v>
      </c>
      <c r="E54" s="6" t="str">
        <f t="shared" si="14"/>
        <v>Ordner öffnen</v>
      </c>
      <c r="F54" s="6" t="str">
        <f t="shared" si="14"/>
        <v>Open picture folder</v>
      </c>
      <c r="G54" s="6" t="str">
        <f t="shared" si="14"/>
        <v>Opens the assigned picture folder.</v>
      </c>
      <c r="H54" s="6" t="str">
        <f t="shared" si="14"/>
        <v>Bilderordner öffnen</v>
      </c>
      <c r="I54" s="6" t="str">
        <f t="shared" si="14"/>
        <v>Öffnet den hinterlegten Bilderordner.</v>
      </c>
      <c r="J54" s="6">
        <f t="shared" si="14"/>
        <v>1</v>
      </c>
      <c r="K54" s="6">
        <f t="shared" si="14"/>
        <v>1</v>
      </c>
    </row>
    <row r="55" spans="2:13" ht="25.5">
      <c r="B55" s="6" t="s">
        <v>1904</v>
      </c>
      <c r="C55" s="6" t="str">
        <f t="shared" ref="C55:K55" si="15">C46</f>
        <v>PicturesSetDirectory</v>
      </c>
      <c r="D55" s="6" t="str">
        <f t="shared" si="15"/>
        <v>Change folder path</v>
      </c>
      <c r="E55" s="6" t="str">
        <f t="shared" si="15"/>
        <v>Ordnerpfad ändern</v>
      </c>
      <c r="F55" s="6" t="str">
        <f t="shared" si="15"/>
        <v>Change picture folder path</v>
      </c>
      <c r="G55" s="6" t="str">
        <f t="shared" si="15"/>
        <v>Changes the location of the assigned picture folder.</v>
      </c>
      <c r="H55" s="6" t="str">
        <f t="shared" si="15"/>
        <v>Pfad zum Bilderordner ändern</v>
      </c>
      <c r="I55" s="6" t="str">
        <f t="shared" si="15"/>
        <v>Ändert den Pfad des hinterlegten Bilderordners.</v>
      </c>
      <c r="J55" s="6">
        <f t="shared" si="15"/>
        <v>1</v>
      </c>
      <c r="K55" s="6">
        <f t="shared" si="15"/>
        <v>1</v>
      </c>
    </row>
    <row r="56" spans="2:13">
      <c r="B56" s="270" t="s">
        <v>728</v>
      </c>
      <c r="C56" s="6"/>
      <c r="D56" s="6" t="s">
        <v>749</v>
      </c>
      <c r="E56" s="6" t="s">
        <v>731</v>
      </c>
      <c r="F56" s="6"/>
      <c r="G56" s="6"/>
      <c r="H56" s="6"/>
      <c r="I56" s="6"/>
      <c r="J56" s="6">
        <v>1</v>
      </c>
      <c r="K56" s="6">
        <v>1</v>
      </c>
      <c r="M56" s="470" t="s">
        <v>731</v>
      </c>
    </row>
    <row r="57" spans="2:13">
      <c r="B57" s="1135" t="s">
        <v>3855</v>
      </c>
      <c r="C57" s="6" t="s">
        <v>3885</v>
      </c>
      <c r="D57" s="1135" t="s">
        <v>2468</v>
      </c>
      <c r="E57" s="1135" t="s">
        <v>2468</v>
      </c>
      <c r="F57" s="6" t="s">
        <v>3842</v>
      </c>
      <c r="G57" s="1135"/>
      <c r="H57" s="6" t="s">
        <v>3843</v>
      </c>
      <c r="I57" s="1135"/>
      <c r="J57" s="6">
        <v>0</v>
      </c>
      <c r="K57" s="6">
        <v>0</v>
      </c>
    </row>
    <row r="58" spans="2:13">
      <c r="B58" s="1135" t="s">
        <v>3856</v>
      </c>
      <c r="C58" s="1135"/>
      <c r="D58" s="1135"/>
      <c r="E58" s="1135"/>
      <c r="F58" s="1135"/>
      <c r="G58" s="1135"/>
      <c r="H58" s="1135"/>
      <c r="I58" s="1135"/>
      <c r="J58" s="6">
        <v>0</v>
      </c>
      <c r="K58" s="6">
        <v>0</v>
      </c>
    </row>
    <row r="59" spans="2:13">
      <c r="B59" s="6" t="s">
        <v>868</v>
      </c>
      <c r="C59" s="6"/>
      <c r="D59" s="6" t="s">
        <v>284</v>
      </c>
      <c r="E59" s="6" t="s">
        <v>759</v>
      </c>
      <c r="F59" s="6"/>
      <c r="G59" s="6"/>
      <c r="H59" s="6"/>
      <c r="I59" s="6"/>
      <c r="J59" s="6">
        <v>1</v>
      </c>
      <c r="K59" s="6">
        <v>1</v>
      </c>
    </row>
    <row r="60" spans="2:13">
      <c r="B60" s="6" t="s">
        <v>867</v>
      </c>
      <c r="C60" s="6" t="s">
        <v>774</v>
      </c>
      <c r="D60" s="6" t="s">
        <v>284</v>
      </c>
      <c r="E60" s="6" t="s">
        <v>759</v>
      </c>
      <c r="F60" s="6" t="s">
        <v>284</v>
      </c>
      <c r="G60" s="6" t="s">
        <v>1833</v>
      </c>
      <c r="H60" s="6" t="s">
        <v>759</v>
      </c>
      <c r="I60" s="6" t="s">
        <v>1834</v>
      </c>
      <c r="J60" s="6">
        <v>1</v>
      </c>
      <c r="K60" s="6">
        <v>1</v>
      </c>
    </row>
    <row r="61" spans="2:13">
      <c r="B61" s="6" t="s">
        <v>1235</v>
      </c>
      <c r="C61" s="6" t="str">
        <f>C60</f>
        <v>AnalysisInit</v>
      </c>
      <c r="D61" s="6" t="str">
        <f t="shared" ref="D61:K61" si="16">D60</f>
        <v>Analysis</v>
      </c>
      <c r="E61" s="6" t="str">
        <f t="shared" si="16"/>
        <v>Analyse</v>
      </c>
      <c r="F61" s="6" t="str">
        <f t="shared" si="16"/>
        <v>Analysis</v>
      </c>
      <c r="G61" s="6" t="str">
        <f t="shared" si="16"/>
        <v>Shows the summary of the selected cost item.</v>
      </c>
      <c r="H61" s="6" t="str">
        <f t="shared" si="16"/>
        <v>Analyse</v>
      </c>
      <c r="I61" s="6" t="str">
        <f t="shared" si="16"/>
        <v>Zeigt die Zusammenstellung der ausgewählten Kostenposition.</v>
      </c>
      <c r="J61" s="6">
        <f t="shared" si="16"/>
        <v>1</v>
      </c>
      <c r="K61" s="6">
        <f t="shared" si="16"/>
        <v>1</v>
      </c>
    </row>
    <row r="62" spans="2:13" ht="25.5">
      <c r="B62" s="6" t="s">
        <v>1236</v>
      </c>
      <c r="C62" s="6"/>
      <c r="D62" s="6" t="str">
        <f t="shared" ref="D62:K62" si="17">D42</f>
        <v>Pictureframe</v>
      </c>
      <c r="E62" s="6" t="str">
        <f t="shared" si="17"/>
        <v>Bilderrahmen</v>
      </c>
      <c r="F62" s="6" t="str">
        <f t="shared" si="17"/>
        <v>Show/hide picture frame</v>
      </c>
      <c r="G62" s="6" t="str">
        <f t="shared" si="17"/>
        <v>The picture frame displays the pictures stored in the picture folder for the selected row or block.</v>
      </c>
      <c r="H62" s="6" t="str">
        <f t="shared" si="17"/>
        <v>Bilderrahmen ein-/ausblenden</v>
      </c>
      <c r="I62" s="6" t="str">
        <f t="shared" si="17"/>
        <v>Im Bilderrahmen werden die für die ausgewählte Zeile oder den ausgewählten Block im Bilderordner hinterlegten Bilder angezeigt.</v>
      </c>
      <c r="J62" s="6">
        <f t="shared" si="17"/>
        <v>1</v>
      </c>
      <c r="K62" s="6">
        <f t="shared" si="17"/>
        <v>1</v>
      </c>
    </row>
    <row r="63" spans="2:13" ht="38.25">
      <c r="B63" s="6" t="s">
        <v>866</v>
      </c>
      <c r="C63" s="6"/>
      <c r="D63" s="6" t="s">
        <v>869</v>
      </c>
      <c r="E63" s="6" t="s">
        <v>870</v>
      </c>
      <c r="F63" s="6" t="s">
        <v>968</v>
      </c>
      <c r="G63" s="6" t="s">
        <v>2001</v>
      </c>
      <c r="H63" s="6" t="s">
        <v>871</v>
      </c>
      <c r="I63" s="6" t="s">
        <v>2000</v>
      </c>
      <c r="J63" s="6">
        <v>1</v>
      </c>
      <c r="K63" s="6">
        <v>1</v>
      </c>
    </row>
    <row r="64" spans="2:13">
      <c r="B64" s="6" t="s">
        <v>729</v>
      </c>
      <c r="C64" s="6"/>
      <c r="D64" s="6"/>
      <c r="E64" s="6"/>
      <c r="F64" s="6" t="s">
        <v>969</v>
      </c>
      <c r="G64" s="6" t="s">
        <v>1836</v>
      </c>
      <c r="H64" s="6" t="s">
        <v>1335</v>
      </c>
      <c r="I64" s="6" t="s">
        <v>1835</v>
      </c>
      <c r="J64" s="6">
        <v>1</v>
      </c>
      <c r="K64" s="6">
        <v>1</v>
      </c>
    </row>
    <row r="65" spans="2:11">
      <c r="B65" s="6" t="s">
        <v>730</v>
      </c>
      <c r="C65" s="6"/>
      <c r="D65" s="6"/>
      <c r="E65" s="6"/>
      <c r="F65" s="6" t="s">
        <v>801</v>
      </c>
      <c r="G65" s="6" t="s">
        <v>1837</v>
      </c>
      <c r="H65" s="6" t="s">
        <v>1336</v>
      </c>
      <c r="I65" s="6" t="s">
        <v>1838</v>
      </c>
      <c r="J65" s="6">
        <v>1</v>
      </c>
      <c r="K65" s="6">
        <v>1</v>
      </c>
    </row>
    <row r="66" spans="2:11">
      <c r="B66" s="6" t="s">
        <v>776</v>
      </c>
      <c r="C66" s="6" t="s">
        <v>775</v>
      </c>
      <c r="D66" s="6"/>
      <c r="E66" s="6"/>
      <c r="F66" s="6" t="s">
        <v>970</v>
      </c>
      <c r="G66" s="6" t="s">
        <v>1839</v>
      </c>
      <c r="H66" s="6" t="s">
        <v>824</v>
      </c>
      <c r="I66" s="6" t="s">
        <v>1840</v>
      </c>
      <c r="J66" s="6">
        <v>1</v>
      </c>
      <c r="K66" s="6">
        <v>1</v>
      </c>
    </row>
    <row r="67" spans="2:11">
      <c r="B67" s="6" t="s">
        <v>732</v>
      </c>
      <c r="C67" s="6"/>
      <c r="D67" s="6" t="s">
        <v>789</v>
      </c>
      <c r="E67" s="6" t="s">
        <v>750</v>
      </c>
      <c r="F67" s="6" t="s">
        <v>789</v>
      </c>
      <c r="G67" s="6" t="s">
        <v>1841</v>
      </c>
      <c r="H67" s="6" t="s">
        <v>750</v>
      </c>
      <c r="I67" s="6" t="s">
        <v>1842</v>
      </c>
      <c r="J67" s="6">
        <v>1</v>
      </c>
      <c r="K67" s="6">
        <v>1</v>
      </c>
    </row>
    <row r="68" spans="2:11">
      <c r="B68" s="6" t="s">
        <v>733</v>
      </c>
      <c r="C68" s="6"/>
      <c r="D68" s="6" t="s">
        <v>790</v>
      </c>
      <c r="E68" s="6" t="s">
        <v>751</v>
      </c>
      <c r="F68" s="6" t="s">
        <v>790</v>
      </c>
      <c r="G68" s="6" t="s">
        <v>1843</v>
      </c>
      <c r="H68" s="6" t="s">
        <v>751</v>
      </c>
      <c r="I68" s="6" t="s">
        <v>1844</v>
      </c>
      <c r="J68" s="6">
        <v>1</v>
      </c>
      <c r="K68" s="6">
        <v>1</v>
      </c>
    </row>
    <row r="69" spans="2:11" ht="25.5">
      <c r="B69" s="6" t="s">
        <v>734</v>
      </c>
      <c r="C69" s="6"/>
      <c r="D69" s="6" t="s">
        <v>791</v>
      </c>
      <c r="E69" s="6" t="s">
        <v>752</v>
      </c>
      <c r="F69" s="6" t="s">
        <v>791</v>
      </c>
      <c r="G69" s="6" t="s">
        <v>1845</v>
      </c>
      <c r="H69" s="6" t="s">
        <v>752</v>
      </c>
      <c r="I69" s="6" t="s">
        <v>1846</v>
      </c>
      <c r="J69" s="6">
        <v>1</v>
      </c>
      <c r="K69" s="6">
        <v>1</v>
      </c>
    </row>
    <row r="70" spans="2:11">
      <c r="B70" s="6" t="s">
        <v>735</v>
      </c>
      <c r="C70" s="6"/>
      <c r="D70" s="6" t="s">
        <v>792</v>
      </c>
      <c r="E70" s="6" t="s">
        <v>753</v>
      </c>
      <c r="F70" s="6" t="s">
        <v>792</v>
      </c>
      <c r="G70" s="6" t="s">
        <v>1869</v>
      </c>
      <c r="H70" s="6" t="s">
        <v>753</v>
      </c>
      <c r="I70" s="6" t="s">
        <v>1870</v>
      </c>
      <c r="J70" s="6">
        <v>1</v>
      </c>
      <c r="K70" s="6">
        <v>1</v>
      </c>
    </row>
    <row r="71" spans="2:11" ht="51">
      <c r="B71" s="6" t="s">
        <v>736</v>
      </c>
      <c r="C71" s="6" t="s">
        <v>896</v>
      </c>
      <c r="D71" s="6" t="s">
        <v>1251</v>
      </c>
      <c r="E71" s="6" t="s">
        <v>1250</v>
      </c>
      <c r="F71" s="6" t="s">
        <v>1251</v>
      </c>
      <c r="G71" s="6" t="s">
        <v>1252</v>
      </c>
      <c r="H71" s="6" t="s">
        <v>1250</v>
      </c>
      <c r="I71" s="6" t="s">
        <v>1253</v>
      </c>
      <c r="J71" s="6">
        <v>1</v>
      </c>
      <c r="K71" s="6">
        <v>1</v>
      </c>
    </row>
    <row r="72" spans="2:11">
      <c r="B72" s="6" t="s">
        <v>844</v>
      </c>
      <c r="C72" s="6"/>
      <c r="D72" s="6" t="s">
        <v>761</v>
      </c>
      <c r="E72" s="6" t="s">
        <v>754</v>
      </c>
      <c r="F72" s="6" t="s">
        <v>971</v>
      </c>
      <c r="G72" s="6" t="s">
        <v>1867</v>
      </c>
      <c r="H72" s="6" t="s">
        <v>845</v>
      </c>
      <c r="I72" s="6" t="s">
        <v>1868</v>
      </c>
      <c r="J72" s="6">
        <v>1</v>
      </c>
      <c r="K72" s="6">
        <v>1</v>
      </c>
    </row>
    <row r="73" spans="2:11">
      <c r="B73" s="6" t="s">
        <v>2361</v>
      </c>
      <c r="C73" s="6"/>
      <c r="D73" s="6" t="s">
        <v>793</v>
      </c>
      <c r="E73" s="6" t="s">
        <v>755</v>
      </c>
      <c r="F73" s="6" t="s">
        <v>793</v>
      </c>
      <c r="G73" s="6" t="s">
        <v>1865</v>
      </c>
      <c r="H73" s="6" t="s">
        <v>755</v>
      </c>
      <c r="I73" s="6" t="s">
        <v>1866</v>
      </c>
      <c r="J73" s="6">
        <v>1</v>
      </c>
      <c r="K73" s="6">
        <v>1</v>
      </c>
    </row>
    <row r="74" spans="2:11">
      <c r="B74" s="6" t="s">
        <v>2362</v>
      </c>
      <c r="C74" s="6"/>
      <c r="D74" s="6" t="s">
        <v>166</v>
      </c>
      <c r="E74" s="6" t="s">
        <v>85</v>
      </c>
      <c r="F74" s="6" t="s">
        <v>166</v>
      </c>
      <c r="G74" s="6" t="s">
        <v>1863</v>
      </c>
      <c r="H74" s="6" t="s">
        <v>85</v>
      </c>
      <c r="I74" s="6" t="s">
        <v>1864</v>
      </c>
      <c r="J74" s="6">
        <v>1</v>
      </c>
      <c r="K74" s="6">
        <v>1</v>
      </c>
    </row>
    <row r="75" spans="2:11">
      <c r="B75" s="6" t="s">
        <v>2363</v>
      </c>
      <c r="C75" s="6"/>
      <c r="D75" s="6" t="s">
        <v>794</v>
      </c>
      <c r="E75" s="6" t="s">
        <v>86</v>
      </c>
      <c r="F75" s="6" t="s">
        <v>208</v>
      </c>
      <c r="G75" s="6" t="s">
        <v>1861</v>
      </c>
      <c r="H75" s="6" t="s">
        <v>86</v>
      </c>
      <c r="I75" s="6" t="s">
        <v>1862</v>
      </c>
      <c r="J75" s="6">
        <v>1</v>
      </c>
      <c r="K75" s="6">
        <v>1</v>
      </c>
    </row>
    <row r="76" spans="2:11" ht="25.5">
      <c r="B76" s="6" t="s">
        <v>2364</v>
      </c>
      <c r="C76" s="6"/>
      <c r="D76" s="6" t="s">
        <v>795</v>
      </c>
      <c r="E76" s="6" t="s">
        <v>756</v>
      </c>
      <c r="F76" s="6" t="s">
        <v>972</v>
      </c>
      <c r="G76" s="6" t="s">
        <v>1859</v>
      </c>
      <c r="H76" s="6" t="s">
        <v>756</v>
      </c>
      <c r="I76" s="6" t="s">
        <v>1860</v>
      </c>
      <c r="J76" s="6">
        <v>1</v>
      </c>
      <c r="K76" s="6">
        <v>1</v>
      </c>
    </row>
    <row r="77" spans="2:11" ht="25.5">
      <c r="B77" s="6" t="s">
        <v>2365</v>
      </c>
      <c r="C77" s="6"/>
      <c r="D77" s="6" t="s">
        <v>796</v>
      </c>
      <c r="E77" s="6" t="s">
        <v>757</v>
      </c>
      <c r="F77" s="6" t="s">
        <v>973</v>
      </c>
      <c r="G77" s="6" t="s">
        <v>1857</v>
      </c>
      <c r="H77" s="6" t="s">
        <v>757</v>
      </c>
      <c r="I77" s="6" t="s">
        <v>1858</v>
      </c>
      <c r="J77" s="6">
        <v>1</v>
      </c>
      <c r="K77" s="6">
        <v>1</v>
      </c>
    </row>
    <row r="78" spans="2:11" ht="25.5">
      <c r="B78" s="6" t="s">
        <v>2366</v>
      </c>
      <c r="C78" s="6"/>
      <c r="D78" s="6" t="s">
        <v>760</v>
      </c>
      <c r="E78" s="6" t="s">
        <v>758</v>
      </c>
      <c r="F78" s="6" t="s">
        <v>974</v>
      </c>
      <c r="G78" s="6" t="s">
        <v>1855</v>
      </c>
      <c r="H78" s="6" t="s">
        <v>758</v>
      </c>
      <c r="I78" s="6" t="s">
        <v>1856</v>
      </c>
      <c r="J78" s="6">
        <v>1</v>
      </c>
      <c r="K78" s="6">
        <v>1</v>
      </c>
    </row>
    <row r="79" spans="2:11" ht="38.25">
      <c r="B79" s="6" t="s">
        <v>2367</v>
      </c>
      <c r="C79" s="6"/>
      <c r="D79" s="6" t="s">
        <v>203</v>
      </c>
      <c r="E79" s="6" t="s">
        <v>206</v>
      </c>
      <c r="F79" s="6" t="s">
        <v>207</v>
      </c>
      <c r="G79" s="6" t="s">
        <v>1853</v>
      </c>
      <c r="H79" s="6" t="s">
        <v>709</v>
      </c>
      <c r="I79" s="6" t="s">
        <v>1854</v>
      </c>
      <c r="J79" s="6">
        <v>1</v>
      </c>
      <c r="K79" s="6">
        <v>1</v>
      </c>
    </row>
    <row r="80" spans="2:11">
      <c r="B80" s="6" t="s">
        <v>2368</v>
      </c>
      <c r="C80" s="6"/>
      <c r="D80" s="6" t="s">
        <v>2062</v>
      </c>
      <c r="E80" s="6" t="s">
        <v>2063</v>
      </c>
      <c r="F80" s="6" t="s">
        <v>2062</v>
      </c>
      <c r="G80" s="6" t="s">
        <v>2066</v>
      </c>
      <c r="H80" s="6" t="s">
        <v>2063</v>
      </c>
      <c r="I80" s="6" t="s">
        <v>2068</v>
      </c>
      <c r="J80" s="6">
        <v>1</v>
      </c>
      <c r="K80" s="6">
        <v>1</v>
      </c>
    </row>
    <row r="81" spans="2:13">
      <c r="B81" s="6" t="s">
        <v>2369</v>
      </c>
      <c r="C81" s="6"/>
      <c r="D81" s="6" t="s">
        <v>2064</v>
      </c>
      <c r="E81" s="6" t="s">
        <v>2065</v>
      </c>
      <c r="F81" s="6" t="s">
        <v>2064</v>
      </c>
      <c r="G81" s="6" t="s">
        <v>2067</v>
      </c>
      <c r="H81" s="6" t="s">
        <v>2065</v>
      </c>
      <c r="I81" s="6" t="s">
        <v>2069</v>
      </c>
      <c r="J81" s="6">
        <v>1</v>
      </c>
      <c r="K81" s="6">
        <v>1</v>
      </c>
    </row>
    <row r="82" spans="2:13" ht="25.5">
      <c r="B82" s="6" t="s">
        <v>2370</v>
      </c>
      <c r="C82" s="6"/>
      <c r="D82" s="6" t="s">
        <v>204</v>
      </c>
      <c r="E82" s="6" t="s">
        <v>204</v>
      </c>
      <c r="F82" s="6" t="s">
        <v>204</v>
      </c>
      <c r="G82" s="6" t="s">
        <v>975</v>
      </c>
      <c r="H82" s="6" t="s">
        <v>204</v>
      </c>
      <c r="I82" s="6" t="s">
        <v>846</v>
      </c>
      <c r="J82" s="6">
        <v>1</v>
      </c>
      <c r="K82" s="6">
        <v>1</v>
      </c>
    </row>
    <row r="83" spans="2:13">
      <c r="B83" s="270" t="s">
        <v>815</v>
      </c>
      <c r="C83" s="6"/>
      <c r="D83" s="6" t="s">
        <v>1377</v>
      </c>
      <c r="E83" s="6" t="s">
        <v>56</v>
      </c>
      <c r="F83" s="6"/>
      <c r="G83" s="6"/>
      <c r="H83" s="6"/>
      <c r="I83" s="6"/>
      <c r="J83" s="6">
        <v>1</v>
      </c>
      <c r="K83" s="6">
        <v>1</v>
      </c>
      <c r="M83" s="470" t="s">
        <v>56</v>
      </c>
    </row>
    <row r="84" spans="2:13">
      <c r="B84" s="6" t="s">
        <v>813</v>
      </c>
      <c r="C84" s="6"/>
      <c r="D84" s="6" t="s">
        <v>597</v>
      </c>
      <c r="E84" s="6" t="s">
        <v>558</v>
      </c>
      <c r="F84" s="6"/>
      <c r="G84" s="6"/>
      <c r="H84" s="6"/>
      <c r="I84" s="6"/>
      <c r="J84" s="6">
        <v>1</v>
      </c>
      <c r="K84" s="6">
        <v>1</v>
      </c>
    </row>
    <row r="85" spans="2:13" ht="25.5">
      <c r="B85" s="6" t="s">
        <v>788</v>
      </c>
      <c r="C85" s="6" t="s">
        <v>1385</v>
      </c>
      <c r="D85" s="6" t="s">
        <v>805</v>
      </c>
      <c r="E85" s="6" t="s">
        <v>806</v>
      </c>
      <c r="F85" s="6" t="s">
        <v>985</v>
      </c>
      <c r="G85" s="6" t="s">
        <v>1851</v>
      </c>
      <c r="H85" s="6" t="s">
        <v>823</v>
      </c>
      <c r="I85" s="6" t="s">
        <v>1852</v>
      </c>
      <c r="J85" s="6">
        <v>1</v>
      </c>
      <c r="K85" s="6">
        <v>1</v>
      </c>
    </row>
    <row r="86" spans="2:13">
      <c r="B86" s="6" t="s">
        <v>807</v>
      </c>
      <c r="C86" s="6"/>
      <c r="D86" s="6" t="s">
        <v>812</v>
      </c>
      <c r="E86" s="6" t="s">
        <v>811</v>
      </c>
      <c r="F86" s="6" t="s">
        <v>986</v>
      </c>
      <c r="G86" s="6" t="s">
        <v>1849</v>
      </c>
      <c r="H86" s="6" t="s">
        <v>821</v>
      </c>
      <c r="I86" s="6" t="s">
        <v>1850</v>
      </c>
      <c r="J86" s="6">
        <v>1</v>
      </c>
      <c r="K86" s="6">
        <v>1</v>
      </c>
    </row>
    <row r="87" spans="2:13">
      <c r="B87" s="6" t="s">
        <v>808</v>
      </c>
      <c r="C87" s="6"/>
      <c r="D87" s="6" t="s">
        <v>809</v>
      </c>
      <c r="E87" s="6" t="s">
        <v>810</v>
      </c>
      <c r="F87" s="6" t="s">
        <v>987</v>
      </c>
      <c r="G87" s="6" t="s">
        <v>1847</v>
      </c>
      <c r="H87" s="6" t="s">
        <v>822</v>
      </c>
      <c r="I87" s="6" t="s">
        <v>1848</v>
      </c>
      <c r="J87" s="6">
        <v>1</v>
      </c>
      <c r="K87" s="6">
        <v>1</v>
      </c>
    </row>
    <row r="88" spans="2:13">
      <c r="B88" s="6" t="s">
        <v>1301</v>
      </c>
      <c r="C88" s="6"/>
      <c r="D88" s="6" t="s">
        <v>675</v>
      </c>
      <c r="E88" s="6" t="s">
        <v>675</v>
      </c>
      <c r="F88" s="6" t="s">
        <v>1325</v>
      </c>
      <c r="G88" s="6"/>
      <c r="H88" s="6" t="s">
        <v>1314</v>
      </c>
      <c r="I88" s="6"/>
      <c r="J88" s="6">
        <v>1</v>
      </c>
      <c r="K88" s="6">
        <v>1</v>
      </c>
    </row>
    <row r="89" spans="2:13">
      <c r="B89" s="6" t="s">
        <v>1302</v>
      </c>
      <c r="C89" s="6"/>
      <c r="D89" s="6" t="s">
        <v>1313</v>
      </c>
      <c r="E89" s="6" t="s">
        <v>98</v>
      </c>
      <c r="F89" s="6" t="s">
        <v>1313</v>
      </c>
      <c r="G89" s="6" t="s">
        <v>1330</v>
      </c>
      <c r="H89" s="6" t="s">
        <v>98</v>
      </c>
      <c r="I89" s="6" t="s">
        <v>1329</v>
      </c>
      <c r="J89" s="6">
        <v>1</v>
      </c>
      <c r="K89" s="6">
        <v>1</v>
      </c>
      <c r="M89" s="470" t="s">
        <v>98</v>
      </c>
    </row>
    <row r="90" spans="2:13" ht="63.75">
      <c r="B90" s="6" t="s">
        <v>1304</v>
      </c>
      <c r="C90" s="6"/>
      <c r="D90" s="6" t="s">
        <v>2464</v>
      </c>
      <c r="E90" s="6" t="s">
        <v>1973</v>
      </c>
      <c r="F90" s="6" t="s">
        <v>2464</v>
      </c>
      <c r="G90" s="6" t="s">
        <v>1354</v>
      </c>
      <c r="H90" s="6" t="s">
        <v>1973</v>
      </c>
      <c r="I90" s="6" t="s">
        <v>1334</v>
      </c>
      <c r="J90" s="6">
        <v>1</v>
      </c>
      <c r="K90" s="6">
        <v>1</v>
      </c>
    </row>
    <row r="91" spans="2:13" ht="38.25">
      <c r="B91" s="6" t="s">
        <v>1305</v>
      </c>
      <c r="C91" s="6"/>
      <c r="D91" s="6" t="s">
        <v>1976</v>
      </c>
      <c r="E91" s="6" t="s">
        <v>1974</v>
      </c>
      <c r="F91" s="6" t="s">
        <v>1976</v>
      </c>
      <c r="G91" s="6" t="s">
        <v>2463</v>
      </c>
      <c r="H91" s="6" t="s">
        <v>1974</v>
      </c>
      <c r="I91" s="6" t="s">
        <v>2460</v>
      </c>
      <c r="J91" s="6">
        <v>1</v>
      </c>
      <c r="K91" s="6">
        <v>1</v>
      </c>
    </row>
    <row r="92" spans="2:13" ht="51">
      <c r="B92" s="6" t="s">
        <v>1306</v>
      </c>
      <c r="C92" s="6"/>
      <c r="D92" s="6" t="s">
        <v>1308</v>
      </c>
      <c r="E92" s="6" t="s">
        <v>1307</v>
      </c>
      <c r="F92" s="6" t="s">
        <v>1308</v>
      </c>
      <c r="G92" s="6" t="s">
        <v>1324</v>
      </c>
      <c r="H92" s="6" t="s">
        <v>1307</v>
      </c>
      <c r="I92" s="6" t="s">
        <v>1326</v>
      </c>
      <c r="J92" s="6">
        <v>1</v>
      </c>
      <c r="K92" s="6">
        <v>1</v>
      </c>
    </row>
    <row r="93" spans="2:13">
      <c r="B93" s="6" t="s">
        <v>1309</v>
      </c>
      <c r="C93" s="6"/>
      <c r="D93" s="6" t="s">
        <v>1303</v>
      </c>
      <c r="E93" s="6" t="s">
        <v>1</v>
      </c>
      <c r="F93" s="6" t="s">
        <v>1303</v>
      </c>
      <c r="G93" s="6" t="s">
        <v>1331</v>
      </c>
      <c r="H93" s="6" t="s">
        <v>1</v>
      </c>
      <c r="I93" s="6" t="s">
        <v>1328</v>
      </c>
      <c r="J93" s="6">
        <v>1</v>
      </c>
      <c r="K93" s="6">
        <v>1</v>
      </c>
      <c r="M93" s="470" t="s">
        <v>1</v>
      </c>
    </row>
    <row r="94" spans="2:13" ht="63.75">
      <c r="B94" s="6" t="s">
        <v>1310</v>
      </c>
      <c r="C94" s="6"/>
      <c r="D94" s="6" t="s">
        <v>2465</v>
      </c>
      <c r="E94" s="6" t="s">
        <v>1975</v>
      </c>
      <c r="F94" s="6" t="s">
        <v>2465</v>
      </c>
      <c r="G94" s="6" t="s">
        <v>1353</v>
      </c>
      <c r="H94" s="6" t="s">
        <v>1975</v>
      </c>
      <c r="I94" s="6" t="s">
        <v>1339</v>
      </c>
      <c r="J94" s="6">
        <v>1</v>
      </c>
      <c r="K94" s="6">
        <v>1</v>
      </c>
    </row>
    <row r="95" spans="2:13" ht="38.25">
      <c r="B95" s="6" t="s">
        <v>1311</v>
      </c>
      <c r="C95" s="6"/>
      <c r="D95" s="6" t="s">
        <v>1976</v>
      </c>
      <c r="E95" s="6" t="s">
        <v>1974</v>
      </c>
      <c r="F95" s="6" t="s">
        <v>1976</v>
      </c>
      <c r="G95" s="6" t="s">
        <v>2462</v>
      </c>
      <c r="H95" s="6" t="s">
        <v>1974</v>
      </c>
      <c r="I95" s="6" t="s">
        <v>2461</v>
      </c>
      <c r="J95" s="6">
        <v>1</v>
      </c>
      <c r="K95" s="6">
        <v>1</v>
      </c>
    </row>
    <row r="96" spans="2:13" ht="51">
      <c r="B96" s="6" t="s">
        <v>1312</v>
      </c>
      <c r="C96" s="6"/>
      <c r="D96" s="6" t="s">
        <v>1308</v>
      </c>
      <c r="E96" s="6" t="s">
        <v>1307</v>
      </c>
      <c r="F96" s="6" t="s">
        <v>1308</v>
      </c>
      <c r="G96" s="6" t="s">
        <v>1323</v>
      </c>
      <c r="H96" s="6" t="s">
        <v>1307</v>
      </c>
      <c r="I96" s="6" t="s">
        <v>1327</v>
      </c>
      <c r="J96" s="6">
        <v>1</v>
      </c>
      <c r="K96" s="6">
        <v>1</v>
      </c>
    </row>
    <row r="97" spans="2:13">
      <c r="B97" s="6" t="s">
        <v>1315</v>
      </c>
      <c r="C97" s="6"/>
      <c r="D97" s="6" t="s">
        <v>1321</v>
      </c>
      <c r="E97" s="6" t="s">
        <v>13</v>
      </c>
      <c r="F97" s="6" t="s">
        <v>1321</v>
      </c>
      <c r="G97" s="6" t="s">
        <v>1333</v>
      </c>
      <c r="H97" s="6" t="s">
        <v>13</v>
      </c>
      <c r="I97" s="6" t="s">
        <v>1332</v>
      </c>
      <c r="J97" s="6">
        <v>1</v>
      </c>
      <c r="K97" s="6">
        <v>1</v>
      </c>
    </row>
    <row r="98" spans="2:13" ht="76.5">
      <c r="B98" s="6" t="s">
        <v>1316</v>
      </c>
      <c r="C98" s="6"/>
      <c r="D98" s="6" t="s">
        <v>1351</v>
      </c>
      <c r="E98" s="6" t="s">
        <v>1352</v>
      </c>
      <c r="F98" s="6" t="s">
        <v>1351</v>
      </c>
      <c r="G98" s="6" t="s">
        <v>1984</v>
      </c>
      <c r="H98" s="6" t="s">
        <v>1352</v>
      </c>
      <c r="I98" s="6" t="s">
        <v>1977</v>
      </c>
      <c r="J98" s="6">
        <v>1</v>
      </c>
      <c r="K98" s="6">
        <v>1</v>
      </c>
    </row>
    <row r="99" spans="2:13" ht="51">
      <c r="B99" s="6" t="s">
        <v>1317</v>
      </c>
      <c r="C99" s="6"/>
      <c r="D99" s="6" t="s">
        <v>1355</v>
      </c>
      <c r="E99" s="6" t="s">
        <v>1322</v>
      </c>
      <c r="F99" s="6" t="s">
        <v>1355</v>
      </c>
      <c r="G99" s="6" t="s">
        <v>1981</v>
      </c>
      <c r="H99" s="6" t="s">
        <v>1322</v>
      </c>
      <c r="I99" s="6" t="s">
        <v>1978</v>
      </c>
      <c r="J99" s="6">
        <v>1</v>
      </c>
      <c r="K99" s="6">
        <v>1</v>
      </c>
    </row>
    <row r="100" spans="2:13">
      <c r="B100" s="6" t="s">
        <v>1318</v>
      </c>
      <c r="C100" s="6"/>
      <c r="D100" s="6" t="s">
        <v>209</v>
      </c>
      <c r="E100" s="6" t="s">
        <v>14</v>
      </c>
      <c r="F100" s="6"/>
      <c r="G100" s="6"/>
      <c r="H100" s="6"/>
      <c r="I100" s="6"/>
      <c r="J100" s="6">
        <v>1</v>
      </c>
      <c r="K100" s="6">
        <v>1</v>
      </c>
    </row>
    <row r="101" spans="2:13" ht="76.5">
      <c r="B101" s="6" t="s">
        <v>1319</v>
      </c>
      <c r="C101" s="6"/>
      <c r="D101" s="6" t="s">
        <v>1351</v>
      </c>
      <c r="E101" s="6" t="s">
        <v>1352</v>
      </c>
      <c r="F101" s="6" t="s">
        <v>1351</v>
      </c>
      <c r="G101" s="6" t="s">
        <v>1983</v>
      </c>
      <c r="H101" s="6" t="s">
        <v>1352</v>
      </c>
      <c r="I101" s="6" t="s">
        <v>1979</v>
      </c>
      <c r="J101" s="6">
        <v>1</v>
      </c>
      <c r="K101" s="6">
        <v>1</v>
      </c>
    </row>
    <row r="102" spans="2:13" ht="51">
      <c r="B102" s="6" t="s">
        <v>1320</v>
      </c>
      <c r="C102" s="6"/>
      <c r="D102" s="6" t="s">
        <v>1355</v>
      </c>
      <c r="E102" s="6" t="s">
        <v>1322</v>
      </c>
      <c r="F102" s="6" t="s">
        <v>1355</v>
      </c>
      <c r="G102" s="6" t="s">
        <v>1982</v>
      </c>
      <c r="H102" s="6" t="s">
        <v>1322</v>
      </c>
      <c r="I102" s="6" t="s">
        <v>1980</v>
      </c>
      <c r="J102" s="6">
        <v>1</v>
      </c>
      <c r="K102" s="6">
        <v>1</v>
      </c>
    </row>
    <row r="103" spans="2:13">
      <c r="B103" s="6" t="s">
        <v>1425</v>
      </c>
      <c r="C103" s="6"/>
      <c r="D103" s="6"/>
      <c r="E103" s="6"/>
      <c r="F103" s="6"/>
      <c r="G103" s="6"/>
      <c r="H103" s="6"/>
      <c r="I103" s="6"/>
      <c r="J103" s="6">
        <v>0</v>
      </c>
      <c r="K103" s="6">
        <v>0</v>
      </c>
    </row>
    <row r="104" spans="2:13" ht="89.25">
      <c r="B104" s="873" t="s">
        <v>2457</v>
      </c>
      <c r="C104" s="873"/>
      <c r="D104" s="873" t="s">
        <v>2468</v>
      </c>
      <c r="E104" s="873" t="s">
        <v>2459</v>
      </c>
      <c r="F104" s="873" t="s">
        <v>2467</v>
      </c>
      <c r="G104" s="873" t="s">
        <v>2469</v>
      </c>
      <c r="H104" s="873" t="s">
        <v>2458</v>
      </c>
      <c r="I104" s="873" t="s">
        <v>2466</v>
      </c>
      <c r="J104" s="873">
        <v>1</v>
      </c>
      <c r="K104" s="873">
        <v>1</v>
      </c>
    </row>
    <row r="105" spans="2:13">
      <c r="B105" s="6" t="s">
        <v>1418</v>
      </c>
      <c r="C105" s="6"/>
      <c r="D105" s="6" t="s">
        <v>1419</v>
      </c>
      <c r="E105" s="6" t="s">
        <v>1419</v>
      </c>
      <c r="F105" s="6"/>
      <c r="G105" s="6"/>
      <c r="H105" s="6"/>
      <c r="I105" s="6"/>
      <c r="J105" s="6">
        <v>1</v>
      </c>
      <c r="K105" s="6">
        <v>1</v>
      </c>
      <c r="M105" s="470" t="s">
        <v>1419</v>
      </c>
    </row>
    <row r="106" spans="2:13" ht="38.25">
      <c r="B106" s="6" t="s">
        <v>1420</v>
      </c>
      <c r="C106" s="6"/>
      <c r="D106" s="6" t="s">
        <v>1423</v>
      </c>
      <c r="E106" s="6" t="s">
        <v>1422</v>
      </c>
      <c r="F106" s="6" t="s">
        <v>1423</v>
      </c>
      <c r="G106" s="6" t="s">
        <v>2340</v>
      </c>
      <c r="H106" s="6" t="s">
        <v>1422</v>
      </c>
      <c r="I106" s="6" t="s">
        <v>2336</v>
      </c>
      <c r="J106" s="6">
        <v>1</v>
      </c>
      <c r="K106" s="6">
        <v>1</v>
      </c>
    </row>
    <row r="107" spans="2:13" ht="25.5">
      <c r="B107" s="6" t="s">
        <v>1421</v>
      </c>
      <c r="C107" s="6"/>
      <c r="D107" s="6" t="s">
        <v>2338</v>
      </c>
      <c r="E107" s="6" t="s">
        <v>2337</v>
      </c>
      <c r="F107" s="6" t="s">
        <v>2338</v>
      </c>
      <c r="G107" s="6" t="s">
        <v>2341</v>
      </c>
      <c r="H107" s="6" t="s">
        <v>2337</v>
      </c>
      <c r="I107" s="6" t="s">
        <v>2339</v>
      </c>
      <c r="J107" s="6">
        <v>1</v>
      </c>
      <c r="K107" s="6">
        <v>1</v>
      </c>
    </row>
    <row r="108" spans="2:13">
      <c r="B108" s="6" t="s">
        <v>2254</v>
      </c>
      <c r="C108" s="6"/>
      <c r="D108" s="6" t="s">
        <v>2136</v>
      </c>
      <c r="E108" s="6" t="s">
        <v>202</v>
      </c>
      <c r="F108" s="6"/>
      <c r="G108" s="6"/>
      <c r="H108" s="6"/>
      <c r="I108" s="6"/>
      <c r="J108" s="6">
        <v>1</v>
      </c>
      <c r="K108" s="6">
        <v>1</v>
      </c>
      <c r="M108" s="470" t="s">
        <v>202</v>
      </c>
    </row>
    <row r="109" spans="2:13">
      <c r="B109" s="6" t="s">
        <v>3230</v>
      </c>
      <c r="C109" s="6" t="s">
        <v>3232</v>
      </c>
      <c r="D109" s="6" t="s">
        <v>2089</v>
      </c>
      <c r="E109" s="6" t="s">
        <v>1815</v>
      </c>
      <c r="F109" s="6" t="s">
        <v>2089</v>
      </c>
      <c r="G109" s="6"/>
      <c r="H109" s="6" t="s">
        <v>1815</v>
      </c>
      <c r="I109" s="6"/>
      <c r="J109" s="6">
        <v>1</v>
      </c>
      <c r="K109" s="6">
        <v>1</v>
      </c>
    </row>
    <row r="110" spans="2:13">
      <c r="B110" s="6" t="s">
        <v>2282</v>
      </c>
      <c r="C110" s="6"/>
      <c r="D110" s="6" t="s">
        <v>2265</v>
      </c>
      <c r="E110" s="6" t="s">
        <v>2284</v>
      </c>
      <c r="F110" s="6"/>
      <c r="G110" s="6"/>
      <c r="H110" s="6"/>
      <c r="I110" s="6"/>
      <c r="J110" s="6">
        <v>1</v>
      </c>
      <c r="K110" s="6">
        <v>1</v>
      </c>
      <c r="M110" s="470" t="s">
        <v>2377</v>
      </c>
    </row>
    <row r="111" spans="2:13">
      <c r="B111" s="6" t="s">
        <v>2289</v>
      </c>
      <c r="C111" s="6"/>
      <c r="D111" s="6" t="s">
        <v>2357</v>
      </c>
      <c r="E111" s="6" t="s">
        <v>2355</v>
      </c>
      <c r="F111" s="6" t="s">
        <v>2357</v>
      </c>
      <c r="G111" s="6"/>
      <c r="H111" s="6" t="s">
        <v>2355</v>
      </c>
      <c r="I111" s="6"/>
      <c r="J111" s="6">
        <v>1</v>
      </c>
      <c r="K111" s="6">
        <v>1</v>
      </c>
    </row>
    <row r="112" spans="2:13">
      <c r="B112" s="6" t="s">
        <v>2335</v>
      </c>
      <c r="C112" s="6"/>
      <c r="D112" s="6" t="s">
        <v>2358</v>
      </c>
      <c r="E112" s="6" t="s">
        <v>2356</v>
      </c>
      <c r="F112" s="6" t="s">
        <v>2358</v>
      </c>
      <c r="G112" s="6"/>
      <c r="H112" s="6" t="s">
        <v>2356</v>
      </c>
      <c r="I112" s="6"/>
      <c r="J112" s="6">
        <v>1</v>
      </c>
      <c r="K112" s="6">
        <v>1</v>
      </c>
    </row>
    <row r="113" spans="2:13">
      <c r="B113" s="6" t="s">
        <v>2371</v>
      </c>
      <c r="C113" s="6"/>
      <c r="D113" s="6" t="s">
        <v>761</v>
      </c>
      <c r="E113" s="6" t="s">
        <v>754</v>
      </c>
      <c r="F113" s="6" t="s">
        <v>761</v>
      </c>
      <c r="G113" s="6"/>
      <c r="H113" s="6" t="s">
        <v>754</v>
      </c>
      <c r="I113" s="6"/>
      <c r="J113" s="6">
        <v>1</v>
      </c>
      <c r="K113" s="6">
        <v>1</v>
      </c>
    </row>
    <row r="114" spans="2:13">
      <c r="B114" s="6" t="s">
        <v>2372</v>
      </c>
      <c r="C114" s="6"/>
      <c r="D114" s="6" t="s">
        <v>1396</v>
      </c>
      <c r="E114" s="6" t="s">
        <v>2301</v>
      </c>
      <c r="F114" s="6"/>
      <c r="G114" s="6"/>
      <c r="H114" s="6"/>
      <c r="I114" s="6"/>
      <c r="J114" s="6">
        <v>1</v>
      </c>
      <c r="K114" s="6">
        <v>1</v>
      </c>
    </row>
    <row r="115" spans="2:13">
      <c r="B115" s="6" t="s">
        <v>2373</v>
      </c>
      <c r="C115" s="6"/>
      <c r="D115" s="6" t="s">
        <v>2311</v>
      </c>
      <c r="E115" s="6" t="s">
        <v>2305</v>
      </c>
      <c r="F115" s="6"/>
      <c r="G115" s="6"/>
      <c r="H115" s="6"/>
      <c r="I115" s="6"/>
      <c r="J115" s="6">
        <v>1</v>
      </c>
      <c r="K115" s="6">
        <v>1</v>
      </c>
    </row>
    <row r="116" spans="2:13">
      <c r="B116" s="6" t="s">
        <v>2374</v>
      </c>
      <c r="C116" s="6"/>
      <c r="D116" s="6" t="s">
        <v>2300</v>
      </c>
      <c r="E116" s="6" t="s">
        <v>2300</v>
      </c>
      <c r="F116" s="6"/>
      <c r="G116" s="6"/>
      <c r="H116" s="6"/>
      <c r="I116" s="6"/>
      <c r="J116" s="6">
        <v>1</v>
      </c>
      <c r="K116" s="6">
        <v>1</v>
      </c>
    </row>
    <row r="117" spans="2:13">
      <c r="B117" s="6" t="s">
        <v>2375</v>
      </c>
      <c r="C117" s="6"/>
      <c r="D117" s="6" t="s">
        <v>2312</v>
      </c>
      <c r="E117" s="6" t="s">
        <v>2306</v>
      </c>
      <c r="F117" s="6"/>
      <c r="G117" s="6"/>
      <c r="H117" s="6"/>
      <c r="I117" s="6"/>
      <c r="J117" s="6">
        <v>1</v>
      </c>
      <c r="K117" s="6">
        <v>1</v>
      </c>
    </row>
    <row r="118" spans="2:13">
      <c r="B118" s="6" t="s">
        <v>2376</v>
      </c>
      <c r="C118" s="6"/>
      <c r="D118" s="6" t="s">
        <v>2313</v>
      </c>
      <c r="E118" s="6" t="s">
        <v>2307</v>
      </c>
      <c r="F118" s="6"/>
      <c r="G118" s="6"/>
      <c r="H118" s="6"/>
      <c r="I118" s="6"/>
      <c r="J118" s="6">
        <v>1</v>
      </c>
      <c r="K118" s="6">
        <v>1</v>
      </c>
    </row>
    <row r="119" spans="2:13">
      <c r="B119" s="6" t="s">
        <v>2283</v>
      </c>
      <c r="C119" s="6"/>
      <c r="D119" s="6" t="s">
        <v>2287</v>
      </c>
      <c r="E119" s="6" t="s">
        <v>2285</v>
      </c>
      <c r="F119" s="6"/>
      <c r="G119" s="6"/>
      <c r="H119" s="6"/>
      <c r="I119" s="6"/>
      <c r="J119" s="6">
        <v>1</v>
      </c>
      <c r="K119" s="6">
        <v>1</v>
      </c>
      <c r="M119" s="470" t="s">
        <v>3231</v>
      </c>
    </row>
    <row r="120" spans="2:13" ht="25.5">
      <c r="B120" s="6" t="s">
        <v>2290</v>
      </c>
      <c r="C120" s="6"/>
      <c r="D120" s="6" t="s">
        <v>2291</v>
      </c>
      <c r="E120" s="6" t="s">
        <v>2292</v>
      </c>
      <c r="F120" s="6" t="s">
        <v>2291</v>
      </c>
      <c r="G120" s="6"/>
      <c r="H120" s="6" t="s">
        <v>2292</v>
      </c>
      <c r="I120" s="6"/>
      <c r="J120" s="6">
        <v>1</v>
      </c>
      <c r="K120" s="6">
        <v>1</v>
      </c>
    </row>
    <row r="121" spans="2:13">
      <c r="B121" s="270" t="s">
        <v>799</v>
      </c>
      <c r="C121" s="6"/>
      <c r="D121" s="6"/>
      <c r="E121" s="6"/>
      <c r="F121" s="6"/>
      <c r="G121" s="6"/>
      <c r="H121" s="6"/>
      <c r="I121" s="6"/>
      <c r="J121" s="6">
        <v>0</v>
      </c>
      <c r="K121" s="6">
        <v>0</v>
      </c>
      <c r="M121" s="470" t="s">
        <v>1898</v>
      </c>
    </row>
    <row r="122" spans="2:13" ht="25.5">
      <c r="B122" s="6" t="s">
        <v>1060</v>
      </c>
      <c r="C122" s="6"/>
      <c r="D122" s="6" t="s">
        <v>1061</v>
      </c>
      <c r="E122" s="6" t="s">
        <v>1062</v>
      </c>
      <c r="F122" s="6" t="s">
        <v>1061</v>
      </c>
      <c r="G122" s="6"/>
      <c r="H122" s="6" t="s">
        <v>1062</v>
      </c>
      <c r="I122" s="6"/>
      <c r="J122" s="6">
        <v>0</v>
      </c>
      <c r="K122" s="6">
        <v>0</v>
      </c>
    </row>
    <row r="123" spans="2:13">
      <c r="B123" s="6" t="s">
        <v>919</v>
      </c>
      <c r="C123" s="6"/>
      <c r="D123" s="6" t="s">
        <v>164</v>
      </c>
      <c r="E123" s="6" t="s">
        <v>765</v>
      </c>
      <c r="F123" s="6" t="s">
        <v>164</v>
      </c>
      <c r="G123" s="6"/>
      <c r="H123" s="6" t="s">
        <v>765</v>
      </c>
      <c r="I123" s="6"/>
      <c r="J123" s="6">
        <v>0</v>
      </c>
      <c r="K123" s="6">
        <v>0</v>
      </c>
    </row>
    <row r="124" spans="2:13">
      <c r="B124" s="6" t="s">
        <v>921</v>
      </c>
      <c r="C124" s="6" t="s">
        <v>781</v>
      </c>
      <c r="D124" s="6" t="s">
        <v>923</v>
      </c>
      <c r="E124" s="6" t="s">
        <v>924</v>
      </c>
      <c r="F124" s="6"/>
      <c r="G124" s="6"/>
      <c r="H124" s="6"/>
      <c r="I124" s="6"/>
      <c r="J124" s="6">
        <v>0</v>
      </c>
      <c r="K124" s="6">
        <v>0</v>
      </c>
    </row>
    <row r="125" spans="2:13" ht="25.5">
      <c r="B125" s="6" t="s">
        <v>922</v>
      </c>
      <c r="C125" s="6"/>
      <c r="D125" s="6" t="s">
        <v>925</v>
      </c>
      <c r="E125" s="6" t="s">
        <v>926</v>
      </c>
      <c r="F125" s="6"/>
      <c r="G125" s="6"/>
      <c r="H125" s="6"/>
      <c r="I125" s="6"/>
      <c r="J125" s="6">
        <v>0</v>
      </c>
      <c r="K125" s="6">
        <v>0</v>
      </c>
    </row>
    <row r="126" spans="2:13">
      <c r="B126" s="6" t="s">
        <v>920</v>
      </c>
      <c r="C126" s="6"/>
      <c r="D126" s="6" t="s">
        <v>938</v>
      </c>
      <c r="E126" s="6" t="s">
        <v>937</v>
      </c>
      <c r="F126" s="6" t="s">
        <v>911</v>
      </c>
      <c r="G126" s="6"/>
      <c r="H126" s="6" t="s">
        <v>910</v>
      </c>
      <c r="I126" s="6"/>
      <c r="J126" s="6">
        <v>0</v>
      </c>
      <c r="K126" s="6">
        <v>0</v>
      </c>
    </row>
    <row r="127" spans="2:13">
      <c r="B127" s="6" t="s">
        <v>927</v>
      </c>
      <c r="C127" s="6"/>
      <c r="D127" s="6" t="s">
        <v>34</v>
      </c>
      <c r="E127" s="6" t="s">
        <v>34</v>
      </c>
      <c r="F127" s="6" t="s">
        <v>34</v>
      </c>
      <c r="G127" s="6"/>
      <c r="H127" s="6" t="s">
        <v>34</v>
      </c>
      <c r="I127" s="6"/>
      <c r="J127" s="6">
        <v>0</v>
      </c>
      <c r="K127" s="6">
        <v>0</v>
      </c>
    </row>
    <row r="128" spans="2:13">
      <c r="B128" s="6" t="s">
        <v>928</v>
      </c>
      <c r="C128" s="6" t="s">
        <v>782</v>
      </c>
      <c r="D128" s="6" t="s">
        <v>923</v>
      </c>
      <c r="E128" s="6" t="s">
        <v>924</v>
      </c>
      <c r="F128" s="6"/>
      <c r="G128" s="6"/>
      <c r="H128" s="6"/>
      <c r="I128" s="6"/>
      <c r="J128" s="6">
        <v>0</v>
      </c>
      <c r="K128" s="6">
        <v>0</v>
      </c>
    </row>
    <row r="129" spans="2:13">
      <c r="B129" s="6" t="s">
        <v>935</v>
      </c>
      <c r="C129" s="6"/>
      <c r="D129" s="6" t="s">
        <v>939</v>
      </c>
      <c r="E129" s="6" t="s">
        <v>936</v>
      </c>
      <c r="F129" s="6" t="s">
        <v>939</v>
      </c>
      <c r="G129" s="6"/>
      <c r="H129" s="6" t="s">
        <v>936</v>
      </c>
      <c r="I129" s="6"/>
      <c r="J129" s="6">
        <v>0</v>
      </c>
      <c r="K129" s="6">
        <v>0</v>
      </c>
    </row>
    <row r="130" spans="2:13" ht="25.5">
      <c r="B130" s="6" t="s">
        <v>929</v>
      </c>
      <c r="C130" s="6"/>
      <c r="D130" s="6" t="s">
        <v>925</v>
      </c>
      <c r="E130" s="6" t="s">
        <v>926</v>
      </c>
      <c r="F130" s="6"/>
      <c r="G130" s="6"/>
      <c r="H130" s="6"/>
      <c r="I130" s="6"/>
      <c r="J130" s="6">
        <v>0</v>
      </c>
      <c r="K130" s="6">
        <v>0</v>
      </c>
    </row>
    <row r="131" spans="2:13">
      <c r="B131" s="6" t="s">
        <v>930</v>
      </c>
      <c r="C131" s="6"/>
      <c r="D131" s="6" t="s">
        <v>938</v>
      </c>
      <c r="E131" s="6" t="s">
        <v>937</v>
      </c>
      <c r="F131" s="6" t="s">
        <v>911</v>
      </c>
      <c r="G131" s="6"/>
      <c r="H131" s="6" t="s">
        <v>910</v>
      </c>
      <c r="I131" s="6"/>
      <c r="J131" s="6">
        <v>0</v>
      </c>
      <c r="K131" s="6">
        <v>0</v>
      </c>
    </row>
    <row r="132" spans="2:13">
      <c r="B132" s="6" t="s">
        <v>931</v>
      </c>
      <c r="C132" s="6"/>
      <c r="D132" s="6" t="s">
        <v>624</v>
      </c>
      <c r="E132" s="6" t="s">
        <v>23</v>
      </c>
      <c r="F132" s="6" t="s">
        <v>624</v>
      </c>
      <c r="G132" s="6"/>
      <c r="H132" s="6" t="s">
        <v>23</v>
      </c>
      <c r="I132" s="6"/>
      <c r="J132" s="6">
        <v>0</v>
      </c>
      <c r="K132" s="6">
        <v>0</v>
      </c>
    </row>
    <row r="133" spans="2:13">
      <c r="B133" s="6" t="s">
        <v>932</v>
      </c>
      <c r="C133" s="6" t="s">
        <v>783</v>
      </c>
      <c r="D133" s="6" t="s">
        <v>923</v>
      </c>
      <c r="E133" s="6" t="s">
        <v>924</v>
      </c>
      <c r="F133" s="6"/>
      <c r="G133" s="6"/>
      <c r="H133" s="6"/>
      <c r="I133" s="6"/>
      <c r="J133" s="6">
        <v>0</v>
      </c>
      <c r="K133" s="6">
        <v>0</v>
      </c>
    </row>
    <row r="134" spans="2:13" ht="25.5">
      <c r="B134" s="6" t="s">
        <v>933</v>
      </c>
      <c r="C134" s="6"/>
      <c r="D134" s="6" t="s">
        <v>925</v>
      </c>
      <c r="E134" s="6" t="s">
        <v>926</v>
      </c>
      <c r="F134" s="6"/>
      <c r="G134" s="6"/>
      <c r="H134" s="6"/>
      <c r="I134" s="6"/>
      <c r="J134" s="6">
        <v>0</v>
      </c>
      <c r="K134" s="6">
        <v>0</v>
      </c>
    </row>
    <row r="135" spans="2:13">
      <c r="B135" s="6" t="s">
        <v>934</v>
      </c>
      <c r="C135" s="6"/>
      <c r="D135" s="6" t="s">
        <v>938</v>
      </c>
      <c r="E135" s="6" t="s">
        <v>937</v>
      </c>
      <c r="F135" s="6" t="s">
        <v>911</v>
      </c>
      <c r="G135" s="6"/>
      <c r="H135" s="6" t="s">
        <v>910</v>
      </c>
      <c r="I135" s="6"/>
      <c r="J135" s="6">
        <v>0</v>
      </c>
      <c r="K135" s="6">
        <v>0</v>
      </c>
    </row>
    <row r="136" spans="2:13">
      <c r="B136" s="270" t="s">
        <v>1538</v>
      </c>
      <c r="C136" s="6"/>
      <c r="D136" s="6" t="s">
        <v>800</v>
      </c>
      <c r="E136" s="6" t="s">
        <v>800</v>
      </c>
      <c r="F136" s="6"/>
      <c r="G136" s="6"/>
      <c r="H136" s="6"/>
      <c r="I136" s="6"/>
      <c r="J136" s="6"/>
      <c r="K136" s="6"/>
      <c r="M136" s="470" t="s">
        <v>1897</v>
      </c>
    </row>
    <row r="137" spans="2:13" ht="25.5">
      <c r="B137" s="6" t="s">
        <v>741</v>
      </c>
      <c r="C137" s="6" t="s">
        <v>784</v>
      </c>
      <c r="D137" s="6" t="s">
        <v>1059</v>
      </c>
      <c r="E137" s="6" t="s">
        <v>766</v>
      </c>
      <c r="F137" s="6" t="s">
        <v>1059</v>
      </c>
      <c r="G137" s="6" t="s">
        <v>1871</v>
      </c>
      <c r="H137" s="6" t="s">
        <v>766</v>
      </c>
      <c r="I137" s="6" t="s">
        <v>1872</v>
      </c>
      <c r="J137" s="6"/>
      <c r="K137" s="6"/>
    </row>
    <row r="138" spans="2:13" ht="25.5">
      <c r="B138" s="6" t="s">
        <v>1230</v>
      </c>
      <c r="C138" s="6"/>
      <c r="D138" s="6" t="s">
        <v>1234</v>
      </c>
      <c r="E138" s="6" t="s">
        <v>2286</v>
      </c>
      <c r="F138" s="6" t="s">
        <v>1234</v>
      </c>
      <c r="G138" s="6" t="s">
        <v>1873</v>
      </c>
      <c r="H138" s="6" t="s">
        <v>2286</v>
      </c>
      <c r="I138" s="6" t="s">
        <v>1874</v>
      </c>
      <c r="J138" s="6"/>
      <c r="K138" s="6"/>
    </row>
    <row r="139" spans="2:13" ht="25.5">
      <c r="B139" s="6" t="s">
        <v>1231</v>
      </c>
      <c r="C139" s="6"/>
      <c r="D139" s="6" t="s">
        <v>1233</v>
      </c>
      <c r="E139" s="6" t="s">
        <v>1232</v>
      </c>
      <c r="F139" s="6" t="s">
        <v>1233</v>
      </c>
      <c r="G139" s="6" t="s">
        <v>1875</v>
      </c>
      <c r="H139" s="6" t="s">
        <v>1232</v>
      </c>
      <c r="I139" s="6" t="s">
        <v>1876</v>
      </c>
      <c r="J139" s="6"/>
      <c r="K139" s="6"/>
    </row>
    <row r="140" spans="2:13" ht="38.25">
      <c r="B140" s="6" t="s">
        <v>738</v>
      </c>
      <c r="C140" s="6" t="s">
        <v>781</v>
      </c>
      <c r="D140" s="6" t="s">
        <v>164</v>
      </c>
      <c r="E140" s="6" t="s">
        <v>765</v>
      </c>
      <c r="F140" s="6" t="s">
        <v>164</v>
      </c>
      <c r="G140" s="6" t="s">
        <v>1877</v>
      </c>
      <c r="H140" s="6" t="s">
        <v>765</v>
      </c>
      <c r="I140" s="6" t="s">
        <v>1878</v>
      </c>
      <c r="J140" s="6"/>
      <c r="K140" s="6"/>
    </row>
    <row r="141" spans="2:13">
      <c r="B141" s="6" t="s">
        <v>739</v>
      </c>
      <c r="C141" s="6" t="s">
        <v>782</v>
      </c>
      <c r="D141" s="6" t="s">
        <v>34</v>
      </c>
      <c r="E141" s="6" t="s">
        <v>34</v>
      </c>
      <c r="F141" s="6" t="s">
        <v>34</v>
      </c>
      <c r="G141" s="6" t="s">
        <v>1879</v>
      </c>
      <c r="H141" s="6" t="s">
        <v>34</v>
      </c>
      <c r="I141" s="6" t="s">
        <v>1880</v>
      </c>
      <c r="J141" s="6"/>
      <c r="K141" s="6"/>
    </row>
    <row r="142" spans="2:13">
      <c r="B142" s="6" t="s">
        <v>740</v>
      </c>
      <c r="C142" s="6" t="s">
        <v>783</v>
      </c>
      <c r="D142" s="6" t="s">
        <v>624</v>
      </c>
      <c r="E142" s="6" t="s">
        <v>23</v>
      </c>
      <c r="F142" s="6" t="s">
        <v>624</v>
      </c>
      <c r="G142" s="6" t="s">
        <v>1881</v>
      </c>
      <c r="H142" s="6" t="s">
        <v>23</v>
      </c>
      <c r="I142" s="6" t="s">
        <v>1882</v>
      </c>
      <c r="J142" s="6"/>
      <c r="K142" s="6"/>
    </row>
    <row r="143" spans="2:13">
      <c r="B143" s="6" t="s">
        <v>742</v>
      </c>
      <c r="C143" s="6"/>
      <c r="D143" s="6" t="s">
        <v>884</v>
      </c>
      <c r="E143" s="6" t="s">
        <v>884</v>
      </c>
      <c r="F143" s="6"/>
      <c r="G143" s="6"/>
      <c r="H143" s="6"/>
      <c r="I143" s="6"/>
      <c r="J143" s="6"/>
      <c r="K143" s="6"/>
    </row>
    <row r="144" spans="2:13">
      <c r="B144" s="6" t="s">
        <v>829</v>
      </c>
      <c r="C144" s="6" t="s">
        <v>785</v>
      </c>
      <c r="D144" s="6" t="s">
        <v>830</v>
      </c>
      <c r="E144" s="6" t="s">
        <v>833</v>
      </c>
      <c r="F144" s="6" t="s">
        <v>976</v>
      </c>
      <c r="G144" s="6" t="s">
        <v>1883</v>
      </c>
      <c r="H144" s="6" t="s">
        <v>831</v>
      </c>
      <c r="I144" s="6" t="s">
        <v>1884</v>
      </c>
      <c r="J144" s="6"/>
      <c r="K144" s="6"/>
    </row>
    <row r="145" spans="2:13">
      <c r="B145" s="6" t="s">
        <v>743</v>
      </c>
      <c r="C145" s="6" t="s">
        <v>786</v>
      </c>
      <c r="D145" s="6" t="s">
        <v>768</v>
      </c>
      <c r="E145" s="6" t="s">
        <v>767</v>
      </c>
      <c r="F145" s="6" t="s">
        <v>977</v>
      </c>
      <c r="G145" s="6" t="s">
        <v>1885</v>
      </c>
      <c r="H145" s="6" t="s">
        <v>832</v>
      </c>
      <c r="I145" s="6" t="s">
        <v>1886</v>
      </c>
      <c r="J145" s="6"/>
      <c r="K145" s="6"/>
    </row>
    <row r="146" spans="2:13">
      <c r="B146" s="270" t="s">
        <v>912</v>
      </c>
      <c r="C146" s="6"/>
      <c r="D146" s="6" t="s">
        <v>819</v>
      </c>
      <c r="E146" s="6" t="s">
        <v>820</v>
      </c>
      <c r="F146" s="6"/>
      <c r="G146" s="6"/>
      <c r="H146" s="6"/>
      <c r="I146" s="6"/>
      <c r="J146" s="6">
        <v>0</v>
      </c>
      <c r="K146" s="6">
        <v>0</v>
      </c>
      <c r="M146" s="470" t="s">
        <v>820</v>
      </c>
    </row>
    <row r="147" spans="2:13" ht="63.75">
      <c r="B147" s="6" t="s">
        <v>817</v>
      </c>
      <c r="C147" s="6"/>
      <c r="D147" s="6" t="s">
        <v>744</v>
      </c>
      <c r="E147" s="6" t="s">
        <v>744</v>
      </c>
      <c r="F147" s="6" t="s">
        <v>978</v>
      </c>
      <c r="G147" s="6" t="s">
        <v>1820</v>
      </c>
      <c r="H147" s="6" t="s">
        <v>826</v>
      </c>
      <c r="I147" s="6" t="s">
        <v>1249</v>
      </c>
      <c r="J147" s="6">
        <v>0</v>
      </c>
      <c r="K147" s="6">
        <v>0</v>
      </c>
    </row>
    <row r="148" spans="2:13" ht="51">
      <c r="B148" s="6" t="s">
        <v>745</v>
      </c>
      <c r="C148" s="6"/>
      <c r="D148" s="6" t="s">
        <v>770</v>
      </c>
      <c r="E148" s="6" t="s">
        <v>769</v>
      </c>
      <c r="F148" s="6" t="s">
        <v>979</v>
      </c>
      <c r="G148" s="6" t="s">
        <v>1821</v>
      </c>
      <c r="H148" s="6" t="s">
        <v>827</v>
      </c>
      <c r="I148" s="6" t="s">
        <v>1248</v>
      </c>
      <c r="J148" s="6">
        <v>0</v>
      </c>
      <c r="K148" s="6">
        <v>0</v>
      </c>
    </row>
    <row r="149" spans="2:13" ht="51">
      <c r="B149" s="6" t="s">
        <v>746</v>
      </c>
      <c r="C149" s="6"/>
      <c r="D149" s="6" t="s">
        <v>3203</v>
      </c>
      <c r="E149" s="6" t="s">
        <v>771</v>
      </c>
      <c r="F149" s="6" t="s">
        <v>980</v>
      </c>
      <c r="G149" s="6" t="s">
        <v>1822</v>
      </c>
      <c r="H149" s="6" t="s">
        <v>828</v>
      </c>
      <c r="I149" s="6" t="s">
        <v>1247</v>
      </c>
      <c r="J149" s="6">
        <v>0</v>
      </c>
      <c r="K149" s="6">
        <v>0</v>
      </c>
    </row>
    <row r="150" spans="2:13" ht="25.5">
      <c r="B150" s="6" t="s">
        <v>747</v>
      </c>
      <c r="C150" s="6" t="s">
        <v>787</v>
      </c>
      <c r="D150" s="6" t="s">
        <v>748</v>
      </c>
      <c r="E150" s="6" t="s">
        <v>748</v>
      </c>
      <c r="F150" s="6" t="s">
        <v>981</v>
      </c>
      <c r="G150" s="6" t="s">
        <v>982</v>
      </c>
      <c r="H150" s="6" t="s">
        <v>840</v>
      </c>
      <c r="I150" s="6" t="s">
        <v>839</v>
      </c>
      <c r="J150" s="6">
        <v>0</v>
      </c>
      <c r="K150" s="6">
        <v>0</v>
      </c>
    </row>
    <row r="151" spans="2:13" ht="25.5">
      <c r="B151" s="6" t="s">
        <v>1936</v>
      </c>
      <c r="C151" s="6"/>
      <c r="D151" s="6" t="s">
        <v>1537</v>
      </c>
      <c r="E151" s="6" t="s">
        <v>1537</v>
      </c>
      <c r="F151" s="6" t="s">
        <v>1537</v>
      </c>
      <c r="G151" s="6" t="s">
        <v>1947</v>
      </c>
      <c r="H151" s="6" t="s">
        <v>1537</v>
      </c>
      <c r="I151" s="6" t="s">
        <v>1948</v>
      </c>
      <c r="J151" s="6">
        <v>0</v>
      </c>
      <c r="K151" s="6">
        <v>0</v>
      </c>
    </row>
    <row r="152" spans="2:13" ht="25.5">
      <c r="B152" s="6" t="s">
        <v>1937</v>
      </c>
      <c r="C152" s="6"/>
      <c r="D152" s="6" t="s">
        <v>1940</v>
      </c>
      <c r="E152" s="6" t="s">
        <v>1939</v>
      </c>
      <c r="F152" s="6" t="s">
        <v>1940</v>
      </c>
      <c r="G152" s="6" t="s">
        <v>1938</v>
      </c>
      <c r="H152" s="6" t="s">
        <v>1939</v>
      </c>
      <c r="I152" s="6" t="s">
        <v>1946</v>
      </c>
      <c r="J152" s="6">
        <v>0</v>
      </c>
      <c r="K152" s="6">
        <v>0</v>
      </c>
    </row>
    <row r="153" spans="2:13">
      <c r="B153" s="6" t="s">
        <v>2483</v>
      </c>
      <c r="C153" s="6"/>
      <c r="D153" s="6" t="s">
        <v>2484</v>
      </c>
      <c r="E153" s="6" t="s">
        <v>2484</v>
      </c>
      <c r="F153" s="6" t="s">
        <v>2484</v>
      </c>
      <c r="G153" s="6"/>
      <c r="H153" s="6" t="s">
        <v>2484</v>
      </c>
      <c r="I153" s="6"/>
      <c r="J153" s="6">
        <v>0</v>
      </c>
      <c r="K153" s="6">
        <v>0</v>
      </c>
      <c r="M153" s="4"/>
    </row>
    <row r="154" spans="2:13" ht="25.5">
      <c r="B154" s="6" t="s">
        <v>2637</v>
      </c>
      <c r="C154" s="6" t="s">
        <v>2635</v>
      </c>
      <c r="D154" s="6" t="s">
        <v>2633</v>
      </c>
      <c r="E154" s="6" t="s">
        <v>2636</v>
      </c>
      <c r="F154" s="6" t="str">
        <f>XML[[#This Row],[Label EN]]</f>
        <v>Export to PowerPoint …</v>
      </c>
      <c r="G154" s="6"/>
      <c r="H154" s="6" t="str">
        <f>XML[[#This Row],[Label DE]]</f>
        <v>Nach PowerPoint exportieren …</v>
      </c>
      <c r="I154" s="6"/>
      <c r="J154" s="6">
        <v>0</v>
      </c>
      <c r="K154" s="6">
        <v>0</v>
      </c>
    </row>
    <row r="155" spans="2:13">
      <c r="B155" s="6" t="s">
        <v>3938</v>
      </c>
      <c r="C155" s="6" t="s">
        <v>3933</v>
      </c>
      <c r="D155" s="6" t="s">
        <v>2634</v>
      </c>
      <c r="E155" s="6" t="s">
        <v>2638</v>
      </c>
      <c r="F155" s="6" t="str">
        <f>XML[[#This Row],[Label EN]]</f>
        <v>Export to CBD …</v>
      </c>
      <c r="G155" s="6"/>
      <c r="H155" s="6" t="str">
        <f>XML[[#This Row],[Label DE]]</f>
        <v>In CBD exportieren …</v>
      </c>
      <c r="I155" s="6"/>
      <c r="J155" s="6">
        <v>0</v>
      </c>
      <c r="K155" s="6">
        <v>0</v>
      </c>
    </row>
    <row r="156" spans="2:13">
      <c r="B156" s="6" t="s">
        <v>3934</v>
      </c>
      <c r="C156" s="6" t="s">
        <v>3935</v>
      </c>
      <c r="D156" s="6" t="s">
        <v>3936</v>
      </c>
      <c r="E156" s="6" t="s">
        <v>3937</v>
      </c>
      <c r="F156" s="6" t="str">
        <f>XML[[#This Row],[Label EN]]</f>
        <v>Export to QAF …</v>
      </c>
      <c r="G156" s="6"/>
      <c r="H156" s="6" t="str">
        <f>XML[[#This Row],[Label DE]]</f>
        <v>In QAF exportieren …</v>
      </c>
      <c r="I156" s="6"/>
      <c r="J156" s="6">
        <v>0</v>
      </c>
      <c r="K156" s="6">
        <v>0</v>
      </c>
    </row>
    <row r="157" spans="2:13">
      <c r="B157" s="876" t="s">
        <v>2639</v>
      </c>
      <c r="C157" s="876" t="s">
        <v>2645</v>
      </c>
      <c r="D157" s="876" t="s">
        <v>2640</v>
      </c>
      <c r="E157" s="876" t="s">
        <v>2641</v>
      </c>
      <c r="F157" s="876" t="str">
        <f>XML[[#This Row],[Label EN]]</f>
        <v>Open Labelmaker</v>
      </c>
      <c r="G157" s="876"/>
      <c r="H157" s="876" t="str">
        <f>XML[[#This Row],[Label DE]]</f>
        <v>Labelmaker öffnen</v>
      </c>
      <c r="I157" s="876"/>
      <c r="J157" s="876">
        <v>0</v>
      </c>
      <c r="K157" s="876">
        <v>0</v>
      </c>
    </row>
    <row r="158" spans="2:13" ht="89.25">
      <c r="B158" s="6" t="s">
        <v>1943</v>
      </c>
      <c r="C158" s="6" t="s">
        <v>773</v>
      </c>
      <c r="D158" s="6" t="s">
        <v>1114</v>
      </c>
      <c r="E158" s="6" t="s">
        <v>723</v>
      </c>
      <c r="F158" s="6" t="s">
        <v>965</v>
      </c>
      <c r="G158" s="6" t="s">
        <v>1819</v>
      </c>
      <c r="H158" s="6" t="s">
        <v>723</v>
      </c>
      <c r="I158" s="6" t="s">
        <v>1818</v>
      </c>
      <c r="J158" s="6">
        <v>0</v>
      </c>
      <c r="K158" s="6">
        <v>0</v>
      </c>
    </row>
    <row r="159" spans="2:13">
      <c r="B159" s="270" t="s">
        <v>3841</v>
      </c>
      <c r="C159" s="6"/>
      <c r="D159" s="6" t="s">
        <v>3840</v>
      </c>
      <c r="E159" s="6" t="s">
        <v>3840</v>
      </c>
      <c r="F159" s="6"/>
      <c r="G159" s="6"/>
      <c r="H159" s="6"/>
      <c r="I159" s="6"/>
      <c r="J159" s="6">
        <v>0</v>
      </c>
      <c r="K159" s="6">
        <v>0</v>
      </c>
      <c r="M159" s="470" t="s">
        <v>3840</v>
      </c>
    </row>
    <row r="160" spans="2:13" ht="102">
      <c r="B160" s="6" t="s">
        <v>3859</v>
      </c>
      <c r="C160" s="6" t="s">
        <v>3891</v>
      </c>
      <c r="D160" s="6" t="s">
        <v>3860</v>
      </c>
      <c r="E160" s="6" t="s">
        <v>3871</v>
      </c>
      <c r="F160" s="6" t="s">
        <v>3864</v>
      </c>
      <c r="G160" s="6"/>
      <c r="H160" s="6" t="s">
        <v>3865</v>
      </c>
      <c r="I160" s="6" t="s">
        <v>3913</v>
      </c>
      <c r="J160" s="6">
        <v>0</v>
      </c>
      <c r="K160" s="6">
        <v>0</v>
      </c>
    </row>
    <row r="161" spans="2:13" ht="102">
      <c r="B161" s="1135" t="s">
        <v>3861</v>
      </c>
      <c r="C161" s="6" t="str">
        <f t="shared" ref="C161:I161" si="18">C160</f>
        <v>CalculateThisWorkbookOnlyCallback</v>
      </c>
      <c r="D161" s="6" t="str">
        <f t="shared" si="18"/>
        <v>Calculate</v>
      </c>
      <c r="E161" s="6" t="str">
        <f t="shared" si="18"/>
        <v>Berechnen</v>
      </c>
      <c r="F161" s="6" t="str">
        <f t="shared" si="18"/>
        <v>Calculate this workbook</v>
      </c>
      <c r="G161" s="6">
        <f t="shared" si="18"/>
        <v>0</v>
      </c>
      <c r="H161" s="6" t="str">
        <f t="shared" si="18"/>
        <v>Diese Arbeitsmappe neu berechnen</v>
      </c>
      <c r="I161" s="6" t="str">
        <f t="shared" si="18"/>
        <v>Berechnet nur diese Arbeitsmappe neu.
Ausgehend vom aktiven Arbeitsblatt werden nur die Arbeitsblätter neu berechnet, die gemäß der Kalkulationslogik berechnet werden müssen.
Achtung: Bei abweichender individueller Logik kann es vorkommen, dass nicht alle Änderungen korrekt berechnet werden. Dies kann aber jederzeit über den Button "Alles neu berechnen" nachgeholt werden.</v>
      </c>
      <c r="J161" s="6">
        <v>0</v>
      </c>
      <c r="K161" s="6">
        <v>0</v>
      </c>
    </row>
    <row r="162" spans="2:13" ht="102">
      <c r="B162" s="1135" t="s">
        <v>3866</v>
      </c>
      <c r="C162" s="6" t="s">
        <v>3872</v>
      </c>
      <c r="D162" s="6" t="s">
        <v>3867</v>
      </c>
      <c r="E162" s="6" t="s">
        <v>3910</v>
      </c>
      <c r="F162" s="6" t="s">
        <v>3912</v>
      </c>
      <c r="G162" s="1135"/>
      <c r="H162" s="6" t="s">
        <v>3911</v>
      </c>
      <c r="I162" s="1135" t="s">
        <v>3914</v>
      </c>
      <c r="J162" s="6">
        <v>0</v>
      </c>
      <c r="K162" s="6">
        <v>0</v>
      </c>
    </row>
    <row r="163" spans="2:13">
      <c r="B163" s="1135" t="s">
        <v>3862</v>
      </c>
      <c r="C163" s="1135"/>
      <c r="D163" s="6" t="s">
        <v>3876</v>
      </c>
      <c r="E163" s="6" t="s">
        <v>3868</v>
      </c>
      <c r="F163" s="6"/>
      <c r="G163" s="6"/>
      <c r="H163" s="6" t="s">
        <v>3869</v>
      </c>
      <c r="I163" s="6"/>
      <c r="J163" s="6">
        <v>0</v>
      </c>
      <c r="K163" s="6">
        <v>0</v>
      </c>
    </row>
    <row r="164" spans="2:13" ht="25.5">
      <c r="B164" s="1135" t="s">
        <v>3863</v>
      </c>
      <c r="C164" s="1135"/>
      <c r="D164" s="6" t="s">
        <v>3877</v>
      </c>
      <c r="E164" s="6" t="s">
        <v>3878</v>
      </c>
      <c r="F164" s="6"/>
      <c r="G164" s="6"/>
      <c r="H164" s="6" t="s">
        <v>3879</v>
      </c>
      <c r="I164" s="6"/>
      <c r="J164" s="6">
        <v>0</v>
      </c>
      <c r="K164" s="6">
        <v>0</v>
      </c>
    </row>
    <row r="165" spans="2:13" ht="13.5" thickBot="1">
      <c r="B165" s="1135" t="s">
        <v>3875</v>
      </c>
      <c r="C165" s="1135"/>
      <c r="D165" s="6" t="s">
        <v>3880</v>
      </c>
      <c r="E165" s="6" t="s">
        <v>3304</v>
      </c>
      <c r="F165" s="6"/>
      <c r="G165" s="6"/>
      <c r="H165" s="6" t="s">
        <v>3870</v>
      </c>
      <c r="I165" s="6"/>
      <c r="J165" s="6">
        <v>0</v>
      </c>
      <c r="K165" s="6">
        <v>0</v>
      </c>
    </row>
    <row r="166" spans="2:13">
      <c r="B166" s="932" t="s">
        <v>3892</v>
      </c>
      <c r="C166" s="932"/>
      <c r="D166" s="932" t="s">
        <v>3874</v>
      </c>
      <c r="E166" s="932" t="s">
        <v>3873</v>
      </c>
      <c r="F166" s="932" t="s">
        <v>3874</v>
      </c>
      <c r="G166" s="932"/>
      <c r="H166" s="932" t="s">
        <v>3873</v>
      </c>
      <c r="I166" s="932"/>
      <c r="J166" s="932">
        <v>0</v>
      </c>
      <c r="K166" s="932">
        <v>0</v>
      </c>
    </row>
    <row r="167" spans="2:13" ht="25.5">
      <c r="B167" s="1135" t="s">
        <v>3893</v>
      </c>
      <c r="C167" s="6" t="s">
        <v>3885</v>
      </c>
      <c r="D167" s="1135" t="s">
        <v>2468</v>
      </c>
      <c r="E167" s="1135" t="s">
        <v>2468</v>
      </c>
      <c r="F167" s="6" t="s">
        <v>3842</v>
      </c>
      <c r="G167" s="1135"/>
      <c r="H167" s="6" t="s">
        <v>3843</v>
      </c>
      <c r="I167" s="1135"/>
      <c r="J167" s="6">
        <v>0</v>
      </c>
      <c r="K167" s="6">
        <v>0</v>
      </c>
    </row>
    <row r="168" spans="2:13" ht="51">
      <c r="B168" s="1135" t="s">
        <v>3844</v>
      </c>
      <c r="C168" s="1135"/>
      <c r="D168" s="6" t="s">
        <v>3901</v>
      </c>
      <c r="E168" s="6" t="s">
        <v>3897</v>
      </c>
      <c r="F168" s="6" t="s">
        <v>3901</v>
      </c>
      <c r="G168" s="6"/>
      <c r="H168" s="6" t="s">
        <v>3897</v>
      </c>
      <c r="I168" s="6" t="s">
        <v>3909</v>
      </c>
      <c r="J168" s="6">
        <v>0</v>
      </c>
      <c r="K168" s="6">
        <v>0</v>
      </c>
    </row>
    <row r="169" spans="2:13" ht="127.5">
      <c r="B169" s="1135" t="s">
        <v>3849</v>
      </c>
      <c r="C169" s="1135"/>
      <c r="D169" s="6" t="s">
        <v>3903</v>
      </c>
      <c r="E169" s="6" t="s">
        <v>3900</v>
      </c>
      <c r="F169" s="6" t="s">
        <v>3903</v>
      </c>
      <c r="G169" s="6"/>
      <c r="H169" s="6" t="s">
        <v>3900</v>
      </c>
      <c r="I169" s="6" t="s">
        <v>3907</v>
      </c>
      <c r="J169" s="6">
        <v>0</v>
      </c>
      <c r="K169" s="6">
        <v>0</v>
      </c>
    </row>
    <row r="170" spans="2:13">
      <c r="B170" s="1135" t="s">
        <v>3899</v>
      </c>
      <c r="C170" s="1135"/>
      <c r="D170" s="1135" t="s">
        <v>879</v>
      </c>
      <c r="E170" s="1135" t="s">
        <v>1801</v>
      </c>
      <c r="F170" s="1135" t="s">
        <v>879</v>
      </c>
      <c r="G170" s="1135"/>
      <c r="H170" s="1135" t="s">
        <v>1801</v>
      </c>
      <c r="I170" s="1135"/>
      <c r="J170" s="1135"/>
      <c r="K170" s="1135"/>
    </row>
    <row r="171" spans="2:13" ht="102">
      <c r="B171" s="1135" t="s">
        <v>3895</v>
      </c>
      <c r="C171" s="1135"/>
      <c r="D171" s="6" t="s">
        <v>3845</v>
      </c>
      <c r="E171" s="6" t="s">
        <v>3846</v>
      </c>
      <c r="F171" s="6" t="s">
        <v>3845</v>
      </c>
      <c r="G171" s="6" t="s">
        <v>3847</v>
      </c>
      <c r="H171" s="6" t="s">
        <v>3846</v>
      </c>
      <c r="I171" s="6" t="s">
        <v>3848</v>
      </c>
      <c r="J171" s="6">
        <v>0</v>
      </c>
      <c r="K171" s="6">
        <v>0</v>
      </c>
    </row>
    <row r="172" spans="2:13" ht="76.5">
      <c r="B172" s="1135" t="s">
        <v>3896</v>
      </c>
      <c r="C172" s="1135"/>
      <c r="D172" s="6" t="s">
        <v>3850</v>
      </c>
      <c r="E172" s="6" t="s">
        <v>3851</v>
      </c>
      <c r="F172" s="6" t="s">
        <v>3850</v>
      </c>
      <c r="G172" s="6" t="s">
        <v>3852</v>
      </c>
      <c r="H172" s="6" t="s">
        <v>3851</v>
      </c>
      <c r="I172" s="6" t="s">
        <v>3853</v>
      </c>
      <c r="J172" s="6">
        <v>0</v>
      </c>
      <c r="K172" s="6">
        <v>0</v>
      </c>
    </row>
    <row r="173" spans="2:13" ht="114.75">
      <c r="B173" s="1135" t="s">
        <v>3894</v>
      </c>
      <c r="C173" s="1135"/>
      <c r="D173" s="1135" t="s">
        <v>3902</v>
      </c>
      <c r="E173" s="1135" t="s">
        <v>3898</v>
      </c>
      <c r="F173" s="1135" t="s">
        <v>3902</v>
      </c>
      <c r="G173" s="1135"/>
      <c r="H173" s="1135" t="s">
        <v>3898</v>
      </c>
      <c r="I173" s="1135" t="s">
        <v>3908</v>
      </c>
      <c r="J173" s="6">
        <v>0</v>
      </c>
      <c r="K173" s="6">
        <v>0</v>
      </c>
    </row>
    <row r="174" spans="2:13">
      <c r="B174" s="6" t="s">
        <v>847</v>
      </c>
      <c r="C174" s="6"/>
      <c r="D174" s="6" t="s">
        <v>849</v>
      </c>
      <c r="E174" s="6" t="s">
        <v>850</v>
      </c>
      <c r="F174" s="6" t="s">
        <v>851</v>
      </c>
      <c r="G174" s="6"/>
      <c r="H174" s="6" t="s">
        <v>852</v>
      </c>
      <c r="I174" s="6"/>
      <c r="J174" s="6">
        <v>1</v>
      </c>
      <c r="K174" s="6">
        <v>1</v>
      </c>
      <c r="M174" s="470" t="s">
        <v>850</v>
      </c>
    </row>
    <row r="175" spans="2:13" ht="25.5">
      <c r="B175" s="6" t="s">
        <v>1908</v>
      </c>
      <c r="C175" s="6"/>
      <c r="D175" s="6" t="s">
        <v>862</v>
      </c>
      <c r="E175" s="6" t="s">
        <v>863</v>
      </c>
      <c r="F175" s="6" t="s">
        <v>983</v>
      </c>
      <c r="G175" s="6" t="s">
        <v>1891</v>
      </c>
      <c r="H175" s="6" t="s">
        <v>848</v>
      </c>
      <c r="I175" s="6" t="s">
        <v>1892</v>
      </c>
      <c r="J175" s="6">
        <v>1</v>
      </c>
      <c r="K175" s="6">
        <v>1</v>
      </c>
    </row>
    <row r="176" spans="2:13">
      <c r="B176" s="6" t="s">
        <v>1909</v>
      </c>
      <c r="C176" s="6"/>
      <c r="D176" s="6" t="s">
        <v>857</v>
      </c>
      <c r="E176" s="6" t="s">
        <v>853</v>
      </c>
      <c r="F176" s="6" t="s">
        <v>857</v>
      </c>
      <c r="G176" s="6" t="s">
        <v>1893</v>
      </c>
      <c r="H176" s="6" t="s">
        <v>853</v>
      </c>
      <c r="I176" s="6" t="s">
        <v>1894</v>
      </c>
      <c r="J176" s="6">
        <v>0</v>
      </c>
      <c r="K176" s="6">
        <v>0</v>
      </c>
    </row>
    <row r="177" spans="2:13">
      <c r="B177" s="6" t="s">
        <v>1914</v>
      </c>
      <c r="C177" s="6"/>
      <c r="D177" s="6" t="s">
        <v>1805</v>
      </c>
      <c r="E177" s="6" t="s">
        <v>1805</v>
      </c>
      <c r="F177" s="6" t="s">
        <v>1805</v>
      </c>
      <c r="G177" s="6" t="s">
        <v>1895</v>
      </c>
      <c r="H177" s="6" t="s">
        <v>1805</v>
      </c>
      <c r="I177" s="6" t="s">
        <v>1896</v>
      </c>
      <c r="J177" s="6">
        <v>0</v>
      </c>
      <c r="K177" s="6">
        <v>0</v>
      </c>
    </row>
    <row r="178" spans="2:13">
      <c r="B178" s="6" t="s">
        <v>1910</v>
      </c>
      <c r="C178" s="6" t="s">
        <v>858</v>
      </c>
      <c r="D178" s="6" t="s">
        <v>854</v>
      </c>
      <c r="E178" s="6" t="s">
        <v>855</v>
      </c>
      <c r="F178" s="6"/>
      <c r="G178" s="6"/>
      <c r="H178" s="6"/>
      <c r="I178" s="6"/>
      <c r="J178" s="6">
        <v>1</v>
      </c>
      <c r="K178" s="6">
        <v>1</v>
      </c>
    </row>
    <row r="179" spans="2:13" ht="63.75">
      <c r="B179" s="6" t="s">
        <v>1911</v>
      </c>
      <c r="C179" s="6" t="s">
        <v>748</v>
      </c>
      <c r="D179" s="6" t="s">
        <v>891</v>
      </c>
      <c r="E179" s="6" t="s">
        <v>890</v>
      </c>
      <c r="F179" s="6" t="s">
        <v>892</v>
      </c>
      <c r="G179" s="6" t="s">
        <v>1907</v>
      </c>
      <c r="H179" s="6" t="s">
        <v>893</v>
      </c>
      <c r="I179" s="6" t="s">
        <v>1906</v>
      </c>
      <c r="J179" s="6">
        <v>1</v>
      </c>
      <c r="K179" s="6">
        <v>1</v>
      </c>
    </row>
    <row r="180" spans="2:13" ht="114.75">
      <c r="B180" s="6" t="s">
        <v>1912</v>
      </c>
      <c r="C180" s="6"/>
      <c r="D180" s="6" t="s">
        <v>1814</v>
      </c>
      <c r="E180" s="6" t="s">
        <v>1813</v>
      </c>
      <c r="F180" s="6" t="s">
        <v>984</v>
      </c>
      <c r="G180" s="6" t="s">
        <v>1932</v>
      </c>
      <c r="H180" s="6" t="s">
        <v>895</v>
      </c>
      <c r="I180" s="6" t="s">
        <v>1931</v>
      </c>
      <c r="J180" s="6">
        <v>0</v>
      </c>
      <c r="K180" s="6">
        <v>0</v>
      </c>
    </row>
    <row r="181" spans="2:13">
      <c r="B181" s="6" t="s">
        <v>1913</v>
      </c>
      <c r="C181" s="6" t="s">
        <v>3242</v>
      </c>
      <c r="D181" s="6" t="s">
        <v>856</v>
      </c>
      <c r="E181" s="6" t="s">
        <v>856</v>
      </c>
      <c r="F181" s="6" t="str">
        <f>"ACT Version "&amp;Version</f>
        <v>ACT Version 6.2.3-000</v>
      </c>
      <c r="G181" s="6"/>
      <c r="H181" s="6" t="str">
        <f>"ACT Version "&amp;Version</f>
        <v>ACT Version 6.2.3-000</v>
      </c>
      <c r="I181" s="6"/>
      <c r="J181" s="6">
        <v>1</v>
      </c>
      <c r="K181" s="6">
        <v>1</v>
      </c>
    </row>
    <row r="182" spans="2:13">
      <c r="B182" s="875" t="s">
        <v>2470</v>
      </c>
      <c r="C182" s="6" t="s">
        <v>3242</v>
      </c>
      <c r="D182" s="875"/>
      <c r="E182" s="875"/>
      <c r="F182" s="6" t="str">
        <f>"ACT Version "&amp;Version</f>
        <v>ACT Version 6.2.3-000</v>
      </c>
      <c r="G182" s="875"/>
      <c r="H182" s="6" t="str">
        <f>"ACT Version "&amp;Version</f>
        <v>ACT Version 6.2.3-000</v>
      </c>
      <c r="I182" s="875"/>
      <c r="J182" s="6">
        <v>1</v>
      </c>
      <c r="K182" s="6">
        <v>1</v>
      </c>
    </row>
    <row r="183" spans="2:13" ht="38.25">
      <c r="B183" s="1116" t="s">
        <v>3384</v>
      </c>
      <c r="C183" s="1116" t="s">
        <v>3385</v>
      </c>
      <c r="D183" s="1116" t="s">
        <v>3392</v>
      </c>
      <c r="E183" s="1116" t="s">
        <v>3391</v>
      </c>
      <c r="F183" s="1116" t="s">
        <v>3394</v>
      </c>
      <c r="G183" s="1116" t="s">
        <v>3387</v>
      </c>
      <c r="H183" s="1116" t="s">
        <v>3393</v>
      </c>
      <c r="I183" s="1116" t="s">
        <v>3386</v>
      </c>
      <c r="J183" s="6">
        <v>1</v>
      </c>
      <c r="K183" s="6">
        <v>1</v>
      </c>
    </row>
    <row r="184" spans="2:13" ht="25.5">
      <c r="B184" s="1116" t="s">
        <v>3677</v>
      </c>
      <c r="C184" s="1116" t="s">
        <v>3678</v>
      </c>
      <c r="D184" s="1116" t="s">
        <v>3679</v>
      </c>
      <c r="E184" s="1116" t="s">
        <v>3680</v>
      </c>
      <c r="F184" s="1116" t="s">
        <v>3681</v>
      </c>
      <c r="G184" s="1116" t="s">
        <v>3682</v>
      </c>
      <c r="H184" s="1116" t="s">
        <v>3683</v>
      </c>
      <c r="I184" s="1116" t="s">
        <v>3684</v>
      </c>
      <c r="J184" s="6">
        <v>1</v>
      </c>
      <c r="K184" s="6">
        <v>1</v>
      </c>
    </row>
    <row r="185" spans="2:13">
      <c r="B185" s="270" t="s">
        <v>3792</v>
      </c>
      <c r="C185" s="6"/>
      <c r="D185" s="6"/>
      <c r="E185" s="6"/>
      <c r="F185" s="6"/>
      <c r="G185" s="6"/>
      <c r="H185" s="6"/>
      <c r="I185" s="6"/>
      <c r="J185" s="6"/>
      <c r="K185" s="6"/>
      <c r="M185" s="470" t="s">
        <v>3787</v>
      </c>
    </row>
    <row r="186" spans="2:13">
      <c r="B186" s="1125" t="s">
        <v>3793</v>
      </c>
      <c r="C186" s="1125"/>
      <c r="D186" s="1125" t="s">
        <v>3811</v>
      </c>
      <c r="E186" s="1125" t="s">
        <v>3811</v>
      </c>
      <c r="F186" s="1125"/>
      <c r="G186" s="1125"/>
      <c r="H186" s="1125"/>
      <c r="I186" s="1125"/>
      <c r="J186" s="1125">
        <v>1</v>
      </c>
      <c r="K186" s="1125">
        <v>1</v>
      </c>
    </row>
    <row r="187" spans="2:13" ht="63.75">
      <c r="B187" s="1125" t="s">
        <v>3794</v>
      </c>
      <c r="C187" s="1125" t="s">
        <v>3804</v>
      </c>
      <c r="D187" s="1125" t="s">
        <v>3795</v>
      </c>
      <c r="E187" s="1125" t="s">
        <v>3796</v>
      </c>
      <c r="F187" s="1125" t="s">
        <v>3795</v>
      </c>
      <c r="G187" s="1125" t="s">
        <v>3798</v>
      </c>
      <c r="H187" s="1125" t="s">
        <v>3796</v>
      </c>
      <c r="I187" s="1125" t="s">
        <v>3797</v>
      </c>
      <c r="J187" s="1125">
        <v>1</v>
      </c>
      <c r="K187" s="1125">
        <v>1</v>
      </c>
    </row>
    <row r="188" spans="2:13" ht="25.5">
      <c r="B188" s="1125" t="s">
        <v>3809</v>
      </c>
      <c r="C188" s="1125"/>
      <c r="D188" s="1125" t="s">
        <v>3812</v>
      </c>
      <c r="E188" s="1125" t="s">
        <v>3813</v>
      </c>
      <c r="F188" s="1125" t="s">
        <v>3812</v>
      </c>
      <c r="G188" s="1125" t="s">
        <v>3815</v>
      </c>
      <c r="H188" s="1125" t="s">
        <v>3813</v>
      </c>
      <c r="I188" s="1125" t="s">
        <v>3816</v>
      </c>
      <c r="J188" s="1125">
        <v>1</v>
      </c>
      <c r="K188" s="1125">
        <v>1</v>
      </c>
    </row>
    <row r="189" spans="2:13">
      <c r="B189" s="1125" t="s">
        <v>3810</v>
      </c>
      <c r="C189" s="1125"/>
      <c r="D189" s="1125" t="s">
        <v>3817</v>
      </c>
      <c r="E189" s="1125" t="s">
        <v>3814</v>
      </c>
      <c r="F189" s="1125" t="s">
        <v>3817</v>
      </c>
      <c r="G189" s="1125" t="s">
        <v>3819</v>
      </c>
      <c r="H189" s="1125" t="s">
        <v>3814</v>
      </c>
      <c r="I189" s="1125" t="s">
        <v>3818</v>
      </c>
      <c r="J189" s="1125">
        <v>1</v>
      </c>
      <c r="K189" s="1125">
        <v>1</v>
      </c>
    </row>
  </sheetData>
  <phoneticPr fontId="44" type="noConversion"/>
  <conditionalFormatting sqref="B22:C22 E22 G22 C20:C21 I22:K22 J20:K21 B4:K15 J182:K182 B181:E181 G181 I181:K181 C182 B18:K18 B59:K107 B121:K180 B24:K56">
    <cfRule type="expression" dxfId="390" priority="212">
      <formula>_xlfn.ISFORMULA(B4)</formula>
    </cfRule>
  </conditionalFormatting>
  <conditionalFormatting sqref="C138 F138:I138">
    <cfRule type="expression" dxfId="389" priority="209">
      <formula>_xlfn.ISFORMULA(C138)</formula>
    </cfRule>
  </conditionalFormatting>
  <conditionalFormatting sqref="E139">
    <cfRule type="expression" dxfId="388" priority="208">
      <formula>_xlfn.ISFORMULA(E139)</formula>
    </cfRule>
  </conditionalFormatting>
  <conditionalFormatting sqref="E138">
    <cfRule type="expression" dxfId="387" priority="207">
      <formula>_xlfn.ISFORMULA(E138)</formula>
    </cfRule>
  </conditionalFormatting>
  <conditionalFormatting sqref="D139">
    <cfRule type="expression" dxfId="386" priority="206">
      <formula>_xlfn.ISFORMULA(D139)</formula>
    </cfRule>
  </conditionalFormatting>
  <conditionalFormatting sqref="D138">
    <cfRule type="expression" dxfId="385" priority="205">
      <formula>_xlfn.ISFORMULA(D138)</formula>
    </cfRule>
  </conditionalFormatting>
  <conditionalFormatting sqref="C61:I62">
    <cfRule type="expression" dxfId="384" priority="202">
      <formula>_xlfn.ISFORMULA(C61)</formula>
    </cfRule>
  </conditionalFormatting>
  <conditionalFormatting sqref="C92:F92 H92">
    <cfRule type="expression" dxfId="383" priority="196">
      <formula>_xlfn.ISFORMULA(C92)</formula>
    </cfRule>
  </conditionalFormatting>
  <conditionalFormatting sqref="C93:C94 C96:F96">
    <cfRule type="expression" dxfId="382" priority="193">
      <formula>_xlfn.ISFORMULA(C93)</formula>
    </cfRule>
  </conditionalFormatting>
  <conditionalFormatting sqref="H99 C97:I98 C99:F99">
    <cfRule type="expression" dxfId="381" priority="190">
      <formula>_xlfn.ISFORMULA(C97)</formula>
    </cfRule>
  </conditionalFormatting>
  <conditionalFormatting sqref="C100:F100 H100 C101:C107">
    <cfRule type="expression" dxfId="380" priority="187">
      <formula>_xlfn.ISFORMULA(C100)</formula>
    </cfRule>
  </conditionalFormatting>
  <conditionalFormatting sqref="E102:E104 E107">
    <cfRule type="expression" dxfId="379" priority="185">
      <formula>_xlfn.ISFORMULA(E102)</formula>
    </cfRule>
  </conditionalFormatting>
  <conditionalFormatting sqref="H102:H107">
    <cfRule type="expression" dxfId="378" priority="184">
      <formula>_xlfn.ISFORMULA(H102)</formula>
    </cfRule>
  </conditionalFormatting>
  <conditionalFormatting sqref="G99">
    <cfRule type="expression" dxfId="377" priority="176">
      <formula>_xlfn.ISFORMULA(G99)</formula>
    </cfRule>
  </conditionalFormatting>
  <conditionalFormatting sqref="I102:I107">
    <cfRule type="expression" dxfId="376" priority="182">
      <formula>_xlfn.ISFORMULA(I102)</formula>
    </cfRule>
  </conditionalFormatting>
  <conditionalFormatting sqref="I101">
    <cfRule type="expression" dxfId="375" priority="181">
      <formula>_xlfn.ISFORMULA(I101)</formula>
    </cfRule>
  </conditionalFormatting>
  <conditionalFormatting sqref="I100">
    <cfRule type="expression" dxfId="374" priority="180">
      <formula>_xlfn.ISFORMULA(I100)</formula>
    </cfRule>
  </conditionalFormatting>
  <conditionalFormatting sqref="I99">
    <cfRule type="expression" dxfId="373" priority="179">
      <formula>_xlfn.ISFORMULA(I99)</formula>
    </cfRule>
  </conditionalFormatting>
  <conditionalFormatting sqref="G101:G107">
    <cfRule type="expression" dxfId="372" priority="178">
      <formula>_xlfn.ISFORMULA(G101)</formula>
    </cfRule>
  </conditionalFormatting>
  <conditionalFormatting sqref="G100">
    <cfRule type="expression" dxfId="371" priority="177">
      <formula>_xlfn.ISFORMULA(G100)</formula>
    </cfRule>
  </conditionalFormatting>
  <conditionalFormatting sqref="G98">
    <cfRule type="expression" dxfId="370" priority="174">
      <formula>_xlfn.ISFORMULA(G98)</formula>
    </cfRule>
  </conditionalFormatting>
  <conditionalFormatting sqref="G99">
    <cfRule type="expression" dxfId="369" priority="175">
      <formula>_xlfn.ISFORMULA(G99)</formula>
    </cfRule>
  </conditionalFormatting>
  <conditionalFormatting sqref="I99">
    <cfRule type="expression" dxfId="368" priority="173">
      <formula>_xlfn.ISFORMULA(I99)</formula>
    </cfRule>
  </conditionalFormatting>
  <conditionalFormatting sqref="I98">
    <cfRule type="expression" dxfId="367" priority="172">
      <formula>_xlfn.ISFORMULA(I98)</formula>
    </cfRule>
  </conditionalFormatting>
  <conditionalFormatting sqref="I96">
    <cfRule type="expression" dxfId="366" priority="171">
      <formula>_xlfn.ISFORMULA(I96)</formula>
    </cfRule>
  </conditionalFormatting>
  <conditionalFormatting sqref="G96">
    <cfRule type="expression" dxfId="365" priority="170">
      <formula>_xlfn.ISFORMULA(G96)</formula>
    </cfRule>
  </conditionalFormatting>
  <conditionalFormatting sqref="G92">
    <cfRule type="expression" dxfId="364" priority="169">
      <formula>_xlfn.ISFORMULA(G92)</formula>
    </cfRule>
  </conditionalFormatting>
  <conditionalFormatting sqref="I92">
    <cfRule type="expression" dxfId="363" priority="168">
      <formula>_xlfn.ISFORMULA(I92)</formula>
    </cfRule>
  </conditionalFormatting>
  <conditionalFormatting sqref="H93:H94">
    <cfRule type="expression" dxfId="362" priority="166">
      <formula>_xlfn.ISFORMULA(H93)</formula>
    </cfRule>
  </conditionalFormatting>
  <conditionalFormatting sqref="H89:H90">
    <cfRule type="expression" dxfId="361" priority="165">
      <formula>_xlfn.ISFORMULA(H89)</formula>
    </cfRule>
  </conditionalFormatting>
  <conditionalFormatting sqref="D101">
    <cfRule type="expression" dxfId="360" priority="164">
      <formula>_xlfn.ISFORMULA(D101)</formula>
    </cfRule>
  </conditionalFormatting>
  <conditionalFormatting sqref="E101">
    <cfRule type="expression" dxfId="359" priority="163">
      <formula>_xlfn.ISFORMULA(E101)</formula>
    </cfRule>
  </conditionalFormatting>
  <conditionalFormatting sqref="H101">
    <cfRule type="expression" dxfId="358" priority="162">
      <formula>_xlfn.ISFORMULA(H101)</formula>
    </cfRule>
  </conditionalFormatting>
  <conditionalFormatting sqref="F101">
    <cfRule type="expression" dxfId="357" priority="161">
      <formula>_xlfn.ISFORMULA(F101)</formula>
    </cfRule>
  </conditionalFormatting>
  <conditionalFormatting sqref="D102:D106">
    <cfRule type="expression" dxfId="356" priority="160">
      <formula>_xlfn.ISFORMULA(D102)</formula>
    </cfRule>
  </conditionalFormatting>
  <conditionalFormatting sqref="F102:F107">
    <cfRule type="expression" dxfId="355" priority="159">
      <formula>_xlfn.ISFORMULA(F102)</formula>
    </cfRule>
  </conditionalFormatting>
  <conditionalFormatting sqref="E95">
    <cfRule type="expression" dxfId="354" priority="158">
      <formula>_xlfn.ISFORMULA(E95)</formula>
    </cfRule>
  </conditionalFormatting>
  <conditionalFormatting sqref="E105">
    <cfRule type="expression" dxfId="353" priority="157">
      <formula>_xlfn.ISFORMULA(E105)</formula>
    </cfRule>
  </conditionalFormatting>
  <conditionalFormatting sqref="E106">
    <cfRule type="expression" dxfId="352" priority="156">
      <formula>_xlfn.ISFORMULA(E106)</formula>
    </cfRule>
  </conditionalFormatting>
  <conditionalFormatting sqref="D107">
    <cfRule type="expression" dxfId="351" priority="155">
      <formula>_xlfn.ISFORMULA(D107)</formula>
    </cfRule>
  </conditionalFormatting>
  <conditionalFormatting sqref="B188:B1048576 B22 B174:B185 B59:B107 B121:B158 B2:B18 B24:B56">
    <cfRule type="duplicateValues" dxfId="350" priority="1656"/>
  </conditionalFormatting>
  <conditionalFormatting sqref="B23:E23 G23 I23:K23">
    <cfRule type="expression" dxfId="349" priority="141">
      <formula>_xlfn.ISFORMULA(B23)</formula>
    </cfRule>
  </conditionalFormatting>
  <conditionalFormatting sqref="B23">
    <cfRule type="duplicateValues" dxfId="348" priority="142"/>
  </conditionalFormatting>
  <conditionalFormatting sqref="D22">
    <cfRule type="expression" dxfId="347" priority="140">
      <formula>_xlfn.ISFORMULA(D22)</formula>
    </cfRule>
  </conditionalFormatting>
  <conditionalFormatting sqref="B108:K108 C110:K110 C119:K120 C111:E111 G111 I111:K111 B109:C109 G109 I109:K109">
    <cfRule type="expression" dxfId="346" priority="136">
      <formula>_xlfn.ISFORMULA(B108)</formula>
    </cfRule>
  </conditionalFormatting>
  <conditionalFormatting sqref="C108:C111 C119:C120">
    <cfRule type="expression" dxfId="345" priority="135">
      <formula>_xlfn.ISFORMULA(C108)</formula>
    </cfRule>
  </conditionalFormatting>
  <conditionalFormatting sqref="H108 H119:H120 H110">
    <cfRule type="expression" dxfId="344" priority="133">
      <formula>_xlfn.ISFORMULA(H108)</formula>
    </cfRule>
  </conditionalFormatting>
  <conditionalFormatting sqref="I108:I111 I119:I120">
    <cfRule type="expression" dxfId="343" priority="132">
      <formula>_xlfn.ISFORMULA(I108)</formula>
    </cfRule>
  </conditionalFormatting>
  <conditionalFormatting sqref="G108:G111 G119:G120">
    <cfRule type="expression" dxfId="342" priority="131">
      <formula>_xlfn.ISFORMULA(G108)</formula>
    </cfRule>
  </conditionalFormatting>
  <conditionalFormatting sqref="D108 D119:D120 D110:D111">
    <cfRule type="expression" dxfId="341" priority="130">
      <formula>_xlfn.ISFORMULA(D108)</formula>
    </cfRule>
  </conditionalFormatting>
  <conditionalFormatting sqref="F108 F119:F120 F110">
    <cfRule type="expression" dxfId="340" priority="129">
      <formula>_xlfn.ISFORMULA(F108)</formula>
    </cfRule>
  </conditionalFormatting>
  <conditionalFormatting sqref="E108">
    <cfRule type="expression" dxfId="339" priority="128">
      <formula>_xlfn.ISFORMULA(E108)</formula>
    </cfRule>
  </conditionalFormatting>
  <conditionalFormatting sqref="E110:E111 E119:E120">
    <cfRule type="expression" dxfId="338" priority="127">
      <formula>_xlfn.ISFORMULA(E110)</formula>
    </cfRule>
  </conditionalFormatting>
  <conditionalFormatting sqref="B108:B109">
    <cfRule type="duplicateValues" dxfId="337" priority="1670"/>
  </conditionalFormatting>
  <conditionalFormatting sqref="B20">
    <cfRule type="expression" dxfId="336" priority="124">
      <formula>_xlfn.ISFORMULA(B20)</formula>
    </cfRule>
  </conditionalFormatting>
  <conditionalFormatting sqref="B20">
    <cfRule type="duplicateValues" dxfId="335" priority="125"/>
  </conditionalFormatting>
  <conditionalFormatting sqref="B21">
    <cfRule type="expression" dxfId="334" priority="122">
      <formula>_xlfn.ISFORMULA(B21)</formula>
    </cfRule>
  </conditionalFormatting>
  <conditionalFormatting sqref="B21">
    <cfRule type="duplicateValues" dxfId="333" priority="123"/>
  </conditionalFormatting>
  <conditionalFormatting sqref="H21">
    <cfRule type="expression" dxfId="332" priority="97">
      <formula>_xlfn.ISFORMULA(H21)</formula>
    </cfRule>
  </conditionalFormatting>
  <conditionalFormatting sqref="I20">
    <cfRule type="expression" dxfId="331" priority="121">
      <formula>_xlfn.ISFORMULA(I20)</formula>
    </cfRule>
  </conditionalFormatting>
  <conditionalFormatting sqref="I21">
    <cfRule type="expression" dxfId="330" priority="120">
      <formula>_xlfn.ISFORMULA(I21)</formula>
    </cfRule>
  </conditionalFormatting>
  <conditionalFormatting sqref="G20">
    <cfRule type="expression" dxfId="329" priority="119">
      <formula>_xlfn.ISFORMULA(G20)</formula>
    </cfRule>
  </conditionalFormatting>
  <conditionalFormatting sqref="G21">
    <cfRule type="expression" dxfId="328" priority="118">
      <formula>_xlfn.ISFORMULA(G21)</formula>
    </cfRule>
  </conditionalFormatting>
  <conditionalFormatting sqref="E20">
    <cfRule type="expression" dxfId="327" priority="117">
      <formula>_xlfn.ISFORMULA(E20)</formula>
    </cfRule>
  </conditionalFormatting>
  <conditionalFormatting sqref="E21">
    <cfRule type="expression" dxfId="326" priority="111">
      <formula>_xlfn.ISFORMULA(E21)</formula>
    </cfRule>
  </conditionalFormatting>
  <conditionalFormatting sqref="H22">
    <cfRule type="expression" dxfId="325" priority="104">
      <formula>_xlfn.ISFORMULA(H22)</formula>
    </cfRule>
  </conditionalFormatting>
  <conditionalFormatting sqref="F23">
    <cfRule type="expression" dxfId="324" priority="108">
      <formula>_xlfn.ISFORMULA(F23)</formula>
    </cfRule>
  </conditionalFormatting>
  <conditionalFormatting sqref="F22">
    <cfRule type="expression" dxfId="323" priority="107">
      <formula>_xlfn.ISFORMULA(F22)</formula>
    </cfRule>
  </conditionalFormatting>
  <conditionalFormatting sqref="F21">
    <cfRule type="expression" dxfId="322" priority="106">
      <formula>_xlfn.ISFORMULA(F21)</formula>
    </cfRule>
  </conditionalFormatting>
  <conditionalFormatting sqref="F20">
    <cfRule type="expression" dxfId="321" priority="105">
      <formula>_xlfn.ISFORMULA(F20)</formula>
    </cfRule>
  </conditionalFormatting>
  <conditionalFormatting sqref="H23">
    <cfRule type="expression" dxfId="320" priority="103">
      <formula>_xlfn.ISFORMULA(H23)</formula>
    </cfRule>
  </conditionalFormatting>
  <conditionalFormatting sqref="D21">
    <cfRule type="expression" dxfId="319" priority="100">
      <formula>_xlfn.ISFORMULA(D21)</formula>
    </cfRule>
  </conditionalFormatting>
  <conditionalFormatting sqref="D20">
    <cfRule type="expression" dxfId="318" priority="99">
      <formula>_xlfn.ISFORMULA(D20)</formula>
    </cfRule>
  </conditionalFormatting>
  <conditionalFormatting sqref="H20">
    <cfRule type="expression" dxfId="317" priority="98">
      <formula>_xlfn.ISFORMULA(H20)</formula>
    </cfRule>
  </conditionalFormatting>
  <conditionalFormatting sqref="B19:K19">
    <cfRule type="expression" dxfId="316" priority="94">
      <formula>_xlfn.ISFORMULA(B19)</formula>
    </cfRule>
  </conditionalFormatting>
  <conditionalFormatting sqref="B19">
    <cfRule type="duplicateValues" dxfId="315" priority="95"/>
  </conditionalFormatting>
  <conditionalFormatting sqref="B110:B111 B119:B120">
    <cfRule type="expression" dxfId="314" priority="92">
      <formula>_xlfn.ISFORMULA(B110)</formula>
    </cfRule>
  </conditionalFormatting>
  <conditionalFormatting sqref="B110:B111 B119:B120">
    <cfRule type="duplicateValues" dxfId="313" priority="93"/>
  </conditionalFormatting>
  <conditionalFormatting sqref="H138">
    <cfRule type="expression" dxfId="312" priority="91">
      <formula>_xlfn.ISFORMULA(H138)</formula>
    </cfRule>
  </conditionalFormatting>
  <conditionalFormatting sqref="F120">
    <cfRule type="expression" dxfId="311" priority="89">
      <formula>_xlfn.ISFORMULA(F120)</formula>
    </cfRule>
  </conditionalFormatting>
  <conditionalFormatting sqref="H120">
    <cfRule type="expression" dxfId="310" priority="87">
      <formula>_xlfn.ISFORMULA(H120)</formula>
    </cfRule>
  </conditionalFormatting>
  <conditionalFormatting sqref="C112:E118 G112:G118 I112:K118">
    <cfRule type="expression" dxfId="309" priority="85">
      <formula>_xlfn.ISFORMULA(C112)</formula>
    </cfRule>
  </conditionalFormatting>
  <conditionalFormatting sqref="C112:C118">
    <cfRule type="expression" dxfId="308" priority="84">
      <formula>_xlfn.ISFORMULA(C112)</formula>
    </cfRule>
  </conditionalFormatting>
  <conditionalFormatting sqref="I112:I118">
    <cfRule type="expression" dxfId="307" priority="82">
      <formula>_xlfn.ISFORMULA(I112)</formula>
    </cfRule>
  </conditionalFormatting>
  <conditionalFormatting sqref="G112:G118">
    <cfRule type="expression" dxfId="306" priority="81">
      <formula>_xlfn.ISFORMULA(G112)</formula>
    </cfRule>
  </conditionalFormatting>
  <conditionalFormatting sqref="D112:D118">
    <cfRule type="expression" dxfId="305" priority="80">
      <formula>_xlfn.ISFORMULA(D112)</formula>
    </cfRule>
  </conditionalFormatting>
  <conditionalFormatting sqref="E112:E118">
    <cfRule type="expression" dxfId="304" priority="78">
      <formula>_xlfn.ISFORMULA(E112)</formula>
    </cfRule>
  </conditionalFormatting>
  <conditionalFormatting sqref="B112:B118">
    <cfRule type="expression" dxfId="303" priority="76">
      <formula>_xlfn.ISFORMULA(B112)</formula>
    </cfRule>
  </conditionalFormatting>
  <conditionalFormatting sqref="B112:B118">
    <cfRule type="duplicateValues" dxfId="302" priority="77"/>
  </conditionalFormatting>
  <conditionalFormatting sqref="F106">
    <cfRule type="expression" dxfId="301" priority="65">
      <formula>_xlfn.ISFORMULA(F106)</formula>
    </cfRule>
  </conditionalFormatting>
  <conditionalFormatting sqref="H106">
    <cfRule type="expression" dxfId="300" priority="64">
      <formula>_xlfn.ISFORMULA(H106)</formula>
    </cfRule>
  </conditionalFormatting>
  <conditionalFormatting sqref="E107">
    <cfRule type="expression" dxfId="299" priority="63">
      <formula>_xlfn.ISFORMULA(E107)</formula>
    </cfRule>
  </conditionalFormatting>
  <conditionalFormatting sqref="F107">
    <cfRule type="expression" dxfId="298" priority="62">
      <formula>_xlfn.ISFORMULA(F107)</formula>
    </cfRule>
  </conditionalFormatting>
  <conditionalFormatting sqref="H107">
    <cfRule type="expression" dxfId="297" priority="61">
      <formula>_xlfn.ISFORMULA(H107)</formula>
    </cfRule>
  </conditionalFormatting>
  <conditionalFormatting sqref="H107">
    <cfRule type="expression" dxfId="296" priority="60">
      <formula>_xlfn.ISFORMULA(H107)</formula>
    </cfRule>
  </conditionalFormatting>
  <conditionalFormatting sqref="F111">
    <cfRule type="expression" dxfId="295" priority="59">
      <formula>_xlfn.ISFORMULA(F111)</formula>
    </cfRule>
  </conditionalFormatting>
  <conditionalFormatting sqref="F111">
    <cfRule type="expression" dxfId="294" priority="58">
      <formula>_xlfn.ISFORMULA(F111)</formula>
    </cfRule>
  </conditionalFormatting>
  <conditionalFormatting sqref="F112 F114:F118">
    <cfRule type="expression" dxfId="293" priority="57">
      <formula>_xlfn.ISFORMULA(F112)</formula>
    </cfRule>
  </conditionalFormatting>
  <conditionalFormatting sqref="F112 F114:F118">
    <cfRule type="expression" dxfId="292" priority="56">
      <formula>_xlfn.ISFORMULA(F112)</formula>
    </cfRule>
  </conditionalFormatting>
  <conditionalFormatting sqref="H111">
    <cfRule type="expression" dxfId="291" priority="55">
      <formula>_xlfn.ISFORMULA(H111)</formula>
    </cfRule>
  </conditionalFormatting>
  <conditionalFormatting sqref="H111">
    <cfRule type="expression" dxfId="290" priority="54">
      <formula>_xlfn.ISFORMULA(H111)</formula>
    </cfRule>
  </conditionalFormatting>
  <conditionalFormatting sqref="H112 H114:H118">
    <cfRule type="expression" dxfId="289" priority="53">
      <formula>_xlfn.ISFORMULA(H112)</formula>
    </cfRule>
  </conditionalFormatting>
  <conditionalFormatting sqref="H112 H114:H118">
    <cfRule type="expression" dxfId="288" priority="52">
      <formula>_xlfn.ISFORMULA(H112)</formula>
    </cfRule>
  </conditionalFormatting>
  <conditionalFormatting sqref="F113">
    <cfRule type="expression" dxfId="287" priority="51">
      <formula>_xlfn.ISFORMULA(F113)</formula>
    </cfRule>
  </conditionalFormatting>
  <conditionalFormatting sqref="F113">
    <cfRule type="expression" dxfId="286" priority="50">
      <formula>_xlfn.ISFORMULA(F113)</formula>
    </cfRule>
  </conditionalFormatting>
  <conditionalFormatting sqref="H113">
    <cfRule type="expression" dxfId="285" priority="49">
      <formula>_xlfn.ISFORMULA(H113)</formula>
    </cfRule>
  </conditionalFormatting>
  <conditionalFormatting sqref="H113">
    <cfRule type="expression" dxfId="284" priority="48">
      <formula>_xlfn.ISFORMULA(H113)</formula>
    </cfRule>
  </conditionalFormatting>
  <conditionalFormatting sqref="F104">
    <cfRule type="expression" dxfId="283" priority="47">
      <formula>_xlfn.ISFORMULA(F104)</formula>
    </cfRule>
  </conditionalFormatting>
  <conditionalFormatting sqref="H104">
    <cfRule type="expression" dxfId="282" priority="46">
      <formula>_xlfn.ISFORMULA(H104)</formula>
    </cfRule>
  </conditionalFormatting>
  <conditionalFormatting sqref="F182">
    <cfRule type="expression" dxfId="281" priority="45">
      <formula>_xlfn.ISFORMULA(F182)</formula>
    </cfRule>
  </conditionalFormatting>
  <conditionalFormatting sqref="H182">
    <cfRule type="expression" dxfId="280" priority="44">
      <formula>_xlfn.ISFORMULA(H182)</formula>
    </cfRule>
  </conditionalFormatting>
  <conditionalFormatting sqref="D109:E109">
    <cfRule type="expression" dxfId="279" priority="43">
      <formula>_xlfn.ISFORMULA(D109)</formula>
    </cfRule>
  </conditionalFormatting>
  <conditionalFormatting sqref="F109">
    <cfRule type="expression" dxfId="278" priority="42">
      <formula>_xlfn.ISFORMULA(F109)</formula>
    </cfRule>
  </conditionalFormatting>
  <conditionalFormatting sqref="H109">
    <cfRule type="expression" dxfId="277" priority="41">
      <formula>_xlfn.ISFORMULA(H109)</formula>
    </cfRule>
  </conditionalFormatting>
  <conditionalFormatting sqref="F181">
    <cfRule type="expression" dxfId="276" priority="40">
      <formula>_xlfn.ISFORMULA(F181)</formula>
    </cfRule>
  </conditionalFormatting>
  <conditionalFormatting sqref="H181">
    <cfRule type="expression" dxfId="275" priority="39">
      <formula>_xlfn.ISFORMULA(H181)</formula>
    </cfRule>
  </conditionalFormatting>
  <conditionalFormatting sqref="J183:K183">
    <cfRule type="expression" dxfId="274" priority="37">
      <formula>_xlfn.ISFORMULA(J183)</formula>
    </cfRule>
  </conditionalFormatting>
  <conditionalFormatting sqref="B185:I185">
    <cfRule type="expression" dxfId="273" priority="33">
      <formula>_xlfn.ISFORMULA(B185)</formula>
    </cfRule>
  </conditionalFormatting>
  <conditionalFormatting sqref="J184:K185">
    <cfRule type="expression" dxfId="272" priority="31">
      <formula>_xlfn.ISFORMULA(J184)</formula>
    </cfRule>
  </conditionalFormatting>
  <conditionalFormatting sqref="B186:K186">
    <cfRule type="expression" dxfId="271" priority="28">
      <formula>_xlfn.ISFORMULA(B186)</formula>
    </cfRule>
  </conditionalFormatting>
  <conditionalFormatting sqref="C186">
    <cfRule type="expression" dxfId="270" priority="27">
      <formula>_xlfn.ISFORMULA(C186)</formula>
    </cfRule>
  </conditionalFormatting>
  <conditionalFormatting sqref="H186">
    <cfRule type="expression" dxfId="269" priority="26">
      <formula>_xlfn.ISFORMULA(H186)</formula>
    </cfRule>
  </conditionalFormatting>
  <conditionalFormatting sqref="I186">
    <cfRule type="expression" dxfId="268" priority="25">
      <formula>_xlfn.ISFORMULA(I186)</formula>
    </cfRule>
  </conditionalFormatting>
  <conditionalFormatting sqref="G186">
    <cfRule type="expression" dxfId="267" priority="24">
      <formula>_xlfn.ISFORMULA(G186)</formula>
    </cfRule>
  </conditionalFormatting>
  <conditionalFormatting sqref="D186">
    <cfRule type="expression" dxfId="266" priority="23">
      <formula>_xlfn.ISFORMULA(D186)</formula>
    </cfRule>
  </conditionalFormatting>
  <conditionalFormatting sqref="F186">
    <cfRule type="expression" dxfId="265" priority="22">
      <formula>_xlfn.ISFORMULA(F186)</formula>
    </cfRule>
  </conditionalFormatting>
  <conditionalFormatting sqref="E186">
    <cfRule type="expression" dxfId="264" priority="21">
      <formula>_xlfn.ISFORMULA(E186)</formula>
    </cfRule>
  </conditionalFormatting>
  <conditionalFormatting sqref="B186">
    <cfRule type="duplicateValues" dxfId="263" priority="29"/>
  </conditionalFormatting>
  <conditionalFormatting sqref="B187:C187 G187 I187:K187">
    <cfRule type="expression" dxfId="262" priority="18">
      <formula>_xlfn.ISFORMULA(B187)</formula>
    </cfRule>
  </conditionalFormatting>
  <conditionalFormatting sqref="C187">
    <cfRule type="expression" dxfId="261" priority="17">
      <formula>_xlfn.ISFORMULA(C187)</formula>
    </cfRule>
  </conditionalFormatting>
  <conditionalFormatting sqref="I187">
    <cfRule type="expression" dxfId="260" priority="16">
      <formula>_xlfn.ISFORMULA(I187)</formula>
    </cfRule>
  </conditionalFormatting>
  <conditionalFormatting sqref="G187">
    <cfRule type="expression" dxfId="259" priority="15">
      <formula>_xlfn.ISFORMULA(G187)</formula>
    </cfRule>
  </conditionalFormatting>
  <conditionalFormatting sqref="B187">
    <cfRule type="duplicateValues" dxfId="258" priority="19"/>
  </conditionalFormatting>
  <conditionalFormatting sqref="D187:E187">
    <cfRule type="expression" dxfId="257" priority="14">
      <formula>_xlfn.ISFORMULA(D187)</formula>
    </cfRule>
  </conditionalFormatting>
  <conditionalFormatting sqref="F187">
    <cfRule type="expression" dxfId="256" priority="13">
      <formula>_xlfn.ISFORMULA(F187)</formula>
    </cfRule>
  </conditionalFormatting>
  <conditionalFormatting sqref="H187">
    <cfRule type="expression" dxfId="255" priority="12">
      <formula>_xlfn.ISFORMULA(H187)</formula>
    </cfRule>
  </conditionalFormatting>
  <conditionalFormatting sqref="B16:K17">
    <cfRule type="expression" dxfId="254" priority="10">
      <formula>_xlfn.ISFORMULA(B16)</formula>
    </cfRule>
  </conditionalFormatting>
  <conditionalFormatting sqref="J188:K189">
    <cfRule type="expression" dxfId="253" priority="8">
      <formula>_xlfn.ISFORMULA(J188)</formula>
    </cfRule>
  </conditionalFormatting>
  <conditionalFormatting sqref="B57:K58">
    <cfRule type="expression" dxfId="252" priority="2">
      <formula>_xlfn.ISFORMULA(B57)</formula>
    </cfRule>
  </conditionalFormatting>
  <conditionalFormatting sqref="B57:B58">
    <cfRule type="duplicateValues" dxfId="251" priority="3"/>
  </conditionalFormatting>
  <conditionalFormatting sqref="B159:B173">
    <cfRule type="duplicateValues" dxfId="250" priority="7383"/>
  </conditionalFormatting>
  <conditionalFormatting sqref="B17">
    <cfRule type="expression" dxfId="249" priority="1">
      <formula>_xlfn.ISFORMULA(B17)</formula>
    </cfRule>
  </conditionalFormatting>
  <pageMargins left="0.7" right="0.7" top="0.78740157499999996" bottom="0.78740157499999996"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iconSet" priority="211" id="{38723429-ABF6-4288-B7DB-774F1F33A26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J138:K138</xm:sqref>
        </x14:conditionalFormatting>
        <x14:conditionalFormatting xmlns:xm="http://schemas.microsoft.com/office/excel/2006/main">
          <x14:cfRule type="iconSet" priority="201" id="{F40A7204-B651-4A30-B389-20B8BAF1960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J61:K62</xm:sqref>
        </x14:conditionalFormatting>
        <x14:conditionalFormatting xmlns:xm="http://schemas.microsoft.com/office/excel/2006/main">
          <x14:cfRule type="iconSet" priority="199" id="{DC469C1D-ECBD-41D9-B2D1-F7C5F73361A2}">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J29:K29</xm:sqref>
        </x14:conditionalFormatting>
        <x14:conditionalFormatting xmlns:xm="http://schemas.microsoft.com/office/excel/2006/main">
          <x14:cfRule type="iconSet" priority="198" id="{A158C564-5879-4C6D-9778-E13A99C63E28}">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J89:K92</xm:sqref>
        </x14:conditionalFormatting>
        <x14:conditionalFormatting xmlns:xm="http://schemas.microsoft.com/office/excel/2006/main">
          <x14:cfRule type="iconSet" priority="195" id="{535995FA-A19D-46FD-B03E-530F0110220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J93:K96</xm:sqref>
        </x14:conditionalFormatting>
        <x14:conditionalFormatting xmlns:xm="http://schemas.microsoft.com/office/excel/2006/main">
          <x14:cfRule type="iconSet" priority="1615" id="{2AB6E3F8-C62C-4030-9EB6-F9ED01717A3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J97:K99</xm:sqref>
        </x14:conditionalFormatting>
        <x14:conditionalFormatting xmlns:xm="http://schemas.microsoft.com/office/excel/2006/main">
          <x14:cfRule type="iconSet" priority="189" id="{C0131A80-10DC-4035-B619-15881C1EC59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J100:K102</xm:sqref>
        </x14:conditionalFormatting>
        <x14:conditionalFormatting xmlns:xm="http://schemas.microsoft.com/office/excel/2006/main">
          <x14:cfRule type="iconSet" priority="143" id="{BE7FBDFD-C958-4E5C-B587-61CE2986619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J23:K23</xm:sqref>
        </x14:conditionalFormatting>
        <x14:conditionalFormatting xmlns:xm="http://schemas.microsoft.com/office/excel/2006/main">
          <x14:cfRule type="iconSet" priority="1671" id="{C9F73F39-81EA-4C68-A5A8-4C84EE90B9A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J108:K111 J119:K120</xm:sqref>
        </x14:conditionalFormatting>
        <x14:conditionalFormatting xmlns:xm="http://schemas.microsoft.com/office/excel/2006/main">
          <x14:cfRule type="iconSet" priority="96" id="{6C0200F8-F617-47E4-9E91-DAEB5B8C278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J19:K19</xm:sqref>
        </x14:conditionalFormatting>
        <x14:conditionalFormatting xmlns:xm="http://schemas.microsoft.com/office/excel/2006/main">
          <x14:cfRule type="iconSet" priority="86" id="{B5E37416-4B29-4AEC-9CD2-FCAD2CDA01E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J112:K118</xm:sqref>
        </x14:conditionalFormatting>
        <x14:conditionalFormatting xmlns:xm="http://schemas.microsoft.com/office/excel/2006/main">
          <x14:cfRule type="iconSet" priority="38" id="{1B2DE271-3464-49F3-B637-DD7CE5064FE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J183:K183</xm:sqref>
        </x14:conditionalFormatting>
        <x14:conditionalFormatting xmlns:xm="http://schemas.microsoft.com/office/excel/2006/main">
          <x14:cfRule type="iconSet" priority="32" id="{B8E12BC7-4292-4F95-82DC-B5DE5A03322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J184:K185</xm:sqref>
        </x14:conditionalFormatting>
        <x14:conditionalFormatting xmlns:xm="http://schemas.microsoft.com/office/excel/2006/main">
          <x14:cfRule type="iconSet" priority="30" id="{11604B03-EACF-4A82-AF36-F6D59030EBE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J186:K186</xm:sqref>
        </x14:conditionalFormatting>
        <x14:conditionalFormatting xmlns:xm="http://schemas.microsoft.com/office/excel/2006/main">
          <x14:cfRule type="iconSet" priority="20" id="{93B4091A-1812-43ED-B043-10FF468214A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J187:K187</xm:sqref>
        </x14:conditionalFormatting>
        <x14:conditionalFormatting xmlns:xm="http://schemas.microsoft.com/office/excel/2006/main">
          <x14:cfRule type="iconSet" priority="11" id="{862ED97C-BD85-4E78-A320-9FC595B437F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J16:K17</xm:sqref>
        </x14:conditionalFormatting>
        <x14:conditionalFormatting xmlns:xm="http://schemas.microsoft.com/office/excel/2006/main">
          <x14:cfRule type="iconSet" priority="9" id="{39CD90A5-D3DC-4515-B4C7-79CDA469FF55}">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J188:K189</xm:sqref>
        </x14:conditionalFormatting>
        <x14:conditionalFormatting xmlns:xm="http://schemas.microsoft.com/office/excel/2006/main">
          <x14:cfRule type="iconSet" priority="4" id="{9EB8053E-EC19-4306-BDFA-CC4EC062772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J57:K58</xm:sqref>
        </x14:conditionalFormatting>
        <x14:conditionalFormatting xmlns:xm="http://schemas.microsoft.com/office/excel/2006/main">
          <x14:cfRule type="iconSet" priority="1753" id="{9E818B33-2751-42F9-BFDE-3E90AB434B3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J174:K182 J103:K107 J30:K56 J63:K88 J24:K28 J121:K137 J4:K15 J20:K22 J18:K18 J59:K60 J139:K158</xm:sqref>
        </x14:conditionalFormatting>
        <x14:conditionalFormatting xmlns:xm="http://schemas.microsoft.com/office/excel/2006/main">
          <x14:cfRule type="iconSet" priority="7394" id="{C6FBF09A-B3D2-4A2B-9E47-518B947DC53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J159:K173</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EBF02-412C-4E1B-B2F1-C1ADE65D082C}">
  <sheetPr codeName="TabAssemblyData">
    <tabColor theme="9"/>
  </sheetPr>
  <dimension ref="A1:G404"/>
  <sheetViews>
    <sheetView showGridLines="0" zoomScale="115" zoomScaleNormal="115" workbookViewId="0">
      <selection activeCell="C55" sqref="C55"/>
    </sheetView>
  </sheetViews>
  <sheetFormatPr baseColWidth="10" defaultColWidth="11.42578125" defaultRowHeight="12.75"/>
  <cols>
    <col min="1" max="1" width="28.7109375" bestFit="1" customWidth="1"/>
    <col min="2" max="2" width="38.85546875" bestFit="1" customWidth="1"/>
    <col min="3" max="3" width="38.42578125" style="1" customWidth="1"/>
    <col min="4" max="4" width="27.28515625" style="1" bestFit="1" customWidth="1"/>
    <col min="5" max="7" width="11.42578125" style="1"/>
  </cols>
  <sheetData>
    <row r="1" spans="1:4">
      <c r="A1" t="s">
        <v>2671</v>
      </c>
      <c r="B1" t="s">
        <v>50</v>
      </c>
      <c r="C1" s="1" t="s">
        <v>54</v>
      </c>
      <c r="D1" s="1" t="s">
        <v>2672</v>
      </c>
    </row>
    <row r="2" spans="1:4">
      <c r="B2" s="993" t="s">
        <v>2673</v>
      </c>
      <c r="C2" s="994" t="s">
        <v>2674</v>
      </c>
      <c r="D2" s="601" t="s">
        <v>2675</v>
      </c>
    </row>
    <row r="3" spans="1:4">
      <c r="B3" s="940" t="s">
        <v>2676</v>
      </c>
      <c r="C3" s="994" t="s">
        <v>2677</v>
      </c>
      <c r="D3" s="601" t="s">
        <v>2678</v>
      </c>
    </row>
    <row r="4" spans="1:4">
      <c r="B4" s="940" t="s">
        <v>2679</v>
      </c>
      <c r="C4" s="994" t="s">
        <v>2680</v>
      </c>
      <c r="D4" s="601" t="s">
        <v>2681</v>
      </c>
    </row>
    <row r="5" spans="1:4">
      <c r="B5" s="940" t="s">
        <v>2682</v>
      </c>
      <c r="C5" s="994" t="s">
        <v>2683</v>
      </c>
      <c r="D5" s="601" t="s">
        <v>2684</v>
      </c>
    </row>
    <row r="6" spans="1:4">
      <c r="B6" s="993" t="s">
        <v>2685</v>
      </c>
      <c r="C6" s="994" t="s">
        <v>2686</v>
      </c>
      <c r="D6" s="601" t="s">
        <v>2687</v>
      </c>
    </row>
    <row r="7" spans="1:4">
      <c r="B7" s="940" t="s">
        <v>2688</v>
      </c>
      <c r="C7" s="601" t="s">
        <v>2689</v>
      </c>
      <c r="D7" s="601" t="s">
        <v>2690</v>
      </c>
    </row>
    <row r="8" spans="1:4">
      <c r="B8" s="940" t="s">
        <v>2691</v>
      </c>
      <c r="C8" s="601" t="s">
        <v>2692</v>
      </c>
      <c r="D8" s="601" t="s">
        <v>2693</v>
      </c>
    </row>
    <row r="9" spans="1:4">
      <c r="B9" s="940" t="s">
        <v>2694</v>
      </c>
      <c r="C9" s="601" t="s">
        <v>2695</v>
      </c>
      <c r="D9" s="601" t="s">
        <v>2696</v>
      </c>
    </row>
    <row r="10" spans="1:4">
      <c r="B10" s="993" t="s">
        <v>2697</v>
      </c>
      <c r="C10" s="601" t="s">
        <v>2698</v>
      </c>
      <c r="D10" s="994" t="s">
        <v>2699</v>
      </c>
    </row>
    <row r="11" spans="1:4">
      <c r="B11" s="940" t="s">
        <v>2700</v>
      </c>
      <c r="C11" s="994" t="s">
        <v>2701</v>
      </c>
      <c r="D11" s="994" t="s">
        <v>2702</v>
      </c>
    </row>
    <row r="12" spans="1:4">
      <c r="B12" s="940" t="s">
        <v>2703</v>
      </c>
      <c r="C12" s="994" t="s">
        <v>2704</v>
      </c>
      <c r="D12" s="994" t="s">
        <v>2705</v>
      </c>
    </row>
    <row r="13" spans="1:4">
      <c r="B13" s="940" t="s">
        <v>2706</v>
      </c>
      <c r="C13" s="994" t="s">
        <v>2707</v>
      </c>
      <c r="D13" s="994" t="s">
        <v>2708</v>
      </c>
    </row>
    <row r="14" spans="1:4">
      <c r="B14" t="s">
        <v>2709</v>
      </c>
      <c r="C14" s="994" t="s">
        <v>2710</v>
      </c>
      <c r="D14" s="994" t="s">
        <v>2711</v>
      </c>
    </row>
    <row r="15" spans="1:4">
      <c r="B15" s="940" t="s">
        <v>2712</v>
      </c>
      <c r="C15" s="940" t="s">
        <v>2713</v>
      </c>
      <c r="D15" s="994" t="s">
        <v>2714</v>
      </c>
    </row>
    <row r="16" spans="1:4">
      <c r="B16" s="940" t="s">
        <v>2715</v>
      </c>
      <c r="C16" s="940" t="s">
        <v>2716</v>
      </c>
      <c r="D16" s="994" t="s">
        <v>2717</v>
      </c>
    </row>
    <row r="17" spans="2:4">
      <c r="B17" s="940" t="s">
        <v>2718</v>
      </c>
      <c r="C17" s="940" t="s">
        <v>2719</v>
      </c>
      <c r="D17" s="994" t="s">
        <v>2720</v>
      </c>
    </row>
    <row r="18" spans="2:4">
      <c r="B18" s="993" t="s">
        <v>2721</v>
      </c>
      <c r="C18" s="994" t="s">
        <v>2722</v>
      </c>
      <c r="D18" s="994" t="s">
        <v>2723</v>
      </c>
    </row>
    <row r="19" spans="2:4">
      <c r="B19" s="940" t="s">
        <v>2724</v>
      </c>
      <c r="C19" s="994" t="s">
        <v>2725</v>
      </c>
      <c r="D19" s="994" t="s">
        <v>2726</v>
      </c>
    </row>
    <row r="20" spans="2:4">
      <c r="B20" s="940" t="s">
        <v>2727</v>
      </c>
      <c r="C20" s="994" t="s">
        <v>2728</v>
      </c>
      <c r="D20" s="994" t="s">
        <v>2729</v>
      </c>
    </row>
    <row r="21" spans="2:4">
      <c r="B21" s="940" t="s">
        <v>2730</v>
      </c>
      <c r="C21" s="994" t="s">
        <v>2731</v>
      </c>
      <c r="D21" s="994" t="s">
        <v>2732</v>
      </c>
    </row>
    <row r="22" spans="2:4">
      <c r="B22" s="993" t="s">
        <v>2733</v>
      </c>
      <c r="C22" s="994" t="s">
        <v>2734</v>
      </c>
      <c r="D22" s="994" t="s">
        <v>2735</v>
      </c>
    </row>
    <row r="23" spans="2:4">
      <c r="B23" s="919" t="s">
        <v>2736</v>
      </c>
      <c r="C23" s="601" t="s">
        <v>2737</v>
      </c>
      <c r="D23" s="994" t="s">
        <v>2738</v>
      </c>
    </row>
    <row r="24" spans="2:4">
      <c r="B24" s="919" t="s">
        <v>2739</v>
      </c>
      <c r="C24" s="601" t="s">
        <v>2740</v>
      </c>
      <c r="D24" s="994" t="s">
        <v>2741</v>
      </c>
    </row>
    <row r="25" spans="2:4">
      <c r="B25" s="919" t="s">
        <v>2742</v>
      </c>
      <c r="C25" s="601" t="s">
        <v>2743</v>
      </c>
      <c r="D25" s="994" t="s">
        <v>2744</v>
      </c>
    </row>
    <row r="26" spans="2:4">
      <c r="B26" s="993" t="s">
        <v>2745</v>
      </c>
      <c r="C26" s="994" t="s">
        <v>2746</v>
      </c>
      <c r="D26" s="994" t="s">
        <v>2747</v>
      </c>
    </row>
    <row r="27" spans="2:4">
      <c r="B27" s="993" t="s">
        <v>2748</v>
      </c>
      <c r="C27" s="994" t="s">
        <v>2749</v>
      </c>
      <c r="D27" s="994" t="s">
        <v>2750</v>
      </c>
    </row>
    <row r="28" spans="2:4">
      <c r="B28" t="s">
        <v>2751</v>
      </c>
      <c r="C28" s="994" t="s">
        <v>2752</v>
      </c>
      <c r="D28" s="994" t="s">
        <v>2753</v>
      </c>
    </row>
    <row r="29" spans="2:4">
      <c r="B29" s="940" t="s">
        <v>2754</v>
      </c>
      <c r="C29" s="601" t="s">
        <v>2755</v>
      </c>
      <c r="D29" s="994" t="s">
        <v>2756</v>
      </c>
    </row>
    <row r="30" spans="2:4">
      <c r="B30" s="940" t="s">
        <v>2757</v>
      </c>
      <c r="C30" s="601" t="s">
        <v>2758</v>
      </c>
      <c r="D30" s="994" t="s">
        <v>2759</v>
      </c>
    </row>
    <row r="31" spans="2:4">
      <c r="B31" s="940" t="s">
        <v>2760</v>
      </c>
      <c r="C31" s="601" t="s">
        <v>2761</v>
      </c>
      <c r="D31" s="994" t="s">
        <v>2762</v>
      </c>
    </row>
    <row r="32" spans="2:4">
      <c r="B32" s="940" t="s">
        <v>2763</v>
      </c>
      <c r="C32" s="601" t="s">
        <v>2764</v>
      </c>
      <c r="D32" s="994" t="s">
        <v>2765</v>
      </c>
    </row>
    <row r="33" spans="2:4">
      <c r="B33" s="993" t="s">
        <v>2766</v>
      </c>
      <c r="C33" s="994" t="s">
        <v>2767</v>
      </c>
      <c r="D33" s="994" t="s">
        <v>2768</v>
      </c>
    </row>
    <row r="34" spans="2:4">
      <c r="B34" s="994" t="s">
        <v>2769</v>
      </c>
      <c r="C34" s="994" t="s">
        <v>2770</v>
      </c>
      <c r="D34" s="994" t="s">
        <v>2771</v>
      </c>
    </row>
    <row r="35" spans="2:4">
      <c r="B35" s="940" t="s">
        <v>2772</v>
      </c>
      <c r="C35" s="601" t="s">
        <v>2773</v>
      </c>
      <c r="D35" s="994" t="s">
        <v>2774</v>
      </c>
    </row>
    <row r="36" spans="2:4">
      <c r="B36" s="940" t="s">
        <v>2775</v>
      </c>
      <c r="C36" s="601" t="s">
        <v>2776</v>
      </c>
      <c r="D36" s="994" t="s">
        <v>2777</v>
      </c>
    </row>
    <row r="37" spans="2:4">
      <c r="B37" s="940" t="s">
        <v>2778</v>
      </c>
      <c r="C37" s="601" t="s">
        <v>2779</v>
      </c>
      <c r="D37" s="994" t="s">
        <v>2780</v>
      </c>
    </row>
    <row r="38" spans="2:4">
      <c r="B38" s="919" t="s">
        <v>2781</v>
      </c>
      <c r="C38" s="601" t="s">
        <v>2782</v>
      </c>
      <c r="D38" s="994" t="s">
        <v>2783</v>
      </c>
    </row>
    <row r="39" spans="2:4">
      <c r="B39" t="s">
        <v>2784</v>
      </c>
      <c r="C39" s="601" t="s">
        <v>2785</v>
      </c>
      <c r="D39" s="994" t="s">
        <v>2786</v>
      </c>
    </row>
    <row r="40" spans="2:4">
      <c r="B40" s="940" t="s">
        <v>2787</v>
      </c>
      <c r="C40" s="601" t="s">
        <v>2788</v>
      </c>
      <c r="D40" s="994" t="s">
        <v>2789</v>
      </c>
    </row>
    <row r="41" spans="2:4">
      <c r="B41" s="940" t="s">
        <v>2790</v>
      </c>
      <c r="C41" s="601" t="s">
        <v>2791</v>
      </c>
      <c r="D41" s="994" t="s">
        <v>2792</v>
      </c>
    </row>
    <row r="42" spans="2:4">
      <c r="B42" s="993" t="s">
        <v>2793</v>
      </c>
      <c r="C42" s="994" t="s">
        <v>2794</v>
      </c>
      <c r="D42" s="994" t="s">
        <v>2795</v>
      </c>
    </row>
    <row r="43" spans="2:4">
      <c r="B43" s="940" t="s">
        <v>2796</v>
      </c>
      <c r="C43" s="601" t="s">
        <v>2797</v>
      </c>
      <c r="D43" s="994" t="s">
        <v>2798</v>
      </c>
    </row>
    <row r="44" spans="2:4">
      <c r="B44" s="940" t="s">
        <v>2799</v>
      </c>
      <c r="C44" s="601" t="s">
        <v>2800</v>
      </c>
      <c r="D44" s="994" t="s">
        <v>2801</v>
      </c>
    </row>
    <row r="45" spans="2:4">
      <c r="B45" t="s">
        <v>2802</v>
      </c>
      <c r="C45" s="994" t="s">
        <v>2803</v>
      </c>
      <c r="D45" s="994" t="s">
        <v>2804</v>
      </c>
    </row>
    <row r="46" spans="2:4">
      <c r="B46" s="940" t="s">
        <v>2805</v>
      </c>
      <c r="C46" s="601" t="s">
        <v>2806</v>
      </c>
      <c r="D46" s="994" t="s">
        <v>2807</v>
      </c>
    </row>
    <row r="47" spans="2:4">
      <c r="B47" s="940" t="s">
        <v>2808</v>
      </c>
      <c r="C47" s="601" t="s">
        <v>2809</v>
      </c>
      <c r="D47" s="994" t="s">
        <v>2810</v>
      </c>
    </row>
    <row r="48" spans="2:4">
      <c r="B48" s="940" t="s">
        <v>2811</v>
      </c>
      <c r="C48" s="601" t="s">
        <v>2812</v>
      </c>
      <c r="D48" s="994" t="s">
        <v>2813</v>
      </c>
    </row>
    <row r="49" spans="1:4">
      <c r="B49" t="s">
        <v>2814</v>
      </c>
      <c r="C49" s="994" t="s">
        <v>2815</v>
      </c>
      <c r="D49" s="994" t="s">
        <v>2816</v>
      </c>
    </row>
    <row r="50" spans="1:4">
      <c r="B50" s="993"/>
      <c r="C50" s="601"/>
      <c r="D50" s="601"/>
    </row>
    <row r="51" spans="1:4">
      <c r="B51" s="993"/>
      <c r="C51" s="601"/>
      <c r="D51" s="601"/>
    </row>
    <row r="52" spans="1:4">
      <c r="B52" s="993"/>
      <c r="C52" s="601"/>
      <c r="D52" s="601"/>
    </row>
    <row r="53" spans="1:4">
      <c r="B53" s="993"/>
      <c r="C53" s="601"/>
      <c r="D53" s="601"/>
    </row>
    <row r="54" spans="1:4">
      <c r="B54" s="993"/>
      <c r="C54" s="601"/>
      <c r="D54" s="601"/>
    </row>
    <row r="55" spans="1:4">
      <c r="B55" s="993"/>
      <c r="C55" s="601"/>
      <c r="D55" s="601"/>
    </row>
    <row r="62" spans="1:4">
      <c r="A62" t="s">
        <v>2817</v>
      </c>
      <c r="B62" t="s">
        <v>50</v>
      </c>
      <c r="C62" s="1" t="s">
        <v>54</v>
      </c>
    </row>
    <row r="63" spans="1:4">
      <c r="B63" s="993" t="s">
        <v>2673</v>
      </c>
      <c r="C63" s="994" t="s">
        <v>2674</v>
      </c>
    </row>
    <row r="64" spans="1:4">
      <c r="B64" s="993" t="s">
        <v>2685</v>
      </c>
      <c r="C64" s="994" t="s">
        <v>2686</v>
      </c>
    </row>
    <row r="65" spans="1:3">
      <c r="B65" s="993" t="s">
        <v>2697</v>
      </c>
      <c r="C65" s="994" t="s">
        <v>2698</v>
      </c>
    </row>
    <row r="66" spans="1:3">
      <c r="B66" s="993" t="s">
        <v>2709</v>
      </c>
      <c r="C66" s="994" t="s">
        <v>2710</v>
      </c>
    </row>
    <row r="67" spans="1:3">
      <c r="B67" s="993" t="s">
        <v>2721</v>
      </c>
      <c r="C67" s="601" t="s">
        <v>2722</v>
      </c>
    </row>
    <row r="68" spans="1:3">
      <c r="B68" s="993" t="s">
        <v>2733</v>
      </c>
      <c r="C68" s="601" t="s">
        <v>2818</v>
      </c>
    </row>
    <row r="69" spans="1:3">
      <c r="B69" s="993" t="s">
        <v>2745</v>
      </c>
      <c r="C69" s="601" t="s">
        <v>2746</v>
      </c>
    </row>
    <row r="70" spans="1:3">
      <c r="B70" s="993" t="s">
        <v>2748</v>
      </c>
      <c r="C70" s="601" t="s">
        <v>2749</v>
      </c>
    </row>
    <row r="71" spans="1:3">
      <c r="B71" s="993" t="s">
        <v>2751</v>
      </c>
      <c r="C71" s="601" t="s">
        <v>2752</v>
      </c>
    </row>
    <row r="72" spans="1:3">
      <c r="B72" s="993" t="s">
        <v>2766</v>
      </c>
      <c r="C72" s="601" t="s">
        <v>2767</v>
      </c>
    </row>
    <row r="73" spans="1:3">
      <c r="B73" s="993" t="s">
        <v>2769</v>
      </c>
      <c r="C73" s="601" t="s">
        <v>2770</v>
      </c>
    </row>
    <row r="74" spans="1:3">
      <c r="B74" s="993" t="s">
        <v>2784</v>
      </c>
      <c r="C74" s="601" t="s">
        <v>2785</v>
      </c>
    </row>
    <row r="75" spans="1:3">
      <c r="B75" s="993" t="s">
        <v>2793</v>
      </c>
      <c r="C75" s="601" t="s">
        <v>2794</v>
      </c>
    </row>
    <row r="76" spans="1:3">
      <c r="B76" s="993" t="s">
        <v>2802</v>
      </c>
      <c r="C76" s="601" t="s">
        <v>2803</v>
      </c>
    </row>
    <row r="77" spans="1:3">
      <c r="B77" s="993" t="s">
        <v>2814</v>
      </c>
      <c r="C77" s="601" t="s">
        <v>2819</v>
      </c>
    </row>
    <row r="79" spans="1:3">
      <c r="A79" t="s">
        <v>2820</v>
      </c>
      <c r="B79" t="s">
        <v>50</v>
      </c>
      <c r="C79" s="1" t="s">
        <v>54</v>
      </c>
    </row>
    <row r="80" spans="1:3">
      <c r="B80" s="993" t="s">
        <v>2676</v>
      </c>
      <c r="C80" s="601" t="s">
        <v>2677</v>
      </c>
    </row>
    <row r="81" spans="1:7">
      <c r="B81" t="s">
        <v>2679</v>
      </c>
      <c r="C81" s="601" t="s">
        <v>2680</v>
      </c>
    </row>
    <row r="82" spans="1:7">
      <c r="B82" t="s">
        <v>2682</v>
      </c>
      <c r="C82" s="601" t="s">
        <v>2683</v>
      </c>
    </row>
    <row r="84" spans="1:7">
      <c r="A84" t="s">
        <v>2821</v>
      </c>
      <c r="B84" t="s">
        <v>50</v>
      </c>
      <c r="C84" s="1" t="s">
        <v>54</v>
      </c>
      <c r="D84"/>
      <c r="E84"/>
      <c r="F84"/>
      <c r="G84"/>
    </row>
    <row r="85" spans="1:7">
      <c r="A85" t="s">
        <v>2822</v>
      </c>
      <c r="B85" s="995" t="s">
        <v>2823</v>
      </c>
      <c r="C85" s="996" t="s">
        <v>2824</v>
      </c>
      <c r="D85"/>
      <c r="E85"/>
      <c r="F85"/>
      <c r="G85"/>
    </row>
    <row r="86" spans="1:7">
      <c r="B86" s="995" t="s">
        <v>2825</v>
      </c>
      <c r="C86" s="996" t="s">
        <v>2826</v>
      </c>
      <c r="D86"/>
      <c r="E86"/>
      <c r="F86"/>
      <c r="G86"/>
    </row>
    <row r="87" spans="1:7">
      <c r="B87" s="995" t="s">
        <v>2827</v>
      </c>
      <c r="C87" s="996" t="s">
        <v>2828</v>
      </c>
      <c r="D87"/>
      <c r="E87"/>
      <c r="F87"/>
      <c r="G87"/>
    </row>
    <row r="88" spans="1:7">
      <c r="B88" s="995" t="s">
        <v>2829</v>
      </c>
      <c r="C88" s="996" t="s">
        <v>2830</v>
      </c>
      <c r="D88"/>
      <c r="E88"/>
      <c r="F88"/>
      <c r="G88"/>
    </row>
    <row r="89" spans="1:7">
      <c r="B89" s="995" t="s">
        <v>2831</v>
      </c>
      <c r="C89" s="996" t="s">
        <v>2832</v>
      </c>
      <c r="D89"/>
      <c r="E89"/>
      <c r="F89"/>
      <c r="G89"/>
    </row>
    <row r="90" spans="1:7">
      <c r="B90" s="995" t="s">
        <v>2833</v>
      </c>
      <c r="C90" s="996" t="s">
        <v>2834</v>
      </c>
      <c r="D90"/>
      <c r="E90"/>
      <c r="F90"/>
      <c r="G90"/>
    </row>
    <row r="91" spans="1:7">
      <c r="B91" s="995" t="s">
        <v>2835</v>
      </c>
      <c r="C91" s="996" t="s">
        <v>2836</v>
      </c>
      <c r="D91"/>
      <c r="E91"/>
      <c r="F91"/>
      <c r="G91"/>
    </row>
    <row r="92" spans="1:7">
      <c r="B92" s="995" t="s">
        <v>2837</v>
      </c>
      <c r="C92" s="996" t="s">
        <v>2838</v>
      </c>
      <c r="D92"/>
      <c r="E92"/>
      <c r="F92"/>
      <c r="G92"/>
    </row>
    <row r="93" spans="1:7">
      <c r="B93" s="995" t="s">
        <v>2839</v>
      </c>
      <c r="C93" s="996" t="s">
        <v>2840</v>
      </c>
      <c r="D93"/>
      <c r="E93"/>
      <c r="F93"/>
      <c r="G93"/>
    </row>
    <row r="94" spans="1:7">
      <c r="B94" s="995" t="s">
        <v>2841</v>
      </c>
      <c r="C94" s="996" t="s">
        <v>2842</v>
      </c>
      <c r="D94"/>
      <c r="E94"/>
      <c r="F94"/>
      <c r="G94"/>
    </row>
    <row r="96" spans="1:7">
      <c r="A96" t="s">
        <v>2843</v>
      </c>
      <c r="B96" t="s">
        <v>50</v>
      </c>
      <c r="C96" s="1" t="s">
        <v>54</v>
      </c>
      <c r="D96"/>
      <c r="E96"/>
      <c r="F96"/>
      <c r="G96"/>
    </row>
    <row r="97" spans="1:7">
      <c r="A97" t="s">
        <v>2844</v>
      </c>
      <c r="B97" s="995" t="s">
        <v>2823</v>
      </c>
      <c r="C97" s="996" t="s">
        <v>2824</v>
      </c>
      <c r="D97"/>
      <c r="E97"/>
      <c r="F97"/>
      <c r="G97"/>
    </row>
    <row r="98" spans="1:7">
      <c r="B98" s="995" t="s">
        <v>2825</v>
      </c>
      <c r="C98" s="996" t="s">
        <v>2826</v>
      </c>
      <c r="D98"/>
      <c r="E98"/>
      <c r="F98"/>
      <c r="G98"/>
    </row>
    <row r="99" spans="1:7">
      <c r="B99" s="995" t="s">
        <v>2827</v>
      </c>
      <c r="C99" s="996" t="s">
        <v>2828</v>
      </c>
      <c r="D99"/>
      <c r="E99"/>
      <c r="F99"/>
      <c r="G99"/>
    </row>
    <row r="100" spans="1:7">
      <c r="B100" s="995" t="s">
        <v>2829</v>
      </c>
      <c r="C100" s="996" t="s">
        <v>2830</v>
      </c>
      <c r="D100"/>
      <c r="E100"/>
      <c r="F100"/>
      <c r="G100"/>
    </row>
    <row r="101" spans="1:7">
      <c r="B101" s="995" t="s">
        <v>2831</v>
      </c>
      <c r="C101" s="996" t="s">
        <v>2832</v>
      </c>
      <c r="D101"/>
      <c r="E101"/>
      <c r="F101"/>
      <c r="G101"/>
    </row>
    <row r="102" spans="1:7">
      <c r="B102" s="995" t="s">
        <v>2833</v>
      </c>
      <c r="C102" s="996" t="s">
        <v>2834</v>
      </c>
      <c r="D102"/>
      <c r="E102"/>
      <c r="F102"/>
      <c r="G102"/>
    </row>
    <row r="103" spans="1:7">
      <c r="B103" s="995" t="s">
        <v>2835</v>
      </c>
      <c r="C103" s="996" t="s">
        <v>2836</v>
      </c>
      <c r="D103"/>
      <c r="E103"/>
      <c r="F103"/>
      <c r="G103"/>
    </row>
    <row r="104" spans="1:7">
      <c r="B104" s="995" t="s">
        <v>2837</v>
      </c>
      <c r="C104" s="996" t="s">
        <v>2838</v>
      </c>
      <c r="D104"/>
      <c r="E104"/>
      <c r="F104"/>
      <c r="G104"/>
    </row>
    <row r="105" spans="1:7">
      <c r="B105" s="995" t="s">
        <v>2839</v>
      </c>
      <c r="C105" s="996" t="s">
        <v>2840</v>
      </c>
      <c r="D105"/>
      <c r="E105"/>
      <c r="F105"/>
      <c r="G105"/>
    </row>
    <row r="106" spans="1:7">
      <c r="B106" s="995" t="s">
        <v>2841</v>
      </c>
      <c r="C106" s="996" t="s">
        <v>2842</v>
      </c>
      <c r="D106"/>
      <c r="E106"/>
      <c r="F106"/>
      <c r="G106"/>
    </row>
    <row r="108" spans="1:7">
      <c r="A108" t="s">
        <v>2845</v>
      </c>
      <c r="B108" t="s">
        <v>50</v>
      </c>
      <c r="C108" s="1" t="s">
        <v>54</v>
      </c>
      <c r="D108"/>
      <c r="E108"/>
      <c r="F108"/>
      <c r="G108"/>
    </row>
    <row r="109" spans="1:7">
      <c r="A109" t="s">
        <v>2846</v>
      </c>
      <c r="B109" s="995" t="s">
        <v>2823</v>
      </c>
      <c r="C109" s="996" t="s">
        <v>2824</v>
      </c>
      <c r="D109"/>
      <c r="E109"/>
      <c r="F109"/>
      <c r="G109"/>
    </row>
    <row r="110" spans="1:7">
      <c r="B110" s="995" t="s">
        <v>2825</v>
      </c>
      <c r="C110" s="996" t="s">
        <v>2826</v>
      </c>
      <c r="D110"/>
      <c r="E110"/>
      <c r="F110"/>
      <c r="G110"/>
    </row>
    <row r="111" spans="1:7">
      <c r="B111" s="995" t="s">
        <v>2827</v>
      </c>
      <c r="C111" s="996" t="s">
        <v>2828</v>
      </c>
      <c r="D111"/>
      <c r="E111"/>
      <c r="F111"/>
      <c r="G111"/>
    </row>
    <row r="112" spans="1:7">
      <c r="B112" s="995" t="s">
        <v>2829</v>
      </c>
      <c r="C112" s="996" t="s">
        <v>2830</v>
      </c>
      <c r="D112"/>
      <c r="E112"/>
      <c r="F112"/>
      <c r="G112"/>
    </row>
    <row r="113" spans="1:7">
      <c r="B113" s="995" t="s">
        <v>2831</v>
      </c>
      <c r="C113" s="996" t="s">
        <v>2832</v>
      </c>
      <c r="D113"/>
      <c r="E113"/>
      <c r="F113"/>
      <c r="G113"/>
    </row>
    <row r="114" spans="1:7">
      <c r="B114" s="995" t="s">
        <v>2833</v>
      </c>
      <c r="C114" s="996" t="s">
        <v>2834</v>
      </c>
      <c r="D114"/>
      <c r="E114"/>
      <c r="F114"/>
      <c r="G114"/>
    </row>
    <row r="115" spans="1:7">
      <c r="B115" s="995" t="s">
        <v>2835</v>
      </c>
      <c r="C115" s="996" t="s">
        <v>2836</v>
      </c>
      <c r="D115"/>
      <c r="E115"/>
      <c r="F115"/>
      <c r="G115"/>
    </row>
    <row r="116" spans="1:7">
      <c r="B116" s="995" t="s">
        <v>2837</v>
      </c>
      <c r="C116" s="996" t="s">
        <v>2838</v>
      </c>
      <c r="D116"/>
      <c r="E116"/>
      <c r="F116"/>
      <c r="G116"/>
    </row>
    <row r="117" spans="1:7">
      <c r="B117" s="995" t="s">
        <v>2839</v>
      </c>
      <c r="C117" s="996" t="s">
        <v>2840</v>
      </c>
      <c r="D117"/>
      <c r="E117"/>
      <c r="F117"/>
      <c r="G117"/>
    </row>
    <row r="118" spans="1:7">
      <c r="B118" s="995" t="s">
        <v>2841</v>
      </c>
      <c r="C118" s="996" t="s">
        <v>2842</v>
      </c>
      <c r="D118"/>
      <c r="E118"/>
      <c r="F118"/>
      <c r="G118"/>
    </row>
    <row r="121" spans="1:7">
      <c r="A121" t="s">
        <v>2849</v>
      </c>
      <c r="B121" t="s">
        <v>50</v>
      </c>
      <c r="C121" s="1" t="s">
        <v>54</v>
      </c>
    </row>
    <row r="122" spans="1:7">
      <c r="B122" s="994" t="s">
        <v>2688</v>
      </c>
      <c r="C122" s="994" t="s">
        <v>2689</v>
      </c>
    </row>
    <row r="123" spans="1:7">
      <c r="B123" s="994" t="s">
        <v>2691</v>
      </c>
      <c r="C123" s="994" t="s">
        <v>2692</v>
      </c>
    </row>
    <row r="124" spans="1:7">
      <c r="B124" s="994" t="s">
        <v>2694</v>
      </c>
      <c r="C124" s="994" t="s">
        <v>2695</v>
      </c>
    </row>
    <row r="126" spans="1:7">
      <c r="A126" t="s">
        <v>2850</v>
      </c>
      <c r="B126" t="s">
        <v>50</v>
      </c>
      <c r="C126" s="1" t="s">
        <v>54</v>
      </c>
      <c r="D126"/>
      <c r="E126"/>
      <c r="F126"/>
      <c r="G126"/>
    </row>
    <row r="127" spans="1:7">
      <c r="A127" t="s">
        <v>2851</v>
      </c>
      <c r="B127" t="s">
        <v>2852</v>
      </c>
      <c r="C127" t="s">
        <v>2853</v>
      </c>
      <c r="D127"/>
      <c r="E127"/>
      <c r="F127"/>
      <c r="G127"/>
    </row>
    <row r="128" spans="1:7">
      <c r="B128" t="s">
        <v>2854</v>
      </c>
      <c r="C128" t="s">
        <v>2855</v>
      </c>
      <c r="D128"/>
      <c r="E128"/>
      <c r="F128"/>
      <c r="G128"/>
    </row>
    <row r="129" spans="1:7">
      <c r="B129" t="s">
        <v>2856</v>
      </c>
      <c r="C129" t="s">
        <v>2857</v>
      </c>
      <c r="D129"/>
      <c r="E129"/>
      <c r="F129"/>
      <c r="G129"/>
    </row>
    <row r="130" spans="1:7">
      <c r="B130" t="s">
        <v>2858</v>
      </c>
      <c r="C130" t="s">
        <v>2859</v>
      </c>
      <c r="D130"/>
      <c r="E130"/>
      <c r="F130"/>
      <c r="G130"/>
    </row>
    <row r="132" spans="1:7">
      <c r="A132" t="s">
        <v>2860</v>
      </c>
      <c r="B132" t="s">
        <v>50</v>
      </c>
      <c r="C132" s="1" t="s">
        <v>54</v>
      </c>
      <c r="D132"/>
      <c r="E132"/>
      <c r="F132"/>
      <c r="G132"/>
    </row>
    <row r="133" spans="1:7">
      <c r="A133" t="s">
        <v>2861</v>
      </c>
      <c r="B133" t="s">
        <v>2862</v>
      </c>
      <c r="C133" t="s">
        <v>2863</v>
      </c>
      <c r="D133"/>
      <c r="E133"/>
      <c r="F133"/>
      <c r="G133"/>
    </row>
    <row r="134" spans="1:7">
      <c r="B134" t="s">
        <v>2864</v>
      </c>
      <c r="C134" t="s">
        <v>2865</v>
      </c>
      <c r="D134"/>
      <c r="E134"/>
      <c r="F134"/>
      <c r="G134"/>
    </row>
    <row r="135" spans="1:7">
      <c r="B135" t="s">
        <v>2866</v>
      </c>
      <c r="C135" t="s">
        <v>2867</v>
      </c>
      <c r="D135"/>
      <c r="E135"/>
      <c r="F135"/>
      <c r="G135"/>
    </row>
    <row r="136" spans="1:7">
      <c r="B136" t="s">
        <v>2868</v>
      </c>
      <c r="C136" t="s">
        <v>2869</v>
      </c>
      <c r="D136"/>
      <c r="E136"/>
      <c r="F136"/>
      <c r="G136"/>
    </row>
    <row r="137" spans="1:7">
      <c r="B137" t="s">
        <v>2870</v>
      </c>
      <c r="C137" t="s">
        <v>2871</v>
      </c>
      <c r="D137"/>
      <c r="E137"/>
      <c r="F137"/>
      <c r="G137"/>
    </row>
    <row r="139" spans="1:7">
      <c r="A139" t="s">
        <v>2872</v>
      </c>
      <c r="B139" t="s">
        <v>50</v>
      </c>
      <c r="C139" s="1" t="s">
        <v>54</v>
      </c>
      <c r="D139"/>
      <c r="E139"/>
      <c r="F139"/>
      <c r="G139"/>
    </row>
    <row r="140" spans="1:7">
      <c r="A140" t="s">
        <v>2873</v>
      </c>
      <c r="B140" t="s">
        <v>2862</v>
      </c>
      <c r="C140" t="s">
        <v>2863</v>
      </c>
      <c r="D140"/>
      <c r="E140"/>
      <c r="F140"/>
      <c r="G140"/>
    </row>
    <row r="141" spans="1:7">
      <c r="B141" t="s">
        <v>2864</v>
      </c>
      <c r="C141" t="s">
        <v>2865</v>
      </c>
      <c r="D141"/>
      <c r="E141"/>
      <c r="F141"/>
      <c r="G141"/>
    </row>
    <row r="142" spans="1:7">
      <c r="B142" t="s">
        <v>2866</v>
      </c>
      <c r="C142" t="s">
        <v>2867</v>
      </c>
      <c r="D142"/>
      <c r="E142"/>
      <c r="F142"/>
      <c r="G142"/>
    </row>
    <row r="144" spans="1:7">
      <c r="A144" s="993" t="s">
        <v>2874</v>
      </c>
      <c r="B144" t="s">
        <v>50</v>
      </c>
      <c r="C144" s="1" t="s">
        <v>54</v>
      </c>
    </row>
    <row r="145" spans="1:7">
      <c r="B145" s="993" t="s">
        <v>2700</v>
      </c>
      <c r="C145" s="993" t="s">
        <v>2701</v>
      </c>
    </row>
    <row r="146" spans="1:7">
      <c r="B146" s="993" t="s">
        <v>2703</v>
      </c>
      <c r="C146" s="993" t="s">
        <v>2704</v>
      </c>
    </row>
    <row r="147" spans="1:7">
      <c r="B147" s="993" t="s">
        <v>2706</v>
      </c>
      <c r="C147" s="993" t="s">
        <v>2707</v>
      </c>
    </row>
    <row r="149" spans="1:7">
      <c r="A149" s="993" t="s">
        <v>2875</v>
      </c>
      <c r="B149" t="s">
        <v>50</v>
      </c>
      <c r="C149" s="1" t="s">
        <v>54</v>
      </c>
      <c r="D149"/>
      <c r="E149"/>
      <c r="F149"/>
      <c r="G149"/>
    </row>
    <row r="150" spans="1:7">
      <c r="B150" s="993" t="s">
        <v>2876</v>
      </c>
      <c r="C150" s="993" t="s">
        <v>2877</v>
      </c>
      <c r="D150"/>
      <c r="E150"/>
      <c r="F150"/>
      <c r="G150"/>
    </row>
    <row r="151" spans="1:7">
      <c r="B151" s="993" t="s">
        <v>2878</v>
      </c>
      <c r="C151" s="993" t="s">
        <v>2879</v>
      </c>
      <c r="D151"/>
      <c r="E151"/>
      <c r="F151"/>
      <c r="G151"/>
    </row>
    <row r="152" spans="1:7">
      <c r="B152" s="993" t="s">
        <v>2880</v>
      </c>
      <c r="C152" s="993" t="s">
        <v>2881</v>
      </c>
      <c r="D152"/>
      <c r="E152"/>
      <c r="F152"/>
      <c r="G152"/>
    </row>
    <row r="154" spans="1:7">
      <c r="A154" s="993" t="s">
        <v>2882</v>
      </c>
      <c r="B154" t="s">
        <v>50</v>
      </c>
      <c r="C154" s="1" t="s">
        <v>54</v>
      </c>
      <c r="D154"/>
      <c r="E154"/>
      <c r="F154"/>
      <c r="G154"/>
    </row>
    <row r="155" spans="1:7">
      <c r="B155" s="993" t="s">
        <v>2876</v>
      </c>
      <c r="C155" s="993" t="s">
        <v>2877</v>
      </c>
      <c r="D155"/>
      <c r="E155"/>
      <c r="F155"/>
      <c r="G155"/>
    </row>
    <row r="156" spans="1:7">
      <c r="B156" s="993" t="s">
        <v>2878</v>
      </c>
      <c r="C156" s="993" t="s">
        <v>2879</v>
      </c>
      <c r="D156"/>
      <c r="E156"/>
      <c r="F156"/>
      <c r="G156"/>
    </row>
    <row r="157" spans="1:7">
      <c r="B157" s="993" t="s">
        <v>2880</v>
      </c>
      <c r="C157" s="993" t="s">
        <v>2881</v>
      </c>
      <c r="D157"/>
      <c r="E157"/>
      <c r="F157"/>
      <c r="G157"/>
    </row>
    <row r="159" spans="1:7">
      <c r="A159" s="993" t="s">
        <v>2883</v>
      </c>
      <c r="B159" t="s">
        <v>50</v>
      </c>
      <c r="C159" s="1" t="s">
        <v>54</v>
      </c>
      <c r="D159"/>
      <c r="E159"/>
      <c r="F159"/>
      <c r="G159"/>
    </row>
    <row r="160" spans="1:7">
      <c r="B160" s="993" t="s">
        <v>2876</v>
      </c>
      <c r="C160" s="993" t="s">
        <v>2877</v>
      </c>
      <c r="D160"/>
      <c r="E160"/>
      <c r="F160"/>
      <c r="G160"/>
    </row>
    <row r="161" spans="1:7">
      <c r="B161" s="993" t="s">
        <v>2878</v>
      </c>
      <c r="C161" s="993" t="s">
        <v>2879</v>
      </c>
      <c r="D161"/>
      <c r="E161"/>
      <c r="F161"/>
      <c r="G161"/>
    </row>
    <row r="162" spans="1:7">
      <c r="B162" s="993" t="s">
        <v>2880</v>
      </c>
      <c r="C162" s="993" t="s">
        <v>2881</v>
      </c>
      <c r="D162"/>
      <c r="E162"/>
      <c r="F162"/>
      <c r="G162"/>
    </row>
    <row r="164" spans="1:7">
      <c r="A164" s="993" t="s">
        <v>2885</v>
      </c>
      <c r="B164" t="s">
        <v>50</v>
      </c>
      <c r="C164" s="1" t="s">
        <v>54</v>
      </c>
    </row>
    <row r="165" spans="1:7">
      <c r="B165" s="993" t="s">
        <v>2712</v>
      </c>
      <c r="C165" s="993" t="s">
        <v>2713</v>
      </c>
    </row>
    <row r="166" spans="1:7">
      <c r="B166" t="s">
        <v>2715</v>
      </c>
      <c r="C166" t="s">
        <v>2716</v>
      </c>
    </row>
    <row r="167" spans="1:7">
      <c r="B167" t="s">
        <v>2718</v>
      </c>
      <c r="C167" t="s">
        <v>2719</v>
      </c>
    </row>
    <row r="169" spans="1:7">
      <c r="A169" s="993" t="s">
        <v>2886</v>
      </c>
      <c r="B169" t="s">
        <v>50</v>
      </c>
      <c r="C169" s="1" t="s">
        <v>54</v>
      </c>
      <c r="D169"/>
      <c r="E169"/>
      <c r="F169"/>
      <c r="G169"/>
    </row>
    <row r="170" spans="1:7">
      <c r="B170" t="s">
        <v>2876</v>
      </c>
      <c r="C170" s="993" t="s">
        <v>2877</v>
      </c>
      <c r="D170"/>
      <c r="E170"/>
      <c r="F170"/>
      <c r="G170"/>
    </row>
    <row r="171" spans="1:7">
      <c r="B171" t="s">
        <v>2878</v>
      </c>
      <c r="C171" s="993" t="s">
        <v>2879</v>
      </c>
      <c r="D171"/>
      <c r="E171"/>
      <c r="F171"/>
      <c r="G171"/>
    </row>
    <row r="172" spans="1:7">
      <c r="B172" t="s">
        <v>2880</v>
      </c>
      <c r="C172" s="993" t="s">
        <v>2881</v>
      </c>
      <c r="D172"/>
      <c r="E172"/>
      <c r="F172"/>
      <c r="G172"/>
    </row>
    <row r="174" spans="1:7">
      <c r="A174" s="993" t="s">
        <v>2887</v>
      </c>
      <c r="B174" t="s">
        <v>50</v>
      </c>
      <c r="C174" s="1" t="s">
        <v>54</v>
      </c>
      <c r="D174"/>
      <c r="E174"/>
      <c r="F174"/>
      <c r="G174"/>
    </row>
    <row r="175" spans="1:7">
      <c r="B175" t="s">
        <v>2876</v>
      </c>
      <c r="C175" s="993" t="s">
        <v>2877</v>
      </c>
      <c r="D175"/>
      <c r="E175"/>
      <c r="F175"/>
      <c r="G175"/>
    </row>
    <row r="176" spans="1:7">
      <c r="B176" t="s">
        <v>2878</v>
      </c>
      <c r="C176" s="993" t="s">
        <v>2879</v>
      </c>
      <c r="D176"/>
      <c r="E176"/>
      <c r="F176"/>
      <c r="G176"/>
    </row>
    <row r="177" spans="1:7">
      <c r="B177" t="s">
        <v>2880</v>
      </c>
      <c r="C177" s="993" t="s">
        <v>2881</v>
      </c>
      <c r="D177"/>
      <c r="E177"/>
      <c r="F177"/>
      <c r="G177"/>
    </row>
    <row r="179" spans="1:7">
      <c r="A179" s="993" t="s">
        <v>2888</v>
      </c>
      <c r="B179" t="s">
        <v>50</v>
      </c>
      <c r="C179" s="1" t="s">
        <v>54</v>
      </c>
      <c r="D179"/>
      <c r="E179"/>
      <c r="F179"/>
      <c r="G179"/>
    </row>
    <row r="180" spans="1:7">
      <c r="B180" t="s">
        <v>2876</v>
      </c>
      <c r="C180" s="993" t="s">
        <v>2877</v>
      </c>
      <c r="D180"/>
      <c r="E180"/>
      <c r="F180"/>
      <c r="G180"/>
    </row>
    <row r="181" spans="1:7">
      <c r="B181" t="s">
        <v>2878</v>
      </c>
      <c r="C181" s="993" t="s">
        <v>2879</v>
      </c>
      <c r="D181"/>
      <c r="E181"/>
      <c r="F181"/>
      <c r="G181"/>
    </row>
    <row r="182" spans="1:7">
      <c r="B182" t="s">
        <v>2880</v>
      </c>
      <c r="C182" s="993" t="s">
        <v>2881</v>
      </c>
      <c r="D182"/>
      <c r="E182"/>
      <c r="F182"/>
      <c r="G182"/>
    </row>
    <row r="184" spans="1:7">
      <c r="A184" s="993" t="s">
        <v>2889</v>
      </c>
      <c r="B184" t="s">
        <v>50</v>
      </c>
      <c r="C184" s="1" t="s">
        <v>54</v>
      </c>
    </row>
    <row r="185" spans="1:7">
      <c r="B185" t="s">
        <v>2724</v>
      </c>
      <c r="C185" s="601" t="s">
        <v>2725</v>
      </c>
    </row>
    <row r="186" spans="1:7">
      <c r="B186" t="s">
        <v>2727</v>
      </c>
      <c r="C186" s="601" t="s">
        <v>2728</v>
      </c>
    </row>
    <row r="187" spans="1:7">
      <c r="B187" t="s">
        <v>2730</v>
      </c>
      <c r="C187" s="601" t="s">
        <v>2731</v>
      </c>
    </row>
    <row r="189" spans="1:7">
      <c r="A189" s="993" t="s">
        <v>2890</v>
      </c>
      <c r="B189" t="s">
        <v>50</v>
      </c>
      <c r="C189" s="1" t="s">
        <v>54</v>
      </c>
      <c r="D189"/>
      <c r="E189"/>
      <c r="F189"/>
      <c r="G189"/>
    </row>
    <row r="190" spans="1:7">
      <c r="B190" s="993" t="s">
        <v>2891</v>
      </c>
      <c r="C190" s="993" t="s">
        <v>2892</v>
      </c>
      <c r="D190"/>
      <c r="E190"/>
      <c r="F190"/>
      <c r="G190"/>
    </row>
    <row r="191" spans="1:7">
      <c r="B191" s="993" t="s">
        <v>2893</v>
      </c>
      <c r="C191" s="993" t="s">
        <v>2894</v>
      </c>
      <c r="D191"/>
      <c r="E191"/>
      <c r="F191"/>
      <c r="G191"/>
    </row>
    <row r="193" spans="1:7">
      <c r="A193" s="993" t="s">
        <v>2895</v>
      </c>
      <c r="B193" t="s">
        <v>50</v>
      </c>
      <c r="C193" s="1" t="s">
        <v>54</v>
      </c>
      <c r="D193"/>
      <c r="E193"/>
      <c r="F193"/>
      <c r="G193"/>
    </row>
    <row r="194" spans="1:7">
      <c r="A194" s="993"/>
      <c r="B194" s="993" t="s">
        <v>2891</v>
      </c>
      <c r="C194" s="993" t="s">
        <v>2892</v>
      </c>
      <c r="D194"/>
      <c r="E194"/>
      <c r="F194"/>
      <c r="G194"/>
    </row>
    <row r="195" spans="1:7">
      <c r="B195" s="993" t="s">
        <v>2893</v>
      </c>
      <c r="C195" s="993" t="s">
        <v>2894</v>
      </c>
      <c r="D195"/>
      <c r="E195"/>
      <c r="F195"/>
      <c r="G195"/>
    </row>
    <row r="197" spans="1:7">
      <c r="A197" s="993" t="s">
        <v>2896</v>
      </c>
      <c r="B197" t="s">
        <v>50</v>
      </c>
      <c r="C197" s="1" t="s">
        <v>54</v>
      </c>
      <c r="D197"/>
      <c r="E197"/>
      <c r="F197"/>
      <c r="G197"/>
    </row>
    <row r="198" spans="1:7">
      <c r="B198" s="993" t="s">
        <v>2891</v>
      </c>
      <c r="C198" s="993" t="s">
        <v>2892</v>
      </c>
      <c r="D198"/>
      <c r="E198"/>
      <c r="F198"/>
      <c r="G198"/>
    </row>
    <row r="199" spans="1:7">
      <c r="A199" s="993"/>
      <c r="B199" s="993" t="s">
        <v>2893</v>
      </c>
      <c r="C199" s="993" t="s">
        <v>2894</v>
      </c>
      <c r="D199"/>
      <c r="E199"/>
      <c r="F199"/>
      <c r="G199"/>
    </row>
    <row r="201" spans="1:7">
      <c r="A201" s="993" t="s">
        <v>2897</v>
      </c>
      <c r="B201" t="s">
        <v>50</v>
      </c>
      <c r="C201" s="1" t="s">
        <v>54</v>
      </c>
    </row>
    <row r="202" spans="1:7">
      <c r="B202" t="s">
        <v>2736</v>
      </c>
      <c r="C202" t="s">
        <v>2737</v>
      </c>
    </row>
    <row r="203" spans="1:7">
      <c r="B203" t="s">
        <v>2739</v>
      </c>
      <c r="C203" t="s">
        <v>2740</v>
      </c>
    </row>
    <row r="204" spans="1:7">
      <c r="B204" t="s">
        <v>2742</v>
      </c>
      <c r="C204" t="s">
        <v>2743</v>
      </c>
    </row>
    <row r="206" spans="1:7">
      <c r="A206" s="993" t="s">
        <v>2898</v>
      </c>
      <c r="B206" t="s">
        <v>50</v>
      </c>
      <c r="C206" s="1" t="s">
        <v>54</v>
      </c>
      <c r="D206"/>
      <c r="E206"/>
      <c r="F206"/>
      <c r="G206"/>
    </row>
    <row r="207" spans="1:7">
      <c r="B207" s="993" t="s">
        <v>2899</v>
      </c>
      <c r="C207" s="993" t="s">
        <v>2900</v>
      </c>
      <c r="D207"/>
      <c r="E207"/>
      <c r="F207"/>
      <c r="G207"/>
    </row>
    <row r="208" spans="1:7">
      <c r="B208" s="993" t="s">
        <v>2901</v>
      </c>
      <c r="C208" s="993" t="s">
        <v>2902</v>
      </c>
      <c r="D208"/>
      <c r="E208"/>
      <c r="F208"/>
      <c r="G208"/>
    </row>
    <row r="209" spans="1:7">
      <c r="B209" s="993" t="s">
        <v>2903</v>
      </c>
      <c r="C209" s="993" t="s">
        <v>2904</v>
      </c>
      <c r="D209"/>
      <c r="E209"/>
      <c r="F209"/>
      <c r="G209"/>
    </row>
    <row r="210" spans="1:7">
      <c r="B210" s="993" t="s">
        <v>2905</v>
      </c>
      <c r="C210" s="993" t="s">
        <v>2906</v>
      </c>
      <c r="D210"/>
      <c r="E210"/>
      <c r="F210"/>
      <c r="G210"/>
    </row>
    <row r="212" spans="1:7">
      <c r="A212" s="993" t="s">
        <v>2907</v>
      </c>
      <c r="B212" t="s">
        <v>50</v>
      </c>
      <c r="C212" s="1" t="s">
        <v>54</v>
      </c>
      <c r="D212"/>
      <c r="E212"/>
      <c r="F212"/>
      <c r="G212"/>
    </row>
    <row r="213" spans="1:7">
      <c r="B213" s="993" t="s">
        <v>2899</v>
      </c>
      <c r="C213" s="993" t="s">
        <v>2900</v>
      </c>
      <c r="D213"/>
      <c r="E213"/>
      <c r="F213"/>
      <c r="G213"/>
    </row>
    <row r="214" spans="1:7">
      <c r="B214" s="993" t="s">
        <v>2901</v>
      </c>
      <c r="C214" s="993" t="s">
        <v>2902</v>
      </c>
      <c r="D214"/>
      <c r="E214"/>
      <c r="F214"/>
      <c r="G214"/>
    </row>
    <row r="215" spans="1:7">
      <c r="B215" s="993" t="s">
        <v>2903</v>
      </c>
      <c r="C215" s="993" t="s">
        <v>2904</v>
      </c>
      <c r="D215"/>
      <c r="E215"/>
      <c r="F215"/>
      <c r="G215"/>
    </row>
    <row r="216" spans="1:7">
      <c r="B216" s="993" t="s">
        <v>2905</v>
      </c>
      <c r="C216" s="993" t="s">
        <v>2906</v>
      </c>
      <c r="D216"/>
      <c r="E216"/>
      <c r="F216"/>
      <c r="G216"/>
    </row>
    <row r="218" spans="1:7">
      <c r="A218" s="993" t="s">
        <v>2908</v>
      </c>
      <c r="B218" t="s">
        <v>50</v>
      </c>
      <c r="C218" s="1" t="s">
        <v>54</v>
      </c>
      <c r="D218"/>
      <c r="E218"/>
      <c r="F218"/>
      <c r="G218"/>
    </row>
    <row r="219" spans="1:7">
      <c r="B219" s="993" t="s">
        <v>2899</v>
      </c>
      <c r="C219" s="993" t="s">
        <v>2900</v>
      </c>
      <c r="D219"/>
      <c r="E219"/>
      <c r="F219"/>
      <c r="G219"/>
    </row>
    <row r="220" spans="1:7">
      <c r="B220" s="993" t="s">
        <v>2901</v>
      </c>
      <c r="C220" s="993" t="s">
        <v>2902</v>
      </c>
      <c r="D220"/>
      <c r="E220"/>
      <c r="F220"/>
      <c r="G220"/>
    </row>
    <row r="221" spans="1:7">
      <c r="B221" s="993" t="s">
        <v>2903</v>
      </c>
      <c r="C221" s="993" t="s">
        <v>2904</v>
      </c>
      <c r="D221"/>
      <c r="E221"/>
      <c r="F221"/>
      <c r="G221"/>
    </row>
    <row r="222" spans="1:7">
      <c r="B222" s="993" t="s">
        <v>2905</v>
      </c>
      <c r="C222" s="993" t="s">
        <v>2906</v>
      </c>
      <c r="D222"/>
      <c r="E222"/>
      <c r="F222"/>
      <c r="G222"/>
    </row>
    <row r="224" spans="1:7">
      <c r="A224" s="993" t="s">
        <v>2909</v>
      </c>
      <c r="B224" t="s">
        <v>50</v>
      </c>
      <c r="C224" s="1" t="s">
        <v>54</v>
      </c>
      <c r="D224"/>
      <c r="E224"/>
      <c r="F224"/>
      <c r="G224"/>
    </row>
    <row r="225" spans="1:7">
      <c r="B225" s="993" t="s">
        <v>2910</v>
      </c>
      <c r="C225" s="993" t="s">
        <v>2911</v>
      </c>
      <c r="D225"/>
      <c r="E225"/>
      <c r="F225"/>
      <c r="G225"/>
    </row>
    <row r="226" spans="1:7">
      <c r="B226" s="993" t="s">
        <v>2913</v>
      </c>
      <c r="C226" s="993" t="s">
        <v>2914</v>
      </c>
      <c r="D226"/>
      <c r="E226"/>
      <c r="F226"/>
      <c r="G226"/>
    </row>
    <row r="227" spans="1:7">
      <c r="B227" s="993" t="s">
        <v>2916</v>
      </c>
      <c r="C227" s="993" t="s">
        <v>2917</v>
      </c>
      <c r="D227"/>
      <c r="E227"/>
      <c r="F227"/>
      <c r="G227"/>
    </row>
    <row r="230" spans="1:7">
      <c r="A230" s="993" t="s">
        <v>2918</v>
      </c>
      <c r="B230" t="s">
        <v>50</v>
      </c>
      <c r="C230" s="1" t="s">
        <v>54</v>
      </c>
      <c r="D230"/>
      <c r="E230"/>
      <c r="F230"/>
      <c r="G230"/>
    </row>
    <row r="231" spans="1:7">
      <c r="B231" s="993" t="s">
        <v>2919</v>
      </c>
      <c r="C231" s="993" t="s">
        <v>2920</v>
      </c>
      <c r="D231"/>
      <c r="E231"/>
      <c r="F231"/>
      <c r="G231"/>
    </row>
    <row r="232" spans="1:7">
      <c r="B232" s="993" t="s">
        <v>2921</v>
      </c>
      <c r="C232" s="993" t="s">
        <v>2922</v>
      </c>
      <c r="D232"/>
      <c r="E232"/>
      <c r="F232"/>
      <c r="G232"/>
    </row>
    <row r="233" spans="1:7">
      <c r="B233" s="993" t="s">
        <v>2923</v>
      </c>
      <c r="C233" s="993" t="s">
        <v>2924</v>
      </c>
      <c r="D233"/>
      <c r="E233"/>
      <c r="F233"/>
      <c r="G233"/>
    </row>
    <row r="234" spans="1:7">
      <c r="B234" s="993" t="s">
        <v>2925</v>
      </c>
      <c r="C234" s="993" t="s">
        <v>2926</v>
      </c>
      <c r="D234"/>
      <c r="E234"/>
      <c r="F234"/>
      <c r="G234"/>
    </row>
    <row r="235" spans="1:7">
      <c r="B235" s="993" t="s">
        <v>2927</v>
      </c>
      <c r="C235" s="993" t="s">
        <v>2928</v>
      </c>
      <c r="D235"/>
      <c r="E235"/>
      <c r="F235"/>
      <c r="G235"/>
    </row>
    <row r="236" spans="1:7">
      <c r="B236" s="993" t="s">
        <v>2929</v>
      </c>
      <c r="C236" s="993" t="s">
        <v>2930</v>
      </c>
      <c r="D236"/>
      <c r="E236"/>
      <c r="F236"/>
      <c r="G236"/>
    </row>
    <row r="237" spans="1:7">
      <c r="B237" s="993" t="s">
        <v>2931</v>
      </c>
      <c r="C237" s="993" t="s">
        <v>2932</v>
      </c>
      <c r="D237"/>
      <c r="E237"/>
      <c r="F237"/>
      <c r="G237"/>
    </row>
    <row r="238" spans="1:7">
      <c r="B238" s="993" t="s">
        <v>2933</v>
      </c>
      <c r="C238" s="993" t="s">
        <v>2934</v>
      </c>
      <c r="D238"/>
      <c r="E238"/>
      <c r="F238"/>
      <c r="G238"/>
    </row>
    <row r="239" spans="1:7">
      <c r="B239" s="993" t="s">
        <v>2935</v>
      </c>
      <c r="C239" s="993" t="s">
        <v>2936</v>
      </c>
      <c r="D239"/>
      <c r="E239"/>
      <c r="F239"/>
      <c r="G239"/>
    </row>
    <row r="240" spans="1:7">
      <c r="B240" s="993" t="s">
        <v>2937</v>
      </c>
      <c r="C240" s="993" t="s">
        <v>2938</v>
      </c>
      <c r="D240"/>
      <c r="E240"/>
      <c r="F240"/>
      <c r="G240"/>
    </row>
    <row r="242" spans="1:7">
      <c r="A242" s="993" t="s">
        <v>2939</v>
      </c>
      <c r="B242" t="s">
        <v>50</v>
      </c>
      <c r="C242" s="1" t="s">
        <v>54</v>
      </c>
    </row>
    <row r="243" spans="1:7">
      <c r="B243" s="994" t="s">
        <v>2754</v>
      </c>
      <c r="C243" s="994" t="s">
        <v>2940</v>
      </c>
    </row>
    <row r="244" spans="1:7">
      <c r="B244" s="994" t="s">
        <v>2757</v>
      </c>
      <c r="C244" s="994" t="s">
        <v>2758</v>
      </c>
    </row>
    <row r="245" spans="1:7">
      <c r="B245" s="994" t="s">
        <v>2760</v>
      </c>
      <c r="C245" s="994" t="s">
        <v>2761</v>
      </c>
    </row>
    <row r="246" spans="1:7">
      <c r="B246" s="994" t="s">
        <v>2763</v>
      </c>
      <c r="C246" s="994" t="s">
        <v>2764</v>
      </c>
    </row>
    <row r="248" spans="1:7">
      <c r="A248" s="993" t="s">
        <v>2941</v>
      </c>
      <c r="B248" t="s">
        <v>50</v>
      </c>
      <c r="C248" s="1" t="s">
        <v>54</v>
      </c>
      <c r="D248"/>
      <c r="E248"/>
      <c r="F248"/>
      <c r="G248"/>
    </row>
    <row r="249" spans="1:7">
      <c r="B249" s="993" t="s">
        <v>2942</v>
      </c>
      <c r="C249" s="993" t="s">
        <v>2943</v>
      </c>
      <c r="D249"/>
      <c r="E249"/>
      <c r="F249"/>
      <c r="G249"/>
    </row>
    <row r="250" spans="1:7">
      <c r="B250" s="993" t="s">
        <v>2944</v>
      </c>
      <c r="C250" s="993" t="s">
        <v>2945</v>
      </c>
      <c r="D250"/>
      <c r="E250"/>
      <c r="F250"/>
      <c r="G250"/>
    </row>
    <row r="251" spans="1:7">
      <c r="B251" s="993" t="s">
        <v>2946</v>
      </c>
      <c r="C251" s="993" t="s">
        <v>2947</v>
      </c>
      <c r="D251"/>
      <c r="E251"/>
      <c r="F251"/>
      <c r="G251"/>
    </row>
    <row r="252" spans="1:7">
      <c r="B252" s="993" t="s">
        <v>2948</v>
      </c>
      <c r="C252" s="993" t="s">
        <v>2949</v>
      </c>
      <c r="D252"/>
      <c r="E252"/>
      <c r="F252"/>
      <c r="G252"/>
    </row>
    <row r="253" spans="1:7">
      <c r="B253" s="993" t="s">
        <v>2950</v>
      </c>
      <c r="C253" s="993" t="s">
        <v>2951</v>
      </c>
      <c r="D253"/>
      <c r="E253"/>
      <c r="F253"/>
      <c r="G253"/>
    </row>
    <row r="254" spans="1:7">
      <c r="B254" s="993"/>
      <c r="D254" s="997"/>
    </row>
    <row r="255" spans="1:7">
      <c r="A255" s="993" t="s">
        <v>2952</v>
      </c>
      <c r="B255" t="s">
        <v>50</v>
      </c>
      <c r="C255" s="1" t="s">
        <v>54</v>
      </c>
      <c r="D255"/>
      <c r="E255"/>
      <c r="F255"/>
      <c r="G255"/>
    </row>
    <row r="256" spans="1:7">
      <c r="B256" s="993" t="s">
        <v>2953</v>
      </c>
      <c r="C256" s="993" t="s">
        <v>2954</v>
      </c>
      <c r="D256"/>
      <c r="E256"/>
      <c r="F256"/>
      <c r="G256"/>
    </row>
    <row r="257" spans="1:7">
      <c r="B257" s="993" t="s">
        <v>2955</v>
      </c>
      <c r="C257" s="993" t="s">
        <v>2956</v>
      </c>
      <c r="D257"/>
      <c r="E257"/>
      <c r="F257"/>
      <c r="G257"/>
    </row>
    <row r="258" spans="1:7">
      <c r="B258" s="993" t="s">
        <v>2957</v>
      </c>
      <c r="C258" s="993" t="s">
        <v>2958</v>
      </c>
      <c r="D258"/>
      <c r="E258"/>
      <c r="F258"/>
      <c r="G258"/>
    </row>
    <row r="259" spans="1:7">
      <c r="B259" s="993" t="s">
        <v>2959</v>
      </c>
      <c r="C259" s="993" t="s">
        <v>2960</v>
      </c>
      <c r="D259"/>
      <c r="E259"/>
      <c r="F259"/>
      <c r="G259"/>
    </row>
    <row r="261" spans="1:7">
      <c r="A261" s="993" t="s">
        <v>2961</v>
      </c>
      <c r="B261" t="s">
        <v>50</v>
      </c>
      <c r="C261" s="1" t="s">
        <v>54</v>
      </c>
      <c r="D261"/>
      <c r="E261"/>
      <c r="F261"/>
      <c r="G261"/>
    </row>
    <row r="262" spans="1:7">
      <c r="B262" s="993" t="s">
        <v>2962</v>
      </c>
      <c r="C262" s="993" t="s">
        <v>2963</v>
      </c>
      <c r="D262"/>
      <c r="E262"/>
      <c r="F262"/>
      <c r="G262"/>
    </row>
    <row r="263" spans="1:7">
      <c r="B263" s="993" t="s">
        <v>2964</v>
      </c>
      <c r="C263" s="993" t="s">
        <v>2965</v>
      </c>
      <c r="D263"/>
      <c r="E263"/>
      <c r="F263"/>
      <c r="G263"/>
    </row>
    <row r="264" spans="1:7">
      <c r="B264" s="993" t="s">
        <v>2966</v>
      </c>
      <c r="C264" s="993" t="s">
        <v>2967</v>
      </c>
      <c r="D264"/>
      <c r="E264"/>
      <c r="F264"/>
      <c r="G264"/>
    </row>
    <row r="265" spans="1:7">
      <c r="B265" s="993" t="s">
        <v>2968</v>
      </c>
      <c r="C265" s="993" t="s">
        <v>2969</v>
      </c>
      <c r="D265"/>
      <c r="E265"/>
      <c r="F265"/>
      <c r="G265"/>
    </row>
    <row r="266" spans="1:7">
      <c r="B266" s="993" t="s">
        <v>2970</v>
      </c>
      <c r="C266" s="993" t="s">
        <v>2971</v>
      </c>
      <c r="D266"/>
      <c r="E266"/>
      <c r="F266"/>
      <c r="G266"/>
    </row>
    <row r="268" spans="1:7">
      <c r="A268" s="993" t="s">
        <v>2972</v>
      </c>
      <c r="B268" t="s">
        <v>50</v>
      </c>
      <c r="C268" s="1" t="s">
        <v>54</v>
      </c>
      <c r="D268"/>
      <c r="E268"/>
      <c r="F268"/>
      <c r="G268"/>
    </row>
    <row r="269" spans="1:7">
      <c r="A269" s="993"/>
      <c r="B269" t="s">
        <v>2973</v>
      </c>
      <c r="C269" t="s">
        <v>2974</v>
      </c>
      <c r="D269"/>
      <c r="E269"/>
      <c r="F269"/>
      <c r="G269"/>
    </row>
    <row r="270" spans="1:7">
      <c r="B270" s="993" t="s">
        <v>2975</v>
      </c>
      <c r="C270" s="993" t="s">
        <v>2976</v>
      </c>
      <c r="D270"/>
      <c r="E270"/>
      <c r="F270"/>
      <c r="G270"/>
    </row>
    <row r="272" spans="1:7">
      <c r="A272" s="993" t="s">
        <v>2977</v>
      </c>
      <c r="B272" t="s">
        <v>50</v>
      </c>
      <c r="C272" s="1" t="s">
        <v>54</v>
      </c>
      <c r="D272"/>
      <c r="E272"/>
      <c r="F272"/>
      <c r="G272"/>
    </row>
    <row r="273" spans="1:7">
      <c r="B273" s="993" t="s">
        <v>2978</v>
      </c>
      <c r="C273" s="993" t="s">
        <v>2979</v>
      </c>
      <c r="D273"/>
      <c r="E273"/>
      <c r="F273"/>
      <c r="G273"/>
    </row>
    <row r="274" spans="1:7">
      <c r="B274" s="993" t="s">
        <v>2980</v>
      </c>
      <c r="C274" s="993" t="s">
        <v>2981</v>
      </c>
      <c r="D274"/>
      <c r="E274"/>
      <c r="F274"/>
      <c r="G274"/>
    </row>
    <row r="275" spans="1:7">
      <c r="B275" s="993" t="s">
        <v>2982</v>
      </c>
      <c r="C275" s="993" t="s">
        <v>2983</v>
      </c>
      <c r="D275"/>
      <c r="E275"/>
      <c r="F275"/>
      <c r="G275"/>
    </row>
    <row r="276" spans="1:7">
      <c r="B276" s="993" t="s">
        <v>2984</v>
      </c>
      <c r="C276" s="993" t="s">
        <v>2985</v>
      </c>
      <c r="D276"/>
      <c r="E276"/>
      <c r="F276"/>
      <c r="G276"/>
    </row>
    <row r="277" spans="1:7">
      <c r="B277" s="993" t="s">
        <v>2986</v>
      </c>
      <c r="C277" s="993" t="s">
        <v>2987</v>
      </c>
      <c r="D277"/>
      <c r="E277"/>
      <c r="F277"/>
      <c r="G277"/>
    </row>
    <row r="278" spans="1:7">
      <c r="B278" s="993" t="s">
        <v>2988</v>
      </c>
      <c r="C278" s="993" t="s">
        <v>2989</v>
      </c>
      <c r="D278"/>
      <c r="E278"/>
      <c r="F278"/>
      <c r="G278"/>
    </row>
    <row r="279" spans="1:7">
      <c r="B279" s="993" t="s">
        <v>2990</v>
      </c>
      <c r="C279" s="993" t="s">
        <v>2991</v>
      </c>
      <c r="D279"/>
      <c r="E279"/>
      <c r="F279"/>
      <c r="G279"/>
    </row>
    <row r="281" spans="1:7">
      <c r="A281" s="993" t="s">
        <v>2992</v>
      </c>
      <c r="B281" t="s">
        <v>50</v>
      </c>
      <c r="C281" s="1" t="s">
        <v>54</v>
      </c>
    </row>
    <row r="282" spans="1:7">
      <c r="B282" t="s">
        <v>2772</v>
      </c>
      <c r="C282" t="s">
        <v>2773</v>
      </c>
    </row>
    <row r="283" spans="1:7">
      <c r="B283" t="s">
        <v>2775</v>
      </c>
      <c r="C283" t="s">
        <v>2776</v>
      </c>
    </row>
    <row r="284" spans="1:7">
      <c r="B284" t="s">
        <v>2778</v>
      </c>
      <c r="C284" t="s">
        <v>2779</v>
      </c>
    </row>
    <row r="285" spans="1:7">
      <c r="B285" t="s">
        <v>2781</v>
      </c>
      <c r="C285" t="s">
        <v>2782</v>
      </c>
    </row>
    <row r="287" spans="1:7">
      <c r="A287" s="993" t="s">
        <v>2993</v>
      </c>
      <c r="B287" t="s">
        <v>50</v>
      </c>
      <c r="C287" s="1" t="s">
        <v>54</v>
      </c>
      <c r="D287"/>
      <c r="E287"/>
      <c r="F287"/>
      <c r="G287"/>
    </row>
    <row r="288" spans="1:7">
      <c r="B288" s="993" t="s">
        <v>2994</v>
      </c>
      <c r="C288" s="993" t="s">
        <v>2995</v>
      </c>
      <c r="D288"/>
      <c r="E288"/>
      <c r="F288"/>
      <c r="G288"/>
    </row>
    <row r="289" spans="1:7">
      <c r="B289" s="993" t="s">
        <v>2996</v>
      </c>
      <c r="C289" s="993" t="s">
        <v>2997</v>
      </c>
      <c r="D289"/>
      <c r="E289"/>
      <c r="F289"/>
      <c r="G289"/>
    </row>
    <row r="290" spans="1:7">
      <c r="B290" s="993" t="s">
        <v>2999</v>
      </c>
      <c r="C290" s="993" t="s">
        <v>3000</v>
      </c>
      <c r="D290"/>
      <c r="E290"/>
      <c r="F290"/>
      <c r="G290"/>
    </row>
    <row r="291" spans="1:7">
      <c r="B291" s="993" t="s">
        <v>3002</v>
      </c>
      <c r="C291" s="993" t="s">
        <v>3003</v>
      </c>
      <c r="D291"/>
      <c r="E291"/>
      <c r="F291"/>
      <c r="G291"/>
    </row>
    <row r="292" spans="1:7">
      <c r="B292" s="993" t="s">
        <v>3004</v>
      </c>
      <c r="C292" s="993" t="s">
        <v>3005</v>
      </c>
      <c r="D292"/>
      <c r="E292"/>
      <c r="F292"/>
      <c r="G292"/>
    </row>
    <row r="293" spans="1:7">
      <c r="B293" s="993" t="s">
        <v>3006</v>
      </c>
      <c r="C293" s="993" t="s">
        <v>3007</v>
      </c>
      <c r="D293"/>
      <c r="E293"/>
      <c r="F293"/>
      <c r="G293"/>
    </row>
    <row r="294" spans="1:7">
      <c r="B294" s="993" t="s">
        <v>3008</v>
      </c>
      <c r="C294" s="993" t="s">
        <v>3009</v>
      </c>
      <c r="D294"/>
      <c r="E294"/>
      <c r="F294"/>
      <c r="G294"/>
    </row>
    <row r="295" spans="1:7">
      <c r="B295" s="993" t="s">
        <v>3010</v>
      </c>
      <c r="C295" s="993" t="s">
        <v>3011</v>
      </c>
      <c r="D295"/>
      <c r="E295"/>
      <c r="F295"/>
      <c r="G295"/>
    </row>
    <row r="296" spans="1:7">
      <c r="B296" s="993" t="s">
        <v>3012</v>
      </c>
      <c r="C296" s="993" t="s">
        <v>3013</v>
      </c>
      <c r="D296"/>
      <c r="E296"/>
      <c r="F296"/>
      <c r="G296"/>
    </row>
    <row r="298" spans="1:7">
      <c r="A298" s="993" t="s">
        <v>3014</v>
      </c>
      <c r="B298" t="s">
        <v>50</v>
      </c>
      <c r="C298" s="1" t="s">
        <v>54</v>
      </c>
      <c r="D298"/>
      <c r="E298"/>
      <c r="F298"/>
      <c r="G298"/>
    </row>
    <row r="299" spans="1:7">
      <c r="B299" s="993" t="s">
        <v>3015</v>
      </c>
      <c r="C299" s="993" t="s">
        <v>3016</v>
      </c>
      <c r="D299"/>
      <c r="E299"/>
      <c r="F299"/>
      <c r="G299"/>
    </row>
    <row r="300" spans="1:7">
      <c r="B300" s="993" t="s">
        <v>3017</v>
      </c>
      <c r="C300" s="993" t="s">
        <v>3018</v>
      </c>
      <c r="D300"/>
      <c r="E300"/>
      <c r="F300"/>
      <c r="G300"/>
    </row>
    <row r="301" spans="1:7">
      <c r="B301" s="993" t="s">
        <v>3019</v>
      </c>
      <c r="C301" s="993" t="s">
        <v>3020</v>
      </c>
      <c r="D301"/>
      <c r="E301"/>
      <c r="F301"/>
      <c r="G301"/>
    </row>
    <row r="302" spans="1:7">
      <c r="B302" s="993" t="s">
        <v>3021</v>
      </c>
      <c r="C302" s="993" t="s">
        <v>3022</v>
      </c>
      <c r="D302"/>
      <c r="E302"/>
      <c r="F302"/>
      <c r="G302"/>
    </row>
    <row r="303" spans="1:7">
      <c r="B303" s="993" t="s">
        <v>3023</v>
      </c>
      <c r="C303" s="993" t="s">
        <v>3024</v>
      </c>
      <c r="D303"/>
      <c r="E303"/>
      <c r="F303"/>
      <c r="G303"/>
    </row>
    <row r="304" spans="1:7">
      <c r="B304" s="993" t="s">
        <v>3025</v>
      </c>
      <c r="C304" s="993" t="s">
        <v>3026</v>
      </c>
      <c r="D304"/>
      <c r="E304"/>
      <c r="F304"/>
      <c r="G304"/>
    </row>
    <row r="305" spans="1:7">
      <c r="B305" s="993" t="s">
        <v>3027</v>
      </c>
      <c r="C305" s="993" t="s">
        <v>3028</v>
      </c>
      <c r="D305"/>
      <c r="E305"/>
      <c r="F305"/>
      <c r="G305"/>
    </row>
    <row r="306" spans="1:7">
      <c r="B306" s="993" t="s">
        <v>3029</v>
      </c>
      <c r="C306" s="993" t="s">
        <v>3030</v>
      </c>
      <c r="D306"/>
      <c r="E306"/>
      <c r="F306"/>
      <c r="G306"/>
    </row>
    <row r="307" spans="1:7">
      <c r="B307" s="993" t="s">
        <v>3031</v>
      </c>
      <c r="C307" s="993" t="s">
        <v>3032</v>
      </c>
      <c r="D307"/>
      <c r="E307"/>
      <c r="F307"/>
      <c r="G307"/>
    </row>
    <row r="308" spans="1:7">
      <c r="B308" s="993" t="s">
        <v>3033</v>
      </c>
      <c r="C308" s="993" t="s">
        <v>3034</v>
      </c>
      <c r="D308"/>
      <c r="E308"/>
      <c r="F308"/>
      <c r="G308"/>
    </row>
    <row r="309" spans="1:7">
      <c r="B309" s="993" t="s">
        <v>3035</v>
      </c>
      <c r="C309" s="993" t="s">
        <v>3036</v>
      </c>
      <c r="D309"/>
      <c r="E309"/>
      <c r="F309"/>
      <c r="G309"/>
    </row>
    <row r="311" spans="1:7">
      <c r="A311" s="993" t="s">
        <v>3037</v>
      </c>
      <c r="B311" t="s">
        <v>50</v>
      </c>
      <c r="C311" s="1" t="s">
        <v>54</v>
      </c>
      <c r="D311"/>
      <c r="E311"/>
      <c r="F311"/>
      <c r="G311"/>
    </row>
    <row r="312" spans="1:7">
      <c r="B312" s="993" t="s">
        <v>3038</v>
      </c>
      <c r="C312" s="993" t="s">
        <v>3039</v>
      </c>
      <c r="D312"/>
      <c r="E312"/>
      <c r="F312"/>
      <c r="G312"/>
    </row>
    <row r="313" spans="1:7">
      <c r="B313" s="993" t="s">
        <v>3040</v>
      </c>
      <c r="C313" s="993" t="s">
        <v>3041</v>
      </c>
      <c r="D313"/>
      <c r="E313"/>
      <c r="F313"/>
      <c r="G313"/>
    </row>
    <row r="314" spans="1:7">
      <c r="B314" s="993" t="s">
        <v>3042</v>
      </c>
      <c r="C314" s="993" t="s">
        <v>3043</v>
      </c>
      <c r="D314"/>
      <c r="E314"/>
      <c r="F314"/>
      <c r="G314"/>
    </row>
    <row r="315" spans="1:7">
      <c r="B315" s="993" t="s">
        <v>3044</v>
      </c>
      <c r="C315" s="993" t="s">
        <v>3045</v>
      </c>
      <c r="D315"/>
      <c r="E315"/>
      <c r="F315"/>
      <c r="G315"/>
    </row>
    <row r="316" spans="1:7">
      <c r="B316" s="993" t="s">
        <v>3046</v>
      </c>
      <c r="C316" s="993" t="s">
        <v>3047</v>
      </c>
      <c r="D316"/>
      <c r="E316"/>
      <c r="F316"/>
      <c r="G316"/>
    </row>
    <row r="317" spans="1:7">
      <c r="B317" s="993" t="s">
        <v>3048</v>
      </c>
      <c r="C317" s="993" t="s">
        <v>3049</v>
      </c>
      <c r="D317"/>
      <c r="E317"/>
      <c r="F317"/>
      <c r="G317"/>
    </row>
    <row r="318" spans="1:7">
      <c r="B318" s="993" t="s">
        <v>3050</v>
      </c>
      <c r="C318" s="993" t="s">
        <v>3051</v>
      </c>
      <c r="D318"/>
      <c r="E318"/>
      <c r="F318"/>
      <c r="G318"/>
    </row>
    <row r="319" spans="1:7">
      <c r="B319" s="993" t="s">
        <v>3052</v>
      </c>
      <c r="C319" s="993" t="s">
        <v>3053</v>
      </c>
      <c r="D319"/>
      <c r="E319"/>
      <c r="F319"/>
      <c r="G319"/>
    </row>
    <row r="321" spans="1:7">
      <c r="A321" s="993" t="s">
        <v>3054</v>
      </c>
      <c r="B321" t="s">
        <v>50</v>
      </c>
      <c r="C321" s="1" t="s">
        <v>54</v>
      </c>
      <c r="D321"/>
      <c r="E321"/>
      <c r="F321"/>
      <c r="G321"/>
    </row>
    <row r="322" spans="1:7">
      <c r="B322" s="993" t="s">
        <v>3055</v>
      </c>
      <c r="C322" s="993" t="s">
        <v>3056</v>
      </c>
      <c r="D322"/>
      <c r="E322"/>
      <c r="F322"/>
      <c r="G322"/>
    </row>
    <row r="323" spans="1:7">
      <c r="B323" s="993" t="s">
        <v>3057</v>
      </c>
      <c r="C323" s="993" t="s">
        <v>3058</v>
      </c>
      <c r="D323"/>
      <c r="E323"/>
      <c r="F323"/>
      <c r="G323"/>
    </row>
    <row r="325" spans="1:7">
      <c r="A325" s="993" t="s">
        <v>3059</v>
      </c>
      <c r="B325" t="s">
        <v>50</v>
      </c>
      <c r="C325" s="1" t="s">
        <v>54</v>
      </c>
    </row>
    <row r="326" spans="1:7">
      <c r="B326" s="993" t="s">
        <v>2787</v>
      </c>
      <c r="C326" s="993" t="s">
        <v>2788</v>
      </c>
    </row>
    <row r="327" spans="1:7">
      <c r="B327" s="993" t="s">
        <v>2790</v>
      </c>
      <c r="C327" s="993" t="s">
        <v>2791</v>
      </c>
    </row>
    <row r="329" spans="1:7">
      <c r="A329" s="993" t="s">
        <v>3060</v>
      </c>
      <c r="B329" t="s">
        <v>50</v>
      </c>
      <c r="C329" s="1" t="s">
        <v>54</v>
      </c>
      <c r="D329"/>
      <c r="E329"/>
      <c r="F329"/>
      <c r="G329"/>
    </row>
    <row r="330" spans="1:7">
      <c r="B330" s="993" t="s">
        <v>3061</v>
      </c>
      <c r="C330" s="993" t="s">
        <v>3062</v>
      </c>
      <c r="D330"/>
      <c r="E330"/>
      <c r="F330"/>
      <c r="G330"/>
    </row>
    <row r="331" spans="1:7">
      <c r="B331" s="993" t="s">
        <v>3063</v>
      </c>
      <c r="C331" s="993" t="s">
        <v>3064</v>
      </c>
      <c r="D331"/>
      <c r="E331"/>
      <c r="F331"/>
      <c r="G331"/>
    </row>
    <row r="332" spans="1:7">
      <c r="C332"/>
    </row>
    <row r="333" spans="1:7">
      <c r="A333" s="993" t="s">
        <v>3065</v>
      </c>
      <c r="B333" t="s">
        <v>50</v>
      </c>
      <c r="C333" s="1" t="s">
        <v>54</v>
      </c>
      <c r="D333"/>
      <c r="E333"/>
      <c r="F333"/>
      <c r="G333"/>
    </row>
    <row r="334" spans="1:7">
      <c r="B334" s="993" t="s">
        <v>3066</v>
      </c>
      <c r="C334" s="993" t="s">
        <v>3067</v>
      </c>
      <c r="D334"/>
      <c r="E334"/>
      <c r="F334"/>
      <c r="G334"/>
    </row>
    <row r="335" spans="1:7">
      <c r="B335" s="993" t="s">
        <v>3069</v>
      </c>
      <c r="C335" s="993" t="s">
        <v>3070</v>
      </c>
      <c r="D335"/>
      <c r="E335"/>
      <c r="F335"/>
      <c r="G335"/>
    </row>
    <row r="336" spans="1:7">
      <c r="B336" s="993" t="s">
        <v>3072</v>
      </c>
      <c r="C336" s="993" t="s">
        <v>3073</v>
      </c>
      <c r="D336"/>
      <c r="E336"/>
      <c r="F336"/>
      <c r="G336"/>
    </row>
    <row r="337" spans="1:7">
      <c r="B337" s="993" t="s">
        <v>3075</v>
      </c>
      <c r="C337" s="993" t="s">
        <v>3076</v>
      </c>
      <c r="D337"/>
      <c r="E337"/>
      <c r="F337"/>
      <c r="G337"/>
    </row>
    <row r="338" spans="1:7">
      <c r="B338" s="993" t="s">
        <v>3077</v>
      </c>
      <c r="C338" s="993" t="s">
        <v>3078</v>
      </c>
      <c r="D338"/>
      <c r="E338"/>
      <c r="F338"/>
      <c r="G338"/>
    </row>
    <row r="339" spans="1:7">
      <c r="B339" s="993" t="s">
        <v>3079</v>
      </c>
      <c r="C339" s="993" t="s">
        <v>3080</v>
      </c>
      <c r="D339"/>
      <c r="E339"/>
      <c r="F339"/>
      <c r="G339"/>
    </row>
    <row r="340" spans="1:7">
      <c r="B340" s="993" t="s">
        <v>3081</v>
      </c>
      <c r="C340" s="993" t="s">
        <v>3082</v>
      </c>
      <c r="D340"/>
      <c r="E340"/>
      <c r="F340"/>
      <c r="G340"/>
    </row>
    <row r="342" spans="1:7">
      <c r="A342" s="993" t="s">
        <v>3083</v>
      </c>
      <c r="B342" t="s">
        <v>50</v>
      </c>
      <c r="C342" s="1" t="s">
        <v>54</v>
      </c>
    </row>
    <row r="343" spans="1:7">
      <c r="B343" t="s">
        <v>2796</v>
      </c>
      <c r="C343" s="601" t="s">
        <v>2797</v>
      </c>
    </row>
    <row r="344" spans="1:7">
      <c r="B344" t="s">
        <v>2799</v>
      </c>
      <c r="C344" s="601" t="s">
        <v>2800</v>
      </c>
    </row>
    <row r="346" spans="1:7">
      <c r="A346" s="993" t="s">
        <v>3084</v>
      </c>
      <c r="B346" s="998" t="s">
        <v>50</v>
      </c>
      <c r="C346" s="999" t="s">
        <v>54</v>
      </c>
      <c r="D346"/>
      <c r="E346"/>
      <c r="F346"/>
      <c r="G346"/>
    </row>
    <row r="347" spans="1:7">
      <c r="B347" s="993" t="s">
        <v>3085</v>
      </c>
      <c r="C347" s="601" t="s">
        <v>3086</v>
      </c>
      <c r="D347"/>
      <c r="E347"/>
      <c r="F347"/>
      <c r="G347"/>
    </row>
    <row r="348" spans="1:7">
      <c r="B348" s="993" t="s">
        <v>3087</v>
      </c>
      <c r="C348" s="601" t="s">
        <v>3088</v>
      </c>
      <c r="D348"/>
      <c r="E348"/>
      <c r="F348"/>
      <c r="G348"/>
    </row>
    <row r="349" spans="1:7">
      <c r="B349" s="993" t="s">
        <v>3089</v>
      </c>
      <c r="C349" s="601" t="s">
        <v>3090</v>
      </c>
      <c r="D349"/>
      <c r="E349"/>
      <c r="F349"/>
      <c r="G349"/>
    </row>
    <row r="350" spans="1:7">
      <c r="B350" s="993" t="s">
        <v>3091</v>
      </c>
      <c r="C350" s="601" t="s">
        <v>3092</v>
      </c>
      <c r="D350"/>
      <c r="E350"/>
      <c r="F350"/>
      <c r="G350"/>
    </row>
    <row r="351" spans="1:7">
      <c r="B351" s="993" t="s">
        <v>3093</v>
      </c>
      <c r="C351" s="601" t="s">
        <v>3094</v>
      </c>
      <c r="D351"/>
      <c r="E351"/>
      <c r="F351"/>
      <c r="G351"/>
    </row>
    <row r="352" spans="1:7">
      <c r="B352" s="993" t="s">
        <v>3095</v>
      </c>
      <c r="C352" s="601" t="s">
        <v>3096</v>
      </c>
      <c r="D352"/>
      <c r="E352"/>
      <c r="F352"/>
      <c r="G352"/>
    </row>
    <row r="354" spans="1:7">
      <c r="A354" s="993" t="s">
        <v>3097</v>
      </c>
      <c r="B354" t="s">
        <v>50</v>
      </c>
      <c r="C354" s="1" t="s">
        <v>54</v>
      </c>
      <c r="D354"/>
      <c r="E354"/>
      <c r="F354"/>
      <c r="G354"/>
    </row>
    <row r="355" spans="1:7">
      <c r="B355" s="993" t="s">
        <v>3098</v>
      </c>
      <c r="C355" s="601" t="s">
        <v>3099</v>
      </c>
      <c r="D355"/>
      <c r="E355"/>
      <c r="F355"/>
      <c r="G355"/>
    </row>
    <row r="356" spans="1:7">
      <c r="B356" s="993" t="s">
        <v>3100</v>
      </c>
      <c r="C356" s="601" t="s">
        <v>3101</v>
      </c>
      <c r="D356"/>
      <c r="E356"/>
      <c r="F356"/>
      <c r="G356"/>
    </row>
    <row r="357" spans="1:7">
      <c r="B357" s="993" t="s">
        <v>3102</v>
      </c>
      <c r="C357" s="601" t="s">
        <v>3103</v>
      </c>
      <c r="D357"/>
      <c r="E357"/>
      <c r="F357"/>
      <c r="G357"/>
    </row>
    <row r="358" spans="1:7">
      <c r="B358" s="993" t="s">
        <v>3104</v>
      </c>
      <c r="C358" s="601" t="s">
        <v>3105</v>
      </c>
      <c r="D358"/>
      <c r="E358"/>
      <c r="F358"/>
      <c r="G358"/>
    </row>
    <row r="359" spans="1:7">
      <c r="B359" s="993" t="s">
        <v>3106</v>
      </c>
      <c r="C359" s="601" t="s">
        <v>3107</v>
      </c>
      <c r="D359"/>
      <c r="E359"/>
      <c r="F359"/>
      <c r="G359"/>
    </row>
    <row r="360" spans="1:7">
      <c r="B360" s="993" t="s">
        <v>3108</v>
      </c>
      <c r="C360" s="601" t="s">
        <v>3109</v>
      </c>
      <c r="D360"/>
      <c r="E360"/>
      <c r="F360"/>
      <c r="G360"/>
    </row>
    <row r="361" spans="1:7">
      <c r="B361" s="993" t="s">
        <v>3110</v>
      </c>
      <c r="C361" s="601" t="s">
        <v>3111</v>
      </c>
      <c r="D361"/>
      <c r="E361"/>
      <c r="F361"/>
      <c r="G361"/>
    </row>
    <row r="362" spans="1:7">
      <c r="B362" s="993" t="s">
        <v>3112</v>
      </c>
      <c r="C362" s="601" t="s">
        <v>3113</v>
      </c>
      <c r="D362"/>
      <c r="E362"/>
      <c r="F362"/>
      <c r="G362"/>
    </row>
    <row r="363" spans="1:7">
      <c r="B363" s="993" t="s">
        <v>3114</v>
      </c>
      <c r="C363" s="601" t="s">
        <v>3115</v>
      </c>
      <c r="D363"/>
      <c r="E363"/>
      <c r="F363"/>
      <c r="G363"/>
    </row>
    <row r="364" spans="1:7">
      <c r="B364" s="993" t="s">
        <v>3116</v>
      </c>
      <c r="C364" s="601" t="s">
        <v>3117</v>
      </c>
      <c r="D364"/>
      <c r="E364"/>
      <c r="F364"/>
      <c r="G364"/>
    </row>
    <row r="366" spans="1:7">
      <c r="A366" s="993" t="s">
        <v>3118</v>
      </c>
      <c r="B366" t="s">
        <v>50</v>
      </c>
      <c r="C366" s="1" t="s">
        <v>54</v>
      </c>
    </row>
    <row r="367" spans="1:7">
      <c r="B367" t="s">
        <v>2805</v>
      </c>
      <c r="C367" s="601" t="s">
        <v>3119</v>
      </c>
    </row>
    <row r="368" spans="1:7">
      <c r="B368" t="s">
        <v>2808</v>
      </c>
      <c r="C368" s="601" t="s">
        <v>2809</v>
      </c>
    </row>
    <row r="369" spans="1:7">
      <c r="B369" t="s">
        <v>2811</v>
      </c>
      <c r="C369" s="601" t="s">
        <v>2812</v>
      </c>
    </row>
    <row r="371" spans="1:7">
      <c r="A371" s="993" t="s">
        <v>3120</v>
      </c>
      <c r="B371" t="s">
        <v>50</v>
      </c>
      <c r="C371" s="1" t="s">
        <v>54</v>
      </c>
      <c r="D371"/>
      <c r="E371"/>
      <c r="F371"/>
      <c r="G371"/>
    </row>
    <row r="372" spans="1:7">
      <c r="B372" s="993" t="s">
        <v>3121</v>
      </c>
      <c r="C372" s="601" t="s">
        <v>3122</v>
      </c>
      <c r="D372"/>
      <c r="E372"/>
      <c r="F372"/>
      <c r="G372"/>
    </row>
    <row r="373" spans="1:7">
      <c r="B373" s="993" t="s">
        <v>3123</v>
      </c>
      <c r="C373" s="601" t="s">
        <v>3124</v>
      </c>
      <c r="D373"/>
      <c r="E373"/>
      <c r="F373"/>
      <c r="G373"/>
    </row>
    <row r="374" spans="1:7">
      <c r="B374" s="993" t="s">
        <v>3125</v>
      </c>
      <c r="C374" s="601" t="s">
        <v>3126</v>
      </c>
      <c r="D374"/>
      <c r="E374"/>
      <c r="F374"/>
      <c r="G374"/>
    </row>
    <row r="375" spans="1:7">
      <c r="B375" s="993" t="s">
        <v>3127</v>
      </c>
      <c r="C375" s="601" t="s">
        <v>3128</v>
      </c>
      <c r="D375"/>
      <c r="E375"/>
      <c r="F375"/>
      <c r="G375"/>
    </row>
    <row r="376" spans="1:7">
      <c r="B376" s="993" t="s">
        <v>3129</v>
      </c>
      <c r="C376" s="601" t="s">
        <v>3130</v>
      </c>
      <c r="D376"/>
      <c r="E376"/>
      <c r="F376"/>
      <c r="G376"/>
    </row>
    <row r="377" spans="1:7">
      <c r="B377" s="993" t="s">
        <v>3131</v>
      </c>
      <c r="C377" s="601" t="s">
        <v>3132</v>
      </c>
      <c r="D377"/>
      <c r="E377"/>
      <c r="F377"/>
      <c r="G377"/>
    </row>
    <row r="378" spans="1:7">
      <c r="B378" s="993" t="s">
        <v>3133</v>
      </c>
      <c r="C378" s="601" t="s">
        <v>3134</v>
      </c>
      <c r="D378"/>
      <c r="E378"/>
      <c r="F378"/>
      <c r="G378"/>
    </row>
    <row r="379" spans="1:7">
      <c r="B379" s="993" t="s">
        <v>3135</v>
      </c>
      <c r="C379" s="601" t="s">
        <v>3136</v>
      </c>
      <c r="D379"/>
      <c r="E379"/>
      <c r="F379"/>
      <c r="G379"/>
    </row>
    <row r="380" spans="1:7">
      <c r="B380" s="993" t="s">
        <v>3137</v>
      </c>
      <c r="C380" s="601" t="s">
        <v>3138</v>
      </c>
      <c r="D380"/>
      <c r="E380"/>
      <c r="F380"/>
      <c r="G380"/>
    </row>
    <row r="382" spans="1:7">
      <c r="A382" s="993" t="s">
        <v>3139</v>
      </c>
      <c r="B382" t="s">
        <v>50</v>
      </c>
      <c r="C382" s="1" t="s">
        <v>54</v>
      </c>
      <c r="D382"/>
      <c r="E382"/>
      <c r="F382"/>
      <c r="G382"/>
    </row>
    <row r="383" spans="1:7">
      <c r="B383" s="993" t="s">
        <v>3140</v>
      </c>
      <c r="C383" s="601" t="s">
        <v>3141</v>
      </c>
      <c r="D383"/>
      <c r="E383"/>
      <c r="F383"/>
      <c r="G383"/>
    </row>
    <row r="384" spans="1:7">
      <c r="B384" s="993" t="s">
        <v>3142</v>
      </c>
      <c r="C384" s="601" t="s">
        <v>3143</v>
      </c>
      <c r="D384"/>
      <c r="E384"/>
      <c r="F384"/>
      <c r="G384"/>
    </row>
    <row r="385" spans="1:7">
      <c r="B385" s="993" t="s">
        <v>3144</v>
      </c>
      <c r="C385" s="601" t="s">
        <v>3145</v>
      </c>
      <c r="D385"/>
      <c r="E385"/>
      <c r="F385"/>
      <c r="G385"/>
    </row>
    <row r="386" spans="1:7">
      <c r="B386" s="993" t="s">
        <v>3146</v>
      </c>
      <c r="C386" s="601" t="s">
        <v>3147</v>
      </c>
      <c r="D386"/>
      <c r="E386"/>
      <c r="F386"/>
      <c r="G386"/>
    </row>
    <row r="387" spans="1:7">
      <c r="B387" s="993" t="s">
        <v>3148</v>
      </c>
      <c r="C387" s="601" t="s">
        <v>3149</v>
      </c>
      <c r="D387"/>
      <c r="E387"/>
      <c r="F387"/>
      <c r="G387"/>
    </row>
    <row r="388" spans="1:7">
      <c r="B388" s="993" t="s">
        <v>3150</v>
      </c>
      <c r="C388" s="601" t="s">
        <v>3151</v>
      </c>
      <c r="D388"/>
      <c r="E388"/>
      <c r="F388"/>
      <c r="G388"/>
    </row>
    <row r="390" spans="1:7">
      <c r="A390" s="993" t="s">
        <v>3152</v>
      </c>
      <c r="B390" t="s">
        <v>50</v>
      </c>
      <c r="C390" s="1" t="s">
        <v>54</v>
      </c>
      <c r="D390"/>
      <c r="E390"/>
      <c r="F390"/>
      <c r="G390"/>
    </row>
    <row r="391" spans="1:7">
      <c r="B391" s="993" t="s">
        <v>3153</v>
      </c>
      <c r="C391" s="601" t="s">
        <v>3154</v>
      </c>
      <c r="D391"/>
      <c r="E391"/>
      <c r="F391"/>
      <c r="G391"/>
    </row>
    <row r="392" spans="1:7">
      <c r="B392" s="993" t="s">
        <v>3155</v>
      </c>
      <c r="C392" s="601" t="s">
        <v>3156</v>
      </c>
      <c r="D392"/>
      <c r="E392"/>
      <c r="F392"/>
      <c r="G392"/>
    </row>
    <row r="393" spans="1:7">
      <c r="B393" s="993" t="s">
        <v>3157</v>
      </c>
      <c r="C393" s="601" t="s">
        <v>3158</v>
      </c>
      <c r="D393"/>
      <c r="E393"/>
      <c r="F393"/>
      <c r="G393"/>
    </row>
    <row r="394" spans="1:7">
      <c r="B394" s="993" t="s">
        <v>3159</v>
      </c>
      <c r="C394" s="601" t="s">
        <v>3160</v>
      </c>
      <c r="D394"/>
      <c r="E394"/>
      <c r="F394"/>
      <c r="G394"/>
    </row>
    <row r="396" spans="1:7">
      <c r="A396" s="993" t="s">
        <v>3161</v>
      </c>
      <c r="B396" t="s">
        <v>50</v>
      </c>
      <c r="C396" s="1" t="s">
        <v>54</v>
      </c>
      <c r="D396"/>
      <c r="E396"/>
      <c r="F396"/>
      <c r="G396"/>
    </row>
    <row r="397" spans="1:7">
      <c r="B397" s="993" t="s">
        <v>3162</v>
      </c>
      <c r="C397" s="993" t="s">
        <v>3163</v>
      </c>
      <c r="D397"/>
      <c r="E397"/>
      <c r="F397"/>
      <c r="G397"/>
    </row>
    <row r="398" spans="1:7">
      <c r="B398" s="993" t="s">
        <v>3164</v>
      </c>
      <c r="C398" s="993" t="s">
        <v>3165</v>
      </c>
      <c r="D398"/>
      <c r="E398"/>
      <c r="F398"/>
      <c r="G398"/>
    </row>
    <row r="399" spans="1:7">
      <c r="B399" s="993" t="s">
        <v>3166</v>
      </c>
      <c r="C399" s="993" t="s">
        <v>3167</v>
      </c>
      <c r="D399"/>
      <c r="E399"/>
      <c r="F399"/>
      <c r="G399"/>
    </row>
    <row r="400" spans="1:7">
      <c r="B400" s="993" t="s">
        <v>3168</v>
      </c>
      <c r="C400" s="993" t="s">
        <v>3169</v>
      </c>
      <c r="D400"/>
      <c r="E400"/>
      <c r="F400"/>
      <c r="G400"/>
    </row>
    <row r="401" spans="2:7">
      <c r="B401" s="993" t="s">
        <v>3170</v>
      </c>
      <c r="C401" s="993" t="s">
        <v>3171</v>
      </c>
      <c r="D401"/>
      <c r="E401"/>
      <c r="F401"/>
      <c r="G401"/>
    </row>
    <row r="402" spans="2:7">
      <c r="B402" s="993" t="s">
        <v>3172</v>
      </c>
      <c r="C402" s="993" t="s">
        <v>3173</v>
      </c>
      <c r="D402"/>
      <c r="E402"/>
      <c r="F402"/>
      <c r="G402"/>
    </row>
    <row r="403" spans="2:7">
      <c r="B403" s="993" t="s">
        <v>3174</v>
      </c>
      <c r="C403" s="993" t="s">
        <v>3175</v>
      </c>
      <c r="D403"/>
      <c r="E403"/>
      <c r="F403"/>
      <c r="G403"/>
    </row>
    <row r="404" spans="2:7">
      <c r="B404" s="993" t="s">
        <v>3176</v>
      </c>
      <c r="C404" s="993" t="s">
        <v>3177</v>
      </c>
      <c r="D404"/>
      <c r="E404"/>
      <c r="F404"/>
      <c r="G404"/>
    </row>
  </sheetData>
  <pageMargins left="0.7" right="0.7" top="0.78740157499999996" bottom="0.78740157499999996" header="0.3" footer="0.3"/>
  <tableParts count="50">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F14E3-3891-4995-8218-779C66696D8B}">
  <sheetPr codeName="TabAssemblyTemplate">
    <tabColor theme="9"/>
    <outlinePr summaryBelow="0" summaryRight="0"/>
  </sheetPr>
  <dimension ref="B1:P24"/>
  <sheetViews>
    <sheetView showGridLines="0" zoomScale="85" zoomScaleNormal="85" workbookViewId="0">
      <selection activeCell="K17" sqref="K17"/>
    </sheetView>
  </sheetViews>
  <sheetFormatPr baseColWidth="10" defaultColWidth="11.5703125" defaultRowHeight="12.75" outlineLevelCol="1"/>
  <cols>
    <col min="1" max="1" width="2.7109375" customWidth="1"/>
    <col min="2" max="2" width="16.85546875" bestFit="1" customWidth="1"/>
    <col min="3" max="3" width="22" style="1" bestFit="1" customWidth="1"/>
    <col min="4" max="4" width="13.85546875" style="1" bestFit="1" customWidth="1"/>
    <col min="5" max="5" width="16.140625" customWidth="1"/>
    <col min="6" max="6" width="25.7109375" style="601" bestFit="1" customWidth="1"/>
    <col min="7" max="7" width="25.7109375" style="1" bestFit="1" customWidth="1"/>
    <col min="8" max="8" width="38" style="601" bestFit="1" customWidth="1"/>
    <col min="9" max="9" width="35.28515625" style="1" bestFit="1" customWidth="1"/>
    <col min="10" max="11" width="11.5703125" style="1" customWidth="1"/>
    <col min="12" max="12" width="11.5703125" customWidth="1"/>
    <col min="13" max="13" width="11.5703125" customWidth="1" collapsed="1"/>
    <col min="14" max="16" width="20.7109375" style="1" hidden="1" customWidth="1" outlineLevel="1"/>
    <col min="17" max="17" width="11.5703125" customWidth="1"/>
  </cols>
  <sheetData>
    <row r="1" spans="2:16" ht="48" customHeight="1">
      <c r="E1" s="1479" t="s">
        <v>3331</v>
      </c>
      <c r="F1" s="1479"/>
      <c r="G1" s="1479"/>
      <c r="H1" s="1479"/>
    </row>
    <row r="2" spans="2:16" ht="13.5" thickBot="1"/>
    <row r="3" spans="2:16" ht="15" customHeight="1">
      <c r="B3" s="1477" t="s">
        <v>3332</v>
      </c>
      <c r="C3" s="1478"/>
      <c r="D3" s="1000"/>
      <c r="E3" s="1477" t="s">
        <v>1377</v>
      </c>
      <c r="F3" s="1478"/>
      <c r="H3" s="994"/>
    </row>
    <row r="4" spans="2:16">
      <c r="B4" s="1001" t="s">
        <v>2672</v>
      </c>
      <c r="C4" s="1002"/>
      <c r="D4" s="1000"/>
      <c r="E4" s="1001" t="s">
        <v>597</v>
      </c>
      <c r="F4" s="1028" t="str">
        <f>IFERROR(_xlfn.NUMBERVALUE(LEFT(VLOOKUP(C4,BOM,13,0),1)),"")</f>
        <v/>
      </c>
    </row>
    <row r="5" spans="2:16">
      <c r="B5" s="1001" t="s">
        <v>78</v>
      </c>
      <c r="C5" s="1027" t="str">
        <f>IFERROR(VLOOKUP(C4,BOM,14,0),"")</f>
        <v/>
      </c>
      <c r="D5" s="1000"/>
      <c r="E5" s="1001" t="s">
        <v>624</v>
      </c>
      <c r="F5" s="1028" t="str" cm="1">
        <f t="array" ref="F5">IFERROR(INDEX(Premises,18,1+2*MATCH($F$4,Premises_Dropdown,0)),"")</f>
        <v/>
      </c>
    </row>
    <row r="6" spans="2:16">
      <c r="B6" s="1001" t="s">
        <v>197</v>
      </c>
      <c r="C6" s="1027" t="str">
        <f>IFERROR(VLOOKUP(C4,BOM,7,0),"")</f>
        <v/>
      </c>
      <c r="D6" s="1000"/>
      <c r="E6" s="1001" t="s">
        <v>3327</v>
      </c>
      <c r="F6" s="1031" t="str" cm="1">
        <f t="array" ref="F6">IFERROR(INDEX(Premises,13,1+2*MATCH($F$4,Premises_Dropdown,0)),"")</f>
        <v/>
      </c>
    </row>
    <row r="7" spans="2:16">
      <c r="B7" s="1001" t="s">
        <v>3320</v>
      </c>
      <c r="C7" s="1028" t="str">
        <f>IFERROR(VLOOKUP(C4,BOM,8,0),"")</f>
        <v/>
      </c>
      <c r="D7" s="1000"/>
      <c r="E7" s="1001" t="s">
        <v>3328</v>
      </c>
      <c r="F7" s="1003" t="str" cm="1">
        <f t="array" ref="F7">IFERROR(INDEX(Premises,79,1+2*MATCH($F$4,Premises_Dropdown,0)),"")</f>
        <v/>
      </c>
    </row>
    <row r="8" spans="2:16" ht="13.5" thickBot="1">
      <c r="B8" s="1001" t="s">
        <v>3321</v>
      </c>
      <c r="C8" s="1028" t="str">
        <f>IFERROR(VLOOKUP(C4,BOM,9,0),"")</f>
        <v/>
      </c>
      <c r="D8" s="1000"/>
      <c r="E8" s="1004" t="s">
        <v>3329</v>
      </c>
      <c r="F8" s="1030" t="str">
        <f>IFERROR(Montage[[#Totals],[Total time
'[s']]]/F7,"")</f>
        <v/>
      </c>
    </row>
    <row r="9" spans="2:16" ht="13.5" thickBot="1">
      <c r="B9" s="1001" t="s">
        <v>3322</v>
      </c>
      <c r="C9" s="1028" t="str">
        <f>IFERROR(VLOOKUP(C4,BOM,10,0),"")</f>
        <v/>
      </c>
      <c r="D9" s="1000"/>
      <c r="E9" s="1005"/>
      <c r="F9" s="1006"/>
    </row>
    <row r="10" spans="2:16" ht="13.5" thickBot="1">
      <c r="B10" s="1007" t="s">
        <v>3323</v>
      </c>
      <c r="C10" s="1029" t="str">
        <f>IFERROR(VLOOKUP(C4,BOM,16,0),"")</f>
        <v/>
      </c>
      <c r="D10" s="1000"/>
      <c r="E10" s="1008" t="s">
        <v>3330</v>
      </c>
      <c r="F10" s="1041">
        <f>IFERROR(Montage[[#Totals],[Total time
'[s']]],"")</f>
        <v>0</v>
      </c>
    </row>
    <row r="11" spans="2:16" ht="13.5" thickBot="1"/>
    <row r="12" spans="2:16" s="1016" customFormat="1" ht="25.5">
      <c r="B12" s="1009" t="s">
        <v>3188</v>
      </c>
      <c r="C12" s="1010" t="s">
        <v>3189</v>
      </c>
      <c r="D12" s="1011" t="s">
        <v>3190</v>
      </c>
      <c r="E12" s="1011" t="s">
        <v>3317</v>
      </c>
      <c r="F12" s="1011" t="s">
        <v>3779</v>
      </c>
      <c r="G12" s="1012" t="s">
        <v>3324</v>
      </c>
      <c r="H12" s="1012" t="s">
        <v>3325</v>
      </c>
      <c r="I12" s="1012" t="s">
        <v>3326</v>
      </c>
      <c r="J12" s="1011" t="s">
        <v>3195</v>
      </c>
      <c r="K12" s="1011" t="s">
        <v>3196</v>
      </c>
      <c r="L12" s="1011" t="s">
        <v>3197</v>
      </c>
      <c r="M12" s="1013" t="s">
        <v>3198</v>
      </c>
      <c r="N12" s="1009" t="s">
        <v>3199</v>
      </c>
      <c r="O12" s="1014" t="s">
        <v>3200</v>
      </c>
      <c r="P12" s="1015" t="s">
        <v>3201</v>
      </c>
    </row>
    <row r="13" spans="2:16">
      <c r="B13" s="1034">
        <f>ROW(B13)-12</f>
        <v>1</v>
      </c>
      <c r="C13" s="601"/>
      <c r="D13" s="1043" t="str">
        <f>IFERROR(VLOOKUP(Montage[[#This Row],[Sub-Komponente]],BOM,6,FALSE),"")</f>
        <v/>
      </c>
      <c r="E13" s="1045" t="str">
        <f>Montage[[#This Row],[Anzahl
BOM]]</f>
        <v/>
      </c>
      <c r="F13" s="1036" t="str">
        <f>IFERROR(VLOOKUP(Montage[[#This Row],[Sub-Komponente]],BOM,7,0),"")</f>
        <v/>
      </c>
      <c r="G13" s="601"/>
      <c r="I13" s="601"/>
      <c r="J13" s="1032"/>
      <c r="K13" s="1036"/>
      <c r="L13" s="1019"/>
      <c r="M13" s="1038" t="str">
        <f>IFERROR(IFERROR(Montage[[#This Row],[Repetitions assembly step]]*IF(ISBLANK(Montage[[#This Row],[Korrigiert
'[s']]]),Montage[[#This Row],[Einzelzeit
'[s']]],Montage[[#This Row],[Korrigiert
'[s']]]),""),"")</f>
        <v/>
      </c>
      <c r="N13" s="1017" t="str" cm="1">
        <f t="array" ref="N13">IFERROR(IFERROR(_xlfn.XLOOKUP(Montage[[#This Row],[Basic operation]],IF(Language="DE",Tab_ASY_TableRegister[DE],Tab_ASY_TableRegister[EN]),"Tab_" &amp; Tab_ASY_TableRegister[Name] &amp; IF(Language="DE","[DE]","[EN]")),""),"")</f>
        <v>Tab_[EN]</v>
      </c>
      <c r="O13" s="1018" t="str" cm="1">
        <f t="array" ref="O13">IFERROR(IFERROR(IFERROR(_xlfn.XLOOKUP(Montage[[#This Row],[Subcategory 1]],IF(Language="DE",Tab_ASY_TableRegister[DE],Tab_ASY_TableRegister[EN]),"Tab_" &amp; Tab_ASY_TableRegister[Name] &amp; IF(Language="DE","[DE]","[EN]")),""),""),"")</f>
        <v>Tab_[EN]</v>
      </c>
      <c r="P13" s="1020" t="str">
        <f>IFERROR(IF(Montage[[#This Row],[Parameter 2]]="",Montage[[#This Row],[Parameter 1]],Montage[[#This Row],[Parameter 2]]),"")</f>
        <v>Tab_[EN]</v>
      </c>
    </row>
    <row r="14" spans="2:16">
      <c r="B14" s="1034">
        <f>ROW(B14)-12</f>
        <v>2</v>
      </c>
      <c r="C14" s="601"/>
      <c r="D14" s="1043" t="str">
        <f>IFERROR(VLOOKUP(Montage[[#This Row],[Sub-Komponente]],BOM,6,FALSE),"")</f>
        <v/>
      </c>
      <c r="E14" s="1045" t="str">
        <f>Montage[[#This Row],[Anzahl
BOM]]</f>
        <v/>
      </c>
      <c r="F14" s="1036" t="str">
        <f>IFERROR(VLOOKUP(Montage[[#This Row],[Sub-Komponente]],BOM,7,0),"")</f>
        <v/>
      </c>
      <c r="G14" s="601"/>
      <c r="I14" s="601"/>
      <c r="J14" s="1032"/>
      <c r="K14" s="1036"/>
      <c r="L14" s="1019"/>
      <c r="M14" s="1038" t="str">
        <f>IFERROR(IFERROR(Montage[[#This Row],[Repetitions assembly step]]*IF(ISBLANK(Montage[[#This Row],[Korrigiert
'[s']]]),Montage[[#This Row],[Einzelzeit
'[s']]],Montage[[#This Row],[Korrigiert
'[s']]]),""),"")</f>
        <v/>
      </c>
      <c r="N14" s="1017" t="str" cm="1">
        <f t="array" ref="N14">IFERROR(IFERROR(_xlfn.XLOOKUP(Montage[[#This Row],[Basic operation]],IF(Language="DE",Tab_ASY_TableRegister[DE],Tab_ASY_TableRegister[EN]),"Tab_" &amp; Tab_ASY_TableRegister[Name] &amp; IF(Language="DE","[DE]","[EN]")),""),"")</f>
        <v>Tab_[EN]</v>
      </c>
      <c r="O14" s="1018" t="str" cm="1">
        <f t="array" ref="O14">IFERROR(IFERROR(IFERROR(_xlfn.XLOOKUP(Montage[[#This Row],[Subcategory 1]],IF(Language="DE",Tab_ASY_TableRegister[DE],Tab_ASY_TableRegister[EN]),"Tab_" &amp; Tab_ASY_TableRegister[Name] &amp; IF(Language="DE","[DE]","[EN]")),""),""),"")</f>
        <v>Tab_[EN]</v>
      </c>
      <c r="P14" s="1020" t="str">
        <f>IFERROR(IF(Montage[[#This Row],[Parameter 2]]="",Montage[[#This Row],[Parameter 1]],Montage[[#This Row],[Parameter 2]]),"")</f>
        <v>Tab_[EN]</v>
      </c>
    </row>
    <row r="15" spans="2:16">
      <c r="B15" s="1034">
        <f>ROW(B15)-12</f>
        <v>3</v>
      </c>
      <c r="C15" s="601"/>
      <c r="D15" s="1043" t="str">
        <f>IFERROR(VLOOKUP(Montage[[#This Row],[Sub-Komponente]],BOM,6,FALSE),"")</f>
        <v/>
      </c>
      <c r="E15" s="1045" t="str">
        <f>Montage[[#This Row],[Anzahl
BOM]]</f>
        <v/>
      </c>
      <c r="F15" s="1036" t="str">
        <f>IFERROR(VLOOKUP(Montage[[#This Row],[Sub-Komponente]],BOM,7,0),"")</f>
        <v/>
      </c>
      <c r="G15" s="601"/>
      <c r="I15" s="601"/>
      <c r="J15" s="1032"/>
      <c r="K15" s="1036"/>
      <c r="L15" s="1019"/>
      <c r="M15" s="1038" t="str">
        <f>IFERROR(IFERROR(Montage[[#This Row],[Repetitions assembly step]]*IF(ISBLANK(Montage[[#This Row],[Korrigiert
'[s']]]),Montage[[#This Row],[Einzelzeit
'[s']]],Montage[[#This Row],[Korrigiert
'[s']]]),""),"")</f>
        <v/>
      </c>
      <c r="N15" s="1017" t="str" cm="1">
        <f t="array" ref="N15">IFERROR(IFERROR(_xlfn.XLOOKUP(Montage[[#This Row],[Basic operation]],IF(Language="DE",Tab_ASY_TableRegister[DE],Tab_ASY_TableRegister[EN]),"Tab_" &amp; Tab_ASY_TableRegister[Name] &amp; IF(Language="DE","[DE]","[EN]")),""),"")</f>
        <v>Tab_[EN]</v>
      </c>
      <c r="O15" s="1018" t="str" cm="1">
        <f t="array" ref="O15">IFERROR(IFERROR(IFERROR(_xlfn.XLOOKUP(Montage[[#This Row],[Subcategory 1]],IF(Language="DE",Tab_ASY_TableRegister[DE],Tab_ASY_TableRegister[EN]),"Tab_" &amp; Tab_ASY_TableRegister[Name] &amp; IF(Language="DE","[DE]","[EN]")),""),""),"")</f>
        <v>Tab_[EN]</v>
      </c>
      <c r="P15" s="1020" t="str">
        <f>IFERROR(IF(Montage[[#This Row],[Parameter 2]]="",Montage[[#This Row],[Parameter 1]],Montage[[#This Row],[Parameter 2]]),"")</f>
        <v>Tab_[EN]</v>
      </c>
    </row>
    <row r="16" spans="2:16">
      <c r="B16" s="1034">
        <f>ROW(B16)-12</f>
        <v>4</v>
      </c>
      <c r="C16" s="601"/>
      <c r="D16" s="1043" t="str">
        <f>IFERROR(VLOOKUP(Montage[[#This Row],[Sub-Komponente]],BOM,6,FALSE),"")</f>
        <v/>
      </c>
      <c r="E16" s="1045" t="str">
        <f>Montage[[#This Row],[Anzahl
BOM]]</f>
        <v/>
      </c>
      <c r="F16" s="1036" t="str">
        <f>IFERROR(VLOOKUP(Montage[[#This Row],[Sub-Komponente]],BOM,7,0),"")</f>
        <v/>
      </c>
      <c r="G16" s="601"/>
      <c r="I16" s="601"/>
      <c r="J16" s="1032"/>
      <c r="K16" s="1036"/>
      <c r="L16" s="1019"/>
      <c r="M16" s="1038" t="str">
        <f>IFERROR(IFERROR(Montage[[#This Row],[Repetitions assembly step]]*IF(ISBLANK(Montage[[#This Row],[Korrigiert
'[s']]]),Montage[[#This Row],[Einzelzeit
'[s']]],Montage[[#This Row],[Korrigiert
'[s']]]),""),"")</f>
        <v/>
      </c>
      <c r="N16" s="1017" t="str" cm="1">
        <f t="array" ref="N16">IFERROR(IFERROR(_xlfn.XLOOKUP(Montage[[#This Row],[Basic operation]],IF(Language="DE",Tab_ASY_TableRegister[DE],Tab_ASY_TableRegister[EN]),"Tab_" &amp; Tab_ASY_TableRegister[Name] &amp; IF(Language="DE","[DE]","[EN]")),""),"")</f>
        <v>Tab_[EN]</v>
      </c>
      <c r="O16" s="1018" t="str" cm="1">
        <f t="array" ref="O16">IFERROR(IFERROR(IFERROR(_xlfn.XLOOKUP(Montage[[#This Row],[Subcategory 1]],IF(Language="DE",Tab_ASY_TableRegister[DE],Tab_ASY_TableRegister[EN]),"Tab_" &amp; Tab_ASY_TableRegister[Name] &amp; IF(Language="DE","[DE]","[EN]")),""),""),"")</f>
        <v>Tab_[EN]</v>
      </c>
      <c r="P16" s="1020" t="str">
        <f>IFERROR(IF(Montage[[#This Row],[Parameter 2]]="",Montage[[#This Row],[Parameter 1]],Montage[[#This Row],[Parameter 2]]),"")</f>
        <v>Tab_[EN]</v>
      </c>
    </row>
    <row r="17" spans="2:16" ht="13.5" thickBot="1">
      <c r="B17" s="1035">
        <f>ROW(B17)-12</f>
        <v>5</v>
      </c>
      <c r="C17" s="1021"/>
      <c r="D17" s="1044" t="str">
        <f>IFERROR(VLOOKUP(Montage[[#This Row],[Sub-Komponente]],BOM,6,FALSE),"")</f>
        <v/>
      </c>
      <c r="E17" s="1046" t="str">
        <f>Montage[[#This Row],[Anzahl
BOM]]</f>
        <v/>
      </c>
      <c r="F17" s="1037" t="str">
        <f>IFERROR(VLOOKUP(Montage[[#This Row],[Sub-Komponente]],BOM,7,0),"")</f>
        <v/>
      </c>
      <c r="G17" s="1021"/>
      <c r="H17" s="1021"/>
      <c r="I17" s="1021"/>
      <c r="J17" s="1033"/>
      <c r="K17" s="1037"/>
      <c r="L17" s="1022"/>
      <c r="M17" s="1039" t="str">
        <f>IFERROR(IFERROR(Montage[[#This Row],[Repetitions assembly step]]*IF(ISBLANK(Montage[[#This Row],[Korrigiert
'[s']]]),Montage[[#This Row],[Einzelzeit
'[s']]],Montage[[#This Row],[Korrigiert
'[s']]]),""),"")</f>
        <v/>
      </c>
      <c r="N17" s="1017" t="str" cm="1">
        <f t="array" ref="N17">IFERROR(IFERROR(_xlfn.XLOOKUP(Montage[[#This Row],[Basic operation]],IF(Language="DE",Tab_ASY_TableRegister[DE],Tab_ASY_TableRegister[EN]),"Tab_" &amp; Tab_ASY_TableRegister[Name] &amp; IF(Language="DE","[DE]","[EN]")),""),"")</f>
        <v>Tab_[EN]</v>
      </c>
      <c r="O17" s="1018" t="str" cm="1">
        <f t="array" ref="O17">IFERROR(IFERROR(IFERROR(_xlfn.XLOOKUP(Montage[[#This Row],[Subcategory 1]],IF(Language="DE",Tab_ASY_TableRegister[DE],Tab_ASY_TableRegister[EN]),"Tab_" &amp; Tab_ASY_TableRegister[Name] &amp; IF(Language="DE","[DE]","[EN]")),""),""),"")</f>
        <v>Tab_[EN]</v>
      </c>
      <c r="P17" s="1020" t="str">
        <f>IFERROR(IF(Montage[[#This Row],[Parameter 2]]="",Montage[[#This Row],[Parameter 1]],Montage[[#This Row],[Parameter 2]]),"")</f>
        <v>Tab_[EN]</v>
      </c>
    </row>
    <row r="18" spans="2:16" ht="14.25" thickTop="1" thickBot="1">
      <c r="B18" s="1023" t="s">
        <v>3202</v>
      </c>
      <c r="C18" s="1024"/>
      <c r="D18" s="1025"/>
      <c r="E18" s="1025"/>
      <c r="F18" s="1025"/>
      <c r="G18" s="1024"/>
      <c r="H18" s="1024"/>
      <c r="I18" s="1024"/>
      <c r="J18" s="1025"/>
      <c r="K18" s="1025"/>
      <c r="L18" s="1025"/>
      <c r="M18" s="1040">
        <f>SUBTOTAL(109,Montage[Total time
'[s']])</f>
        <v>0</v>
      </c>
      <c r="N18" s="1023"/>
      <c r="O18" s="1025"/>
      <c r="P18" s="1026"/>
    </row>
    <row r="24" spans="2:16">
      <c r="D24" s="1042"/>
    </row>
  </sheetData>
  <mergeCells count="3">
    <mergeCell ref="B3:C3"/>
    <mergeCell ref="E3:F3"/>
    <mergeCell ref="E1:H1"/>
  </mergeCells>
  <conditionalFormatting sqref="F7">
    <cfRule type="cellIs" dxfId="53" priority="1" operator="lessThan">
      <formula>$M$18</formula>
    </cfRule>
    <cfRule type="cellIs" dxfId="52" priority="2" operator="greaterThan">
      <formula>$M$18</formula>
    </cfRule>
  </conditionalFormatting>
  <dataValidations count="5">
    <dataValidation type="list" allowBlank="1" showInputMessage="1" sqref="C13:C17" xr:uid="{E3B58B5B-FBD4-4004-8663-804648346737}">
      <formula1>BOM_Dropdown</formula1>
    </dataValidation>
    <dataValidation type="list" allowBlank="1" showInputMessage="1" showErrorMessage="1" sqref="C4" xr:uid="{7EA017E8-2C5B-42E2-9CE2-FF6623AE1CC5}">
      <formula1>BOM_Dropdown</formula1>
    </dataValidation>
    <dataValidation type="list" allowBlank="1" showInputMessage="1" sqref="G13:G17" xr:uid="{56628FA3-888B-4109-8FDF-97F6B90E4253}">
      <formula1>IF(Language="DE",ASY_Operations_DE,ASY_Operations_EN)</formula1>
    </dataValidation>
    <dataValidation type="list" allowBlank="1" showInputMessage="1" sqref="H13:H17" xr:uid="{08F0F7FA-B69D-470C-96F9-C1FE3339DD08}">
      <formula1>INDIRECT($N13)</formula1>
    </dataValidation>
    <dataValidation type="list" allowBlank="1" showInputMessage="1" sqref="I13:I17" xr:uid="{01EB7D09-A256-47D0-997F-35E0BDE37F44}">
      <formula1>INDIRECT($O13)</formula1>
    </dataValidation>
  </dataValidations>
  <pageMargins left="0.7" right="0.7" top="0.78740157499999996" bottom="0.78740157499999996"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A17D4-66A4-4534-A4AD-E9FC013934FD}">
  <sheetPr codeName="TabSettings">
    <tabColor theme="9"/>
  </sheetPr>
  <dimension ref="A2:L107"/>
  <sheetViews>
    <sheetView showGridLines="0" topLeftCell="A70" zoomScaleNormal="100" workbookViewId="0">
      <selection activeCell="B2" sqref="B2:AX2"/>
    </sheetView>
  </sheetViews>
  <sheetFormatPr baseColWidth="10" defaultColWidth="11.42578125" defaultRowHeight="12.75"/>
  <cols>
    <col min="1" max="1" width="2.7109375" style="5" customWidth="1"/>
    <col min="2" max="2" width="10.7109375" style="4" customWidth="1"/>
    <col min="3" max="3" width="88.5703125" style="4" bestFit="1" customWidth="1"/>
    <col min="4" max="4" width="20.7109375" style="4" customWidth="1"/>
    <col min="5" max="5" width="49" style="5" bestFit="1" customWidth="1"/>
    <col min="6" max="6" width="10.7109375" style="4" customWidth="1"/>
    <col min="7" max="7" width="2.7109375" style="5" customWidth="1"/>
    <col min="8" max="8" width="11.42578125" style="5"/>
    <col min="9" max="9" width="14.5703125" style="5" bestFit="1" customWidth="1"/>
    <col min="10" max="11" width="11.42578125" style="5"/>
    <col min="12" max="12" width="2.7109375" style="5" customWidth="1"/>
    <col min="13" max="16384" width="11.42578125" style="5"/>
  </cols>
  <sheetData>
    <row r="2" spans="2:11">
      <c r="B2" s="4" t="s">
        <v>148</v>
      </c>
      <c r="C2" s="4" t="s">
        <v>143</v>
      </c>
      <c r="D2" s="4" t="s">
        <v>36</v>
      </c>
      <c r="E2" s="5" t="s">
        <v>37</v>
      </c>
      <c r="F2" s="4" t="s">
        <v>358</v>
      </c>
      <c r="H2" t="s">
        <v>3267</v>
      </c>
      <c r="I2" t="s">
        <v>3268</v>
      </c>
      <c r="J2" t="s">
        <v>2445</v>
      </c>
      <c r="K2" t="s">
        <v>3274</v>
      </c>
    </row>
    <row r="3" spans="2:11">
      <c r="B3" s="461">
        <v>1001</v>
      </c>
      <c r="C3" s="2" t="s">
        <v>54</v>
      </c>
      <c r="D3" s="2"/>
      <c r="E3" s="462" t="s">
        <v>182</v>
      </c>
      <c r="F3" s="2"/>
      <c r="H3" s="993" t="s">
        <v>245</v>
      </c>
      <c r="I3" t="s">
        <v>3275</v>
      </c>
      <c r="J3" s="1065">
        <v>45657</v>
      </c>
      <c r="K3" s="1065" t="s">
        <v>3276</v>
      </c>
    </row>
    <row r="4" spans="2:11">
      <c r="B4" s="461">
        <v>1002</v>
      </c>
      <c r="C4" s="2">
        <v>1</v>
      </c>
      <c r="D4" s="2"/>
      <c r="E4" s="462" t="s">
        <v>249</v>
      </c>
      <c r="F4" s="2"/>
      <c r="H4"/>
      <c r="I4"/>
      <c r="J4" s="1065"/>
      <c r="K4" s="1065"/>
    </row>
    <row r="5" spans="2:11">
      <c r="B5" s="461">
        <v>1003</v>
      </c>
      <c r="C5" s="463" t="s">
        <v>248</v>
      </c>
      <c r="D5" s="2"/>
      <c r="E5" s="462" t="s">
        <v>247</v>
      </c>
      <c r="F5" s="2"/>
      <c r="H5" t="s">
        <v>3267</v>
      </c>
      <c r="I5" t="s">
        <v>3268</v>
      </c>
      <c r="J5" s="1065"/>
      <c r="K5" s="1065"/>
    </row>
    <row r="6" spans="2:11">
      <c r="B6" s="461">
        <v>1004</v>
      </c>
      <c r="C6" s="2" t="str">
        <f>BOM!$D$3</f>
        <v>HiSense High</v>
      </c>
      <c r="D6" s="2"/>
      <c r="E6" s="462" t="s">
        <v>201</v>
      </c>
      <c r="F6" s="2"/>
      <c r="H6" s="993" t="s">
        <v>245</v>
      </c>
      <c r="I6" s="993" t="s">
        <v>3932</v>
      </c>
      <c r="J6" s="1065"/>
      <c r="K6" s="1065"/>
    </row>
    <row r="7" spans="2:11">
      <c r="B7" s="461">
        <v>1005</v>
      </c>
      <c r="C7" s="2">
        <v>1</v>
      </c>
      <c r="D7" s="2"/>
      <c r="E7" s="462" t="s">
        <v>662</v>
      </c>
      <c r="F7" s="2"/>
      <c r="H7"/>
      <c r="I7"/>
      <c r="J7" s="1065"/>
      <c r="K7" s="1065"/>
    </row>
    <row r="8" spans="2:11">
      <c r="B8" s="461">
        <v>1007</v>
      </c>
      <c r="C8" s="2">
        <v>1</v>
      </c>
      <c r="D8" s="2"/>
      <c r="E8" s="462" t="s">
        <v>663</v>
      </c>
      <c r="F8" s="2"/>
      <c r="H8"/>
      <c r="I8"/>
      <c r="J8" s="1065"/>
      <c r="K8" s="1065"/>
    </row>
    <row r="9" spans="2:11">
      <c r="B9" s="461">
        <v>1008</v>
      </c>
      <c r="C9" s="2" t="s">
        <v>881</v>
      </c>
      <c r="D9" s="2"/>
      <c r="E9" s="462" t="s">
        <v>1905</v>
      </c>
      <c r="F9" s="2"/>
      <c r="H9"/>
      <c r="I9"/>
      <c r="J9" s="1065"/>
      <c r="K9" s="1065"/>
    </row>
    <row r="10" spans="2:11">
      <c r="B10" s="461">
        <v>1009</v>
      </c>
      <c r="C10" s="2"/>
      <c r="D10" s="2"/>
      <c r="E10" s="462" t="s">
        <v>882</v>
      </c>
      <c r="F10" s="2">
        <v>1</v>
      </c>
      <c r="H10"/>
      <c r="I10"/>
      <c r="J10" s="1065"/>
      <c r="K10" s="1065"/>
    </row>
    <row r="11" spans="2:11">
      <c r="B11" s="461">
        <v>1010</v>
      </c>
      <c r="C11" s="464" t="s">
        <v>894</v>
      </c>
      <c r="D11" s="2"/>
      <c r="E11" s="462" t="s">
        <v>883</v>
      </c>
      <c r="F11" s="2">
        <v>1</v>
      </c>
      <c r="H11"/>
      <c r="I11"/>
      <c r="J11" s="1065"/>
      <c r="K11" s="1065"/>
    </row>
    <row r="12" spans="2:11">
      <c r="B12" s="461">
        <v>1011</v>
      </c>
      <c r="C12" s="2"/>
      <c r="D12" s="2"/>
      <c r="E12" s="462" t="s">
        <v>864</v>
      </c>
      <c r="F12" s="2">
        <v>1</v>
      </c>
      <c r="H12"/>
      <c r="I12"/>
      <c r="J12" s="1065"/>
      <c r="K12" s="1065"/>
    </row>
    <row r="13" spans="2:11">
      <c r="B13" s="461">
        <v>1012</v>
      </c>
      <c r="C13" s="464" t="s">
        <v>894</v>
      </c>
      <c r="D13" s="2"/>
      <c r="E13" s="462" t="s">
        <v>865</v>
      </c>
      <c r="F13" s="2">
        <v>1</v>
      </c>
      <c r="H13"/>
      <c r="I13"/>
      <c r="J13" s="1065"/>
      <c r="K13" s="1065"/>
    </row>
    <row r="14" spans="2:11">
      <c r="B14" s="461">
        <v>1013</v>
      </c>
      <c r="C14" s="2">
        <v>200</v>
      </c>
      <c r="D14" s="2" t="s">
        <v>145</v>
      </c>
      <c r="E14" s="462" t="s">
        <v>2446</v>
      </c>
      <c r="F14" s="2">
        <v>1</v>
      </c>
      <c r="H14" s="34"/>
      <c r="I14" s="34"/>
      <c r="J14" s="4"/>
      <c r="K14" s="4"/>
    </row>
    <row r="15" spans="2:11">
      <c r="B15" s="461"/>
      <c r="C15" s="465"/>
      <c r="D15" s="2"/>
      <c r="E15" s="462"/>
      <c r="F15" s="2"/>
      <c r="J15" s="4"/>
      <c r="K15" s="4"/>
    </row>
    <row r="16" spans="2:11">
      <c r="B16" s="2">
        <v>2000</v>
      </c>
      <c r="C16" s="2" t="s">
        <v>261</v>
      </c>
      <c r="D16" s="2" t="s">
        <v>145</v>
      </c>
      <c r="E16" s="462" t="s">
        <v>531</v>
      </c>
      <c r="F16" s="2"/>
      <c r="J16" s="4"/>
      <c r="K16" s="4"/>
    </row>
    <row r="17" spans="2:9">
      <c r="B17" s="2">
        <v>2001</v>
      </c>
      <c r="C17" s="2">
        <v>0</v>
      </c>
      <c r="D17" s="2" t="s">
        <v>145</v>
      </c>
      <c r="E17" s="462" t="s">
        <v>144</v>
      </c>
      <c r="F17" s="2"/>
      <c r="H17" s="993"/>
      <c r="I17" s="993"/>
    </row>
    <row r="18" spans="2:9">
      <c r="B18" s="2">
        <v>2002</v>
      </c>
      <c r="C18" s="2">
        <v>0</v>
      </c>
      <c r="D18" s="2" t="s">
        <v>145</v>
      </c>
      <c r="E18" s="462" t="s">
        <v>85</v>
      </c>
      <c r="F18" s="2"/>
    </row>
    <row r="19" spans="2:9">
      <c r="B19" s="2">
        <v>2003</v>
      </c>
      <c r="C19" s="2">
        <v>0</v>
      </c>
      <c r="D19" s="2" t="s">
        <v>145</v>
      </c>
      <c r="E19" s="462" t="s">
        <v>86</v>
      </c>
      <c r="F19" s="2"/>
    </row>
    <row r="20" spans="2:9">
      <c r="B20" s="2">
        <v>2004</v>
      </c>
      <c r="C20" s="2">
        <v>0</v>
      </c>
      <c r="D20" s="2" t="s">
        <v>145</v>
      </c>
      <c r="E20" s="462" t="s">
        <v>146</v>
      </c>
      <c r="F20" s="2"/>
    </row>
    <row r="21" spans="2:9">
      <c r="B21" s="2">
        <v>2005</v>
      </c>
      <c r="C21" s="2">
        <v>0</v>
      </c>
      <c r="D21" s="2" t="s">
        <v>145</v>
      </c>
      <c r="E21" s="462" t="s">
        <v>147</v>
      </c>
      <c r="F21" s="2"/>
    </row>
    <row r="22" spans="2:9">
      <c r="B22" s="2">
        <v>2006</v>
      </c>
      <c r="C22" s="2">
        <v>0</v>
      </c>
      <c r="D22" s="2" t="s">
        <v>145</v>
      </c>
      <c r="E22" s="462" t="s">
        <v>758</v>
      </c>
      <c r="F22" s="2"/>
    </row>
    <row r="23" spans="2:9">
      <c r="B23" s="2">
        <v>2007</v>
      </c>
      <c r="C23" s="2">
        <v>1</v>
      </c>
      <c r="D23" s="2" t="s">
        <v>145</v>
      </c>
      <c r="E23" s="462" t="s">
        <v>205</v>
      </c>
      <c r="F23" s="2"/>
    </row>
    <row r="24" spans="2:9">
      <c r="B24" s="2">
        <v>2008</v>
      </c>
      <c r="C24" s="2">
        <v>0</v>
      </c>
      <c r="D24" s="2" t="s">
        <v>145</v>
      </c>
      <c r="E24" s="462" t="s">
        <v>2063</v>
      </c>
      <c r="F24" s="2"/>
    </row>
    <row r="25" spans="2:9">
      <c r="B25" s="2">
        <v>2009</v>
      </c>
      <c r="C25" s="2">
        <v>0</v>
      </c>
      <c r="D25" s="2" t="s">
        <v>145</v>
      </c>
      <c r="E25" s="462" t="s">
        <v>2065</v>
      </c>
      <c r="F25" s="2"/>
    </row>
    <row r="26" spans="2:9">
      <c r="B26" s="2">
        <v>2010</v>
      </c>
      <c r="C26" s="2">
        <v>0</v>
      </c>
      <c r="D26" s="2" t="s">
        <v>145</v>
      </c>
      <c r="E26" s="462" t="s">
        <v>204</v>
      </c>
      <c r="F26" s="2"/>
    </row>
    <row r="27" spans="2:9">
      <c r="B27" s="2">
        <v>2020</v>
      </c>
      <c r="C27" s="221"/>
      <c r="D27" s="2" t="s">
        <v>145</v>
      </c>
      <c r="E27" s="462" t="s">
        <v>527</v>
      </c>
      <c r="F27" s="2"/>
    </row>
    <row r="28" spans="2:9">
      <c r="B28" s="2">
        <v>2030</v>
      </c>
      <c r="C28" s="2" t="s">
        <v>3234</v>
      </c>
      <c r="D28" s="2" t="s">
        <v>145</v>
      </c>
      <c r="E28" s="462" t="s">
        <v>3229</v>
      </c>
      <c r="F28" s="2"/>
    </row>
    <row r="29" spans="2:9">
      <c r="B29" s="2"/>
      <c r="C29" s="221"/>
      <c r="D29" s="2"/>
      <c r="E29" s="462"/>
      <c r="F29" s="2"/>
    </row>
    <row r="30" spans="2:9">
      <c r="B30" s="2">
        <v>2101</v>
      </c>
      <c r="C30" s="2">
        <v>1</v>
      </c>
      <c r="D30" s="2" t="s">
        <v>816</v>
      </c>
      <c r="E30" s="462" t="s">
        <v>2431</v>
      </c>
      <c r="F30" s="2">
        <v>1</v>
      </c>
    </row>
    <row r="31" spans="2:9">
      <c r="B31" s="2">
        <v>2102</v>
      </c>
      <c r="C31" s="2">
        <v>1</v>
      </c>
      <c r="D31" s="2" t="s">
        <v>816</v>
      </c>
      <c r="E31" s="462" t="s">
        <v>2432</v>
      </c>
      <c r="F31" s="2">
        <v>1</v>
      </c>
    </row>
    <row r="32" spans="2:9">
      <c r="B32" s="2"/>
      <c r="C32" s="2"/>
      <c r="D32" s="2"/>
      <c r="E32" s="462"/>
      <c r="F32" s="2"/>
    </row>
    <row r="33" spans="2:6">
      <c r="B33" s="2">
        <v>3001</v>
      </c>
      <c r="C33" s="2" t="s">
        <v>84</v>
      </c>
      <c r="D33" s="2" t="s">
        <v>1377</v>
      </c>
      <c r="E33" s="462" t="s">
        <v>1337</v>
      </c>
      <c r="F33" s="2"/>
    </row>
    <row r="34" spans="2:6">
      <c r="B34" s="2">
        <v>3002</v>
      </c>
      <c r="C34" s="2" t="s">
        <v>84</v>
      </c>
      <c r="D34" s="2" t="s">
        <v>1377</v>
      </c>
      <c r="E34" s="462" t="s">
        <v>1338</v>
      </c>
      <c r="F34" s="2"/>
    </row>
    <row r="35" spans="2:6">
      <c r="B35" s="2">
        <v>3003</v>
      </c>
      <c r="C35" s="2" t="s">
        <v>84</v>
      </c>
      <c r="D35" s="2" t="s">
        <v>1377</v>
      </c>
      <c r="E35" s="462" t="s">
        <v>1349</v>
      </c>
      <c r="F35" s="2"/>
    </row>
    <row r="36" spans="2:6">
      <c r="B36" s="2">
        <v>3004</v>
      </c>
      <c r="C36" s="2" t="s">
        <v>84</v>
      </c>
      <c r="D36" s="2" t="s">
        <v>1377</v>
      </c>
      <c r="E36" s="462" t="s">
        <v>1350</v>
      </c>
      <c r="F36" s="2"/>
    </row>
    <row r="37" spans="2:6">
      <c r="B37" s="2">
        <v>3010</v>
      </c>
      <c r="C37" s="2">
        <v>0</v>
      </c>
      <c r="D37" s="2" t="s">
        <v>1377</v>
      </c>
      <c r="E37" s="462" t="s">
        <v>3270</v>
      </c>
      <c r="F37" s="2"/>
    </row>
    <row r="38" spans="2:6">
      <c r="B38" s="2">
        <v>3011</v>
      </c>
      <c r="C38" s="2">
        <v>0</v>
      </c>
      <c r="D38" s="2" t="s">
        <v>1377</v>
      </c>
      <c r="E38" s="462" t="s">
        <v>1520</v>
      </c>
      <c r="F38" s="2"/>
    </row>
    <row r="39" spans="2:6">
      <c r="B39" s="2">
        <v>3012</v>
      </c>
      <c r="C39" s="2">
        <v>0</v>
      </c>
      <c r="D39" s="2" t="s">
        <v>1377</v>
      </c>
      <c r="E39" s="462" t="s">
        <v>1424</v>
      </c>
      <c r="F39" s="2"/>
    </row>
    <row r="40" spans="2:6">
      <c r="B40" s="2">
        <v>3020</v>
      </c>
      <c r="C40" s="2">
        <v>0</v>
      </c>
      <c r="D40" s="2" t="s">
        <v>1377</v>
      </c>
      <c r="E40" s="462" t="s">
        <v>3271</v>
      </c>
      <c r="F40" s="2"/>
    </row>
    <row r="41" spans="2:6">
      <c r="B41" s="2">
        <v>3030</v>
      </c>
      <c r="C41" s="2">
        <v>0</v>
      </c>
      <c r="D41" s="2" t="s">
        <v>1377</v>
      </c>
      <c r="E41" s="462" t="s">
        <v>3272</v>
      </c>
      <c r="F41" s="2"/>
    </row>
    <row r="42" spans="2:6">
      <c r="B42" s="2">
        <v>3040</v>
      </c>
      <c r="C42" s="2">
        <v>0</v>
      </c>
      <c r="D42" s="2" t="s">
        <v>1377</v>
      </c>
      <c r="E42" s="462" t="s">
        <v>3273</v>
      </c>
      <c r="F42" s="2"/>
    </row>
    <row r="43" spans="2:6">
      <c r="B43" s="2"/>
      <c r="C43" s="2"/>
      <c r="D43" s="2"/>
      <c r="E43" s="462"/>
      <c r="F43" s="2"/>
    </row>
    <row r="44" spans="2:6">
      <c r="B44" s="2">
        <v>4001</v>
      </c>
      <c r="C44" s="2">
        <v>1</v>
      </c>
      <c r="D44" s="2" t="s">
        <v>2377</v>
      </c>
      <c r="E44" s="462" t="s">
        <v>2301</v>
      </c>
      <c r="F44" s="2"/>
    </row>
    <row r="45" spans="2:6">
      <c r="B45" s="2">
        <v>4002</v>
      </c>
      <c r="C45" s="2">
        <v>1</v>
      </c>
      <c r="D45" s="2" t="s">
        <v>2377</v>
      </c>
      <c r="E45" s="462" t="s">
        <v>2305</v>
      </c>
      <c r="F45" s="2"/>
    </row>
    <row r="46" spans="2:6">
      <c r="B46" s="2">
        <v>4003</v>
      </c>
      <c r="C46" s="2">
        <v>1</v>
      </c>
      <c r="D46" s="2" t="s">
        <v>2377</v>
      </c>
      <c r="E46" s="462" t="s">
        <v>2300</v>
      </c>
      <c r="F46" s="2"/>
    </row>
    <row r="47" spans="2:6">
      <c r="B47" s="2">
        <v>4004</v>
      </c>
      <c r="C47" s="2">
        <v>1</v>
      </c>
      <c r="D47" s="2" t="s">
        <v>2377</v>
      </c>
      <c r="E47" s="462" t="s">
        <v>2306</v>
      </c>
      <c r="F47" s="2"/>
    </row>
    <row r="48" spans="2:6">
      <c r="B48" s="2">
        <v>4005</v>
      </c>
      <c r="C48" s="2">
        <v>1</v>
      </c>
      <c r="D48" s="2" t="s">
        <v>2377</v>
      </c>
      <c r="E48" s="462" t="s">
        <v>2307</v>
      </c>
      <c r="F48" s="2"/>
    </row>
    <row r="49" spans="1:6">
      <c r="B49" s="2"/>
      <c r="C49" s="2"/>
      <c r="D49" s="2"/>
      <c r="E49" s="462"/>
      <c r="F49" s="2"/>
    </row>
    <row r="50" spans="1:6">
      <c r="B50" s="2">
        <v>5000</v>
      </c>
      <c r="C50" s="2">
        <v>1</v>
      </c>
      <c r="D50" s="2" t="s">
        <v>3840</v>
      </c>
      <c r="E50" s="462" t="s">
        <v>3881</v>
      </c>
      <c r="F50" s="2"/>
    </row>
    <row r="51" spans="1:6">
      <c r="B51" s="2">
        <v>5001</v>
      </c>
      <c r="C51" s="2" t="s">
        <v>84</v>
      </c>
      <c r="D51" s="2" t="s">
        <v>3840</v>
      </c>
      <c r="E51" s="462" t="s">
        <v>3906</v>
      </c>
      <c r="F51" s="2"/>
    </row>
    <row r="52" spans="1:6">
      <c r="B52" s="2">
        <v>5002</v>
      </c>
      <c r="C52" s="2">
        <v>1</v>
      </c>
      <c r="D52" s="2" t="s">
        <v>3840</v>
      </c>
      <c r="E52" s="462" t="s">
        <v>3904</v>
      </c>
      <c r="F52" s="2"/>
    </row>
    <row r="53" spans="1:6">
      <c r="B53" s="2">
        <v>5003</v>
      </c>
      <c r="C53" s="2">
        <v>1</v>
      </c>
      <c r="D53" s="2" t="s">
        <v>3840</v>
      </c>
      <c r="E53" s="462" t="s">
        <v>3905</v>
      </c>
      <c r="F53" s="2"/>
    </row>
    <row r="54" spans="1:6">
      <c r="B54" s="2"/>
      <c r="C54" s="2"/>
      <c r="D54" s="2"/>
      <c r="E54" s="462"/>
      <c r="F54" s="2"/>
    </row>
    <row r="55" spans="1:6">
      <c r="B55" s="2">
        <v>6001</v>
      </c>
      <c r="C55" s="2" t="s">
        <v>4004</v>
      </c>
      <c r="D55" s="2"/>
      <c r="E55" s="462" t="s">
        <v>802</v>
      </c>
      <c r="F55" s="2"/>
    </row>
    <row r="56" spans="1:6">
      <c r="B56" s="2"/>
      <c r="C56" s="2"/>
      <c r="D56" s="2"/>
      <c r="E56" s="462"/>
      <c r="F56" s="2"/>
    </row>
    <row r="57" spans="1:6">
      <c r="B57" s="2">
        <v>7001</v>
      </c>
      <c r="C57" s="2" t="s">
        <v>250</v>
      </c>
      <c r="D57" s="2"/>
      <c r="E57" s="462" t="s">
        <v>725</v>
      </c>
      <c r="F57" s="2">
        <v>1</v>
      </c>
    </row>
    <row r="58" spans="1:6">
      <c r="B58" s="2">
        <v>7002</v>
      </c>
      <c r="C58" s="2" t="s">
        <v>253</v>
      </c>
      <c r="D58" s="2"/>
      <c r="E58" s="462" t="s">
        <v>726</v>
      </c>
      <c r="F58" s="2">
        <v>1</v>
      </c>
    </row>
    <row r="59" spans="1:6">
      <c r="B59" s="2">
        <v>7003</v>
      </c>
      <c r="C59" s="4" t="s">
        <v>708</v>
      </c>
      <c r="D59" s="2"/>
      <c r="E59" s="462" t="s">
        <v>724</v>
      </c>
      <c r="F59" s="2">
        <v>1</v>
      </c>
    </row>
    <row r="60" spans="1:6">
      <c r="B60" s="2">
        <v>7004</v>
      </c>
      <c r="C60" s="2" t="s">
        <v>252</v>
      </c>
      <c r="D60" s="2"/>
      <c r="E60" s="462" t="s">
        <v>436</v>
      </c>
      <c r="F60" s="2">
        <v>1</v>
      </c>
    </row>
    <row r="61" spans="1:6">
      <c r="A61" s="5" t="s">
        <v>36</v>
      </c>
      <c r="B61" s="2">
        <v>7005</v>
      </c>
      <c r="C61" s="2" t="s">
        <v>528</v>
      </c>
      <c r="D61" s="2"/>
      <c r="E61" s="462" t="s">
        <v>727</v>
      </c>
      <c r="F61" s="2">
        <v>1</v>
      </c>
    </row>
    <row r="62" spans="1:6">
      <c r="B62" s="2">
        <v>7006</v>
      </c>
      <c r="C62" s="4" t="s">
        <v>1237</v>
      </c>
      <c r="D62" s="2"/>
      <c r="E62" s="462" t="s">
        <v>584</v>
      </c>
      <c r="F62" s="2">
        <v>1</v>
      </c>
    </row>
    <row r="63" spans="1:6">
      <c r="B63" s="2">
        <v>7007</v>
      </c>
      <c r="C63" s="2" t="s">
        <v>592</v>
      </c>
      <c r="D63" s="2"/>
      <c r="E63" s="462" t="s">
        <v>704</v>
      </c>
      <c r="F63" s="2">
        <v>1</v>
      </c>
    </row>
    <row r="64" spans="1:6">
      <c r="B64" s="2">
        <v>7008</v>
      </c>
      <c r="C64" s="4" t="s">
        <v>3927</v>
      </c>
      <c r="D64" s="2"/>
      <c r="E64" s="462" t="s">
        <v>3928</v>
      </c>
      <c r="F64" s="2">
        <v>1</v>
      </c>
    </row>
    <row r="65" spans="2:6">
      <c r="B65" s="2">
        <v>7009</v>
      </c>
      <c r="C65" s="4" t="s">
        <v>2486</v>
      </c>
      <c r="D65" s="2"/>
      <c r="E65" s="462" t="s">
        <v>2485</v>
      </c>
      <c r="F65" s="2"/>
    </row>
    <row r="66" spans="2:6">
      <c r="B66" s="2"/>
      <c r="C66" s="2"/>
      <c r="D66" s="2"/>
      <c r="E66" s="462"/>
      <c r="F66" s="2"/>
    </row>
    <row r="67" spans="2:6">
      <c r="B67" s="2">
        <v>7101</v>
      </c>
      <c r="C67" s="2" t="str">
        <f>IF($C$4=1,$C$59,$C$58&amp;"AWS\Projektübersicht.accdb")</f>
        <v>\\wts\02 DATA\01 Orga\97 Projektorganisation\Projektübersicht.accdb</v>
      </c>
      <c r="D67" s="2"/>
      <c r="E67" s="462" t="s">
        <v>724</v>
      </c>
      <c r="F67" s="2"/>
    </row>
    <row r="68" spans="2:6">
      <c r="B68" s="2">
        <v>7102</v>
      </c>
      <c r="C68" s="2" t="str">
        <f>IF($C$4=1,$C$60,$C$58&amp;"AWS\Addins\")</f>
        <v>\\wts\02 DATA\02 WD\01 Kalkulationstools\99 Addins\</v>
      </c>
      <c r="D68" s="2"/>
      <c r="E68" s="462" t="s">
        <v>436</v>
      </c>
      <c r="F68" s="2"/>
    </row>
    <row r="69" spans="2:6">
      <c r="B69" s="2">
        <v>7103</v>
      </c>
      <c r="C69" s="2" t="str">
        <f>IF($C$4=1,$C$63,$C$58&amp;"AWS\SR\")</f>
        <v>\\wts\02 DATA\02 WD\02 Technologien\</v>
      </c>
      <c r="D69" s="2"/>
      <c r="E69" s="462" t="s">
        <v>898</v>
      </c>
      <c r="F69" s="2"/>
    </row>
    <row r="70" spans="2:6">
      <c r="B70" s="2">
        <v>7104</v>
      </c>
      <c r="C70" s="2" t="str">
        <f>IF($C$4=1,$C$64,$C$58&amp;"AWS\MPR\")</f>
        <v>\\wts\02 DATA\02 WD\03 Materialdaten\</v>
      </c>
      <c r="D70" s="2"/>
      <c r="E70" s="462" t="s">
        <v>897</v>
      </c>
      <c r="F70" s="2"/>
    </row>
    <row r="71" spans="2:6">
      <c r="B71" s="2"/>
      <c r="C71" s="2"/>
      <c r="D71" s="2"/>
      <c r="E71" s="462"/>
      <c r="F71" s="2"/>
    </row>
    <row r="72" spans="2:6">
      <c r="B72" s="2">
        <v>8001</v>
      </c>
      <c r="C72" s="2" t="str">
        <f>IF($C$4=1,IF(C84="Default",C78,C84),$C$58&amp;"AWS\MasterData\"&amp;IF(C84="Default","Default",$C$5)&amp;"\")</f>
        <v>\\wts\02 DATA\02 WD\02 Technologien\98 AWS Maschinendatenbank\</v>
      </c>
      <c r="D72" s="2"/>
      <c r="E72" s="462" t="s">
        <v>285</v>
      </c>
      <c r="F72" s="2">
        <v>1</v>
      </c>
    </row>
    <row r="73" spans="2:6">
      <c r="B73" s="2">
        <v>8002</v>
      </c>
      <c r="C73" s="2" t="str">
        <f>IF($C$4=1,IF(C85="Default",C79,C85),$C$58&amp;"AWS\MasterData\"&amp;IF(C85="Default","Default",$C$5)&amp;"\")</f>
        <v>\\wts\02 DATA\02 WD\03 Materialdaten\</v>
      </c>
      <c r="D73" s="2"/>
      <c r="E73" s="462" t="s">
        <v>286</v>
      </c>
      <c r="F73" s="2">
        <v>1</v>
      </c>
    </row>
    <row r="74" spans="2:6">
      <c r="B74" s="2">
        <v>8003</v>
      </c>
      <c r="C74" s="2" t="str">
        <f>IF($C$4=1,IF(C86="Default",C80,C86),$C$58&amp;"AWS\MasterData\"&amp;IF(C86="Default","Default",$C$5)&amp;"\")</f>
        <v>\\wts\02 DATA\02 WD\04 Prämissen\</v>
      </c>
      <c r="D74" s="2"/>
      <c r="E74" s="462" t="s">
        <v>287</v>
      </c>
      <c r="F74" s="2">
        <v>1</v>
      </c>
    </row>
    <row r="75" spans="2:6">
      <c r="B75" s="2">
        <v>8004</v>
      </c>
      <c r="C75" s="2" t="str">
        <f>IF($C$4=1,IF(C87="Default",C81,C87),$C$58&amp;"AWS\MasterData\"&amp;IF(C87="Default","Default",$C$5)&amp;"\")</f>
        <v>\\wts\02 DATA\02 WD\02 Technologien\97 AWS Technologiedatenbank\</v>
      </c>
      <c r="D75" s="2"/>
      <c r="E75" s="462" t="s">
        <v>288</v>
      </c>
      <c r="F75" s="2">
        <v>1</v>
      </c>
    </row>
    <row r="76" spans="2:6">
      <c r="B76" s="1120">
        <v>8005</v>
      </c>
      <c r="C76" s="2" t="str">
        <f>IF($C$4=1,IF(C96="Default",C82,C96),$C$58&amp;"AWS\MasterData\"&amp;IF(C96="Default","Default",$C$5)&amp;"\")</f>
        <v>\\wts\02 DATA\02 WD\01 Kalkulationstools\01 Teilekosten\01 ACT\POT\</v>
      </c>
      <c r="D76" s="1120"/>
      <c r="E76" s="1121" t="s">
        <v>3728</v>
      </c>
      <c r="F76" s="1120">
        <v>1</v>
      </c>
    </row>
    <row r="77" spans="2:6">
      <c r="B77" s="2"/>
      <c r="C77" s="2"/>
      <c r="D77" s="2"/>
      <c r="E77" s="462"/>
      <c r="F77" s="2"/>
    </row>
    <row r="78" spans="2:6">
      <c r="B78" s="2">
        <v>8011</v>
      </c>
      <c r="C78" s="2" t="s">
        <v>246</v>
      </c>
      <c r="D78" s="2"/>
      <c r="E78" s="462" t="s">
        <v>1162</v>
      </c>
      <c r="F78" s="2"/>
    </row>
    <row r="79" spans="2:6">
      <c r="B79" s="2">
        <v>8012</v>
      </c>
      <c r="C79" s="2" t="s">
        <v>3927</v>
      </c>
      <c r="D79" s="2"/>
      <c r="E79" s="462" t="s">
        <v>1163</v>
      </c>
      <c r="F79" s="2"/>
    </row>
    <row r="80" spans="2:6">
      <c r="B80" s="2">
        <v>8013</v>
      </c>
      <c r="C80" s="2" t="s">
        <v>244</v>
      </c>
      <c r="D80" s="2"/>
      <c r="E80" s="462" t="s">
        <v>1164</v>
      </c>
      <c r="F80" s="2"/>
    </row>
    <row r="81" spans="2:6">
      <c r="B81" s="2">
        <v>8014</v>
      </c>
      <c r="C81" s="2" t="s">
        <v>707</v>
      </c>
      <c r="D81" s="2"/>
      <c r="E81" s="462" t="s">
        <v>1165</v>
      </c>
      <c r="F81" s="2"/>
    </row>
    <row r="82" spans="2:6">
      <c r="B82" s="1120">
        <v>8015</v>
      </c>
      <c r="C82" s="1120" t="s">
        <v>3803</v>
      </c>
      <c r="D82" s="1120"/>
      <c r="E82" s="462" t="s">
        <v>3729</v>
      </c>
      <c r="F82" s="1120"/>
    </row>
    <row r="83" spans="2:6">
      <c r="B83" s="2"/>
      <c r="C83" s="2"/>
      <c r="D83" s="2"/>
      <c r="E83" s="462"/>
      <c r="F83" s="2"/>
    </row>
    <row r="84" spans="2:6">
      <c r="B84" s="2">
        <v>8021</v>
      </c>
      <c r="C84" s="2" t="s">
        <v>248</v>
      </c>
      <c r="D84" s="2" t="s">
        <v>254</v>
      </c>
      <c r="E84" s="462" t="s">
        <v>285</v>
      </c>
      <c r="F84" s="2"/>
    </row>
    <row r="85" spans="2:6">
      <c r="B85" s="2">
        <v>8022</v>
      </c>
      <c r="C85" s="2" t="s">
        <v>248</v>
      </c>
      <c r="D85" s="2" t="s">
        <v>254</v>
      </c>
      <c r="E85" s="462" t="s">
        <v>286</v>
      </c>
      <c r="F85" s="2"/>
    </row>
    <row r="86" spans="2:6">
      <c r="B86" s="2">
        <v>8023</v>
      </c>
      <c r="C86" s="2" t="s">
        <v>248</v>
      </c>
      <c r="D86" s="2" t="s">
        <v>254</v>
      </c>
      <c r="E86" s="462" t="s">
        <v>287</v>
      </c>
      <c r="F86" s="2"/>
    </row>
    <row r="87" spans="2:6">
      <c r="B87" s="2">
        <v>8024</v>
      </c>
      <c r="C87" s="2" t="s">
        <v>248</v>
      </c>
      <c r="D87" s="2" t="s">
        <v>254</v>
      </c>
      <c r="E87" s="462" t="s">
        <v>288</v>
      </c>
      <c r="F87" s="2"/>
    </row>
    <row r="88" spans="2:6">
      <c r="B88" s="2">
        <v>8025</v>
      </c>
      <c r="C88" s="2">
        <v>1</v>
      </c>
      <c r="D88" s="2" t="s">
        <v>254</v>
      </c>
      <c r="E88" s="462" t="s">
        <v>289</v>
      </c>
      <c r="F88" s="2"/>
    </row>
    <row r="89" spans="2:6">
      <c r="B89" s="2">
        <v>8026</v>
      </c>
      <c r="C89" s="2">
        <v>1</v>
      </c>
      <c r="D89" s="2" t="s">
        <v>254</v>
      </c>
      <c r="E89" s="462" t="s">
        <v>290</v>
      </c>
      <c r="F89" s="2"/>
    </row>
    <row r="90" spans="2:6">
      <c r="B90" s="2">
        <v>8027</v>
      </c>
      <c r="C90" s="2">
        <v>0</v>
      </c>
      <c r="D90" s="2" t="s">
        <v>254</v>
      </c>
      <c r="E90" s="462" t="s">
        <v>291</v>
      </c>
      <c r="F90" s="2"/>
    </row>
    <row r="91" spans="2:6">
      <c r="B91" s="2">
        <v>8028</v>
      </c>
      <c r="C91" s="2">
        <v>3</v>
      </c>
      <c r="D91" s="2" t="s">
        <v>254</v>
      </c>
      <c r="E91" s="462" t="s">
        <v>292</v>
      </c>
      <c r="F91" s="2"/>
    </row>
    <row r="92" spans="2:6">
      <c r="B92" s="2">
        <v>8029</v>
      </c>
      <c r="C92" s="2">
        <v>0</v>
      </c>
      <c r="D92" s="2" t="s">
        <v>254</v>
      </c>
      <c r="E92" s="462" t="s">
        <v>2016</v>
      </c>
      <c r="F92" s="2"/>
    </row>
    <row r="93" spans="2:6">
      <c r="B93" s="2">
        <v>8030</v>
      </c>
      <c r="C93" s="2">
        <v>0</v>
      </c>
      <c r="D93" s="2" t="s">
        <v>254</v>
      </c>
      <c r="E93" s="462" t="s">
        <v>2255</v>
      </c>
      <c r="F93" s="2"/>
    </row>
    <row r="94" spans="2:6">
      <c r="B94" s="2">
        <v>8031</v>
      </c>
      <c r="C94" s="2">
        <v>0</v>
      </c>
      <c r="D94" s="2" t="s">
        <v>254</v>
      </c>
      <c r="E94" s="462" t="s">
        <v>2275</v>
      </c>
      <c r="F94" s="2"/>
    </row>
    <row r="95" spans="2:6">
      <c r="B95" s="2">
        <v>8032</v>
      </c>
      <c r="C95" s="2">
        <v>0</v>
      </c>
      <c r="D95" s="2" t="s">
        <v>254</v>
      </c>
      <c r="E95" s="462" t="s">
        <v>2276</v>
      </c>
      <c r="F95" s="2"/>
    </row>
    <row r="96" spans="2:6">
      <c r="B96" s="1120">
        <v>8033</v>
      </c>
      <c r="C96" s="1120" t="s">
        <v>248</v>
      </c>
      <c r="D96" s="2" t="s">
        <v>254</v>
      </c>
      <c r="E96" s="462" t="s">
        <v>3728</v>
      </c>
      <c r="F96" s="1120"/>
    </row>
    <row r="97" spans="2:12">
      <c r="B97" s="1120">
        <v>8034</v>
      </c>
      <c r="C97" s="2">
        <v>0</v>
      </c>
      <c r="D97" s="2" t="s">
        <v>254</v>
      </c>
      <c r="E97" s="462" t="s">
        <v>3805</v>
      </c>
      <c r="F97" s="1120"/>
    </row>
    <row r="98" spans="2:12">
      <c r="B98" s="1120">
        <v>8035</v>
      </c>
      <c r="C98" s="2">
        <v>3</v>
      </c>
      <c r="D98" s="2" t="s">
        <v>254</v>
      </c>
      <c r="E98" s="462" t="s">
        <v>3808</v>
      </c>
      <c r="F98" s="1120"/>
      <c r="J98" s="467"/>
      <c r="K98" s="467"/>
      <c r="L98" s="467"/>
    </row>
    <row r="99" spans="2:12" s="467" customFormat="1">
      <c r="B99" s="1120">
        <v>8036</v>
      </c>
      <c r="C99" s="2">
        <v>0</v>
      </c>
      <c r="D99" s="1120"/>
      <c r="E99" s="1121" t="s">
        <v>3822</v>
      </c>
      <c r="F99" s="1120"/>
      <c r="J99" s="5"/>
      <c r="K99" s="5"/>
      <c r="L99" s="5"/>
    </row>
    <row r="100" spans="2:12">
      <c r="B100" s="2"/>
      <c r="C100" s="2"/>
      <c r="D100" s="2"/>
      <c r="E100" s="462"/>
      <c r="F100" s="2"/>
      <c r="J100" s="467"/>
      <c r="K100" s="467"/>
      <c r="L100" s="467"/>
    </row>
    <row r="101" spans="2:12">
      <c r="B101" s="2">
        <v>9001</v>
      </c>
      <c r="C101" s="2" t="str">
        <f>"6.2.3-" &amp; IF(C102&lt;10,"0","") &amp;IF(C102&lt;100,"0","")  &amp;C102</f>
        <v>6.2.3-000</v>
      </c>
      <c r="D101" s="2"/>
      <c r="E101" s="462" t="s">
        <v>178</v>
      </c>
      <c r="F101" s="2"/>
      <c r="H101" s="467"/>
      <c r="I101" s="467"/>
    </row>
    <row r="102" spans="2:12">
      <c r="B102" s="2">
        <v>9002</v>
      </c>
      <c r="C102" s="2">
        <v>0</v>
      </c>
      <c r="D102" s="2"/>
      <c r="E102" s="462" t="s">
        <v>179</v>
      </c>
      <c r="F102" s="2"/>
    </row>
    <row r="103" spans="2:12">
      <c r="B103" s="2">
        <v>9003</v>
      </c>
      <c r="C103" s="2" t="s">
        <v>3931</v>
      </c>
      <c r="D103" s="2"/>
      <c r="E103" s="462" t="s">
        <v>1117</v>
      </c>
      <c r="F103" s="2"/>
    </row>
    <row r="104" spans="2:12">
      <c r="B104" s="2">
        <v>9004</v>
      </c>
      <c r="C104" s="2">
        <v>1</v>
      </c>
      <c r="D104" s="2"/>
      <c r="E104" s="462" t="s">
        <v>1916</v>
      </c>
      <c r="F104" s="2"/>
    </row>
    <row r="105" spans="2:12" ht="25.5">
      <c r="B105" s="6">
        <v>9005</v>
      </c>
      <c r="C105" s="6" t="s">
        <v>4358</v>
      </c>
      <c r="D105" s="6"/>
      <c r="E105" s="466" t="s">
        <v>2488</v>
      </c>
      <c r="F105" s="6"/>
    </row>
    <row r="106" spans="2:12">
      <c r="B106" s="2">
        <v>9010</v>
      </c>
      <c r="C106" s="2">
        <v>0</v>
      </c>
      <c r="D106" s="1054" t="s">
        <v>3240</v>
      </c>
      <c r="E106" s="462" t="s">
        <v>3241</v>
      </c>
      <c r="F106" s="2"/>
    </row>
    <row r="107" spans="2:12">
      <c r="B107" s="1063">
        <v>9020</v>
      </c>
      <c r="C107" s="2" t="s">
        <v>3997</v>
      </c>
      <c r="D107" s="1063"/>
      <c r="E107" s="1064" t="s">
        <v>3269</v>
      </c>
      <c r="F107" s="1063"/>
    </row>
  </sheetData>
  <phoneticPr fontId="117" type="noConversion"/>
  <conditionalFormatting sqref="C32 C1:C5 C17:C24 C26 C15 C107:C1048576 C96:C97 C7:C13 C43:C90 C99:C105">
    <cfRule type="expression" dxfId="19" priority="25">
      <formula>_xlfn.ISFORMULA(C1)</formula>
    </cfRule>
  </conditionalFormatting>
  <conditionalFormatting sqref="C37:C42">
    <cfRule type="expression" dxfId="18" priority="21">
      <formula>_xlfn.ISFORMULA(C37)</formula>
    </cfRule>
  </conditionalFormatting>
  <conditionalFormatting sqref="C92:C95">
    <cfRule type="expression" dxfId="17" priority="19">
      <formula>_xlfn.ISFORMULA(C92)</formula>
    </cfRule>
  </conditionalFormatting>
  <conditionalFormatting sqref="C25">
    <cfRule type="expression" dxfId="16" priority="17">
      <formula>_xlfn.ISFORMULA(C25)</formula>
    </cfRule>
  </conditionalFormatting>
  <conditionalFormatting sqref="C30:C31">
    <cfRule type="expression" dxfId="15" priority="15">
      <formula>_xlfn.ISFORMULA(C30)</formula>
    </cfRule>
  </conditionalFormatting>
  <conditionalFormatting sqref="C28">
    <cfRule type="expression" dxfId="14" priority="9">
      <formula>_xlfn.ISFORMULA(C28)</formula>
    </cfRule>
  </conditionalFormatting>
  <conditionalFormatting sqref="C106">
    <cfRule type="expression" dxfId="13" priority="3">
      <formula>_xlfn.ISFORMULA(C106)</formula>
    </cfRule>
  </conditionalFormatting>
  <hyperlinks>
    <hyperlink ref="C11" r:id="rId1" xr:uid="{EB9C04BA-3BBE-4835-AEC3-8E93B16A880C}"/>
    <hyperlink ref="C13" r:id="rId2" xr:uid="{C1E902B2-A3DC-4E7E-888A-D1FE9BA8EC27}"/>
    <hyperlink ref="C79" r:id="rId3" xr:uid="{4CA45C63-57E9-4A69-A7F2-D30F8DA56E24}"/>
    <hyperlink ref="C64" r:id="rId4" xr:uid="{79CC62A8-83D7-45A9-9F81-6A900F186FEF}"/>
    <hyperlink ref="C103" r:id="rId5" xr:uid="{4599F8FB-415D-4127-ABCF-5C07C92595D5}"/>
  </hyperlinks>
  <pageMargins left="0.7" right="0.7" top="0.78740157499999996" bottom="0.78740157499999996" header="0.3" footer="0.3"/>
  <pageSetup paperSize="9" orientation="portrait" r:id="rId6"/>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iconSet" priority="20" id="{A9799D79-7298-4924-B2CC-A1D0AD0AC77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C92:C96</xm:sqref>
        </x14:conditionalFormatting>
        <x14:conditionalFormatting xmlns:xm="http://schemas.microsoft.com/office/excel/2006/main">
          <x14:cfRule type="iconSet" priority="18" id="{B1210BB8-F7AF-42A5-BE06-BEC47CC023B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C25</xm:sqref>
        </x14:conditionalFormatting>
        <x14:conditionalFormatting xmlns:xm="http://schemas.microsoft.com/office/excel/2006/main">
          <x14:cfRule type="iconSet" priority="1572" id="{7F851053-2D84-40CA-B412-C53016C2DB42}">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C37:C42</xm:sqref>
        </x14:conditionalFormatting>
        <x14:conditionalFormatting xmlns:xm="http://schemas.microsoft.com/office/excel/2006/main">
          <x14:cfRule type="iconSet" priority="16" id="{B3A61410-40E4-48B6-8F2B-4ED25425357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C30:C31</xm:sqref>
        </x14:conditionalFormatting>
        <x14:conditionalFormatting xmlns:xm="http://schemas.microsoft.com/office/excel/2006/main">
          <x14:cfRule type="iconSet" priority="10" id="{45A6F960-A03E-49D1-B2BC-26C165D236EC}">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C28</xm:sqref>
        </x14:conditionalFormatting>
        <x14:conditionalFormatting xmlns:xm="http://schemas.microsoft.com/office/excel/2006/main">
          <x14:cfRule type="iconSet" priority="8" id="{D831FBCE-5A5B-460F-AA05-08F18F7E807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F106</xm:sqref>
        </x14:conditionalFormatting>
        <x14:conditionalFormatting xmlns:xm="http://schemas.microsoft.com/office/excel/2006/main">
          <x14:cfRule type="iconSet" priority="4" id="{17428E48-FEEF-48F6-A88B-48C898A1760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C106</xm:sqref>
        </x14:conditionalFormatting>
        <x14:conditionalFormatting xmlns:xm="http://schemas.microsoft.com/office/excel/2006/main">
          <x14:cfRule type="iconSet" priority="1683" id="{3803A80A-4481-4451-ADBB-5AC6B4771ED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C103:C105</xm:sqref>
        </x14:conditionalFormatting>
        <x14:conditionalFormatting xmlns:xm="http://schemas.microsoft.com/office/excel/2006/main">
          <x14:cfRule type="iconSet" priority="1684" id="{7E5E1007-3DD5-4F5A-B220-9785D35CDE9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F107 C17:C24 C26 C3:C5 F3:F48 C32 C7:C13 C15 C43:C48 C97 C99:C101 F54:F105 C54:C90</xm:sqref>
        </x14:conditionalFormatting>
        <x14:conditionalFormatting xmlns:xm="http://schemas.microsoft.com/office/excel/2006/main">
          <x14:cfRule type="iconSet" priority="7373" id="{2722DC13-3257-4D04-921A-0CA2BD7F082A}">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F49:F53 C49:C53</xm:sqref>
        </x14:conditionalFormatting>
      </x14:conditionalFormattings>
    </ext>
  </extLst>
</worksheet>
</file>

<file path=customUI/_rels/customUi14.xml.rels><?xml version="1.0" encoding="UTF-8" standalone="yes"?>
<Relationships xmlns="http://schemas.openxmlformats.org/package/2006/relationships"><Relationship Id="loc.png" Type="http://schemas.openxmlformats.org/officeDocument/2006/relationships/image" Target="images/loc.png"/><Relationship Id="pcb.png" Type="http://schemas.openxmlformats.org/officeDocument/2006/relationships/image" Target="images/pcb.png"/><Relationship Id="act.png" Type="http://schemas.openxmlformats.org/officeDocument/2006/relationships/image" Target="images/act.png"/><Relationship Id="tooling.png" Type="http://schemas.openxmlformats.org/officeDocument/2006/relationships/image" Target="images/tooling.png"/><Relationship Id="co2.png" Type="http://schemas.openxmlformats.org/officeDocument/2006/relationships/image" Target="images/co2.png"/><Relationship Id="overhead.png" Type="http://schemas.openxmlformats.org/officeDocument/2006/relationships/image" Target="images/overhead.png"/><Relationship Id="de.png" Type="http://schemas.openxmlformats.org/officeDocument/2006/relationships/image" Target="images/de.png"/><Relationship Id="overheadRefresh.png" Type="http://schemas.openxmlformats.org/officeDocument/2006/relationships/image" Target="images/overheadRefresh.png"/><Relationship Id="pot.png" Type="http://schemas.openxmlformats.org/officeDocument/2006/relationships/image" Target="images/pot.png"/><Relationship Id="tec.png" Type="http://schemas.openxmlformats.org/officeDocument/2006/relationships/image" Target="images/tec.png"/><Relationship Id="mhr.png" Type="http://schemas.openxmlformats.org/officeDocument/2006/relationships/image" Target="images/mhr.png"/><Relationship Id="ednt.png" Type="http://schemas.openxmlformats.org/officeDocument/2006/relationships/image" Target="images/ednt.png"/><Relationship Id="en.png" Type="http://schemas.openxmlformats.org/officeDocument/2006/relationships/image" Target="images/en.png"/><Relationship Id="mat.png" Type="http://schemas.openxmlformats.org/officeDocument/2006/relationships/image" Target="images/mat.png"/><Relationship Id="log.png" Type="http://schemas.openxmlformats.org/officeDocument/2006/relationships/image" Target="images/log.png"/></Relationships>
</file>

<file path=customUI/customUi14.xml><?xml version="1.0" encoding="utf-8"?>
<customUI xmlns="http://schemas.microsoft.com/office/2009/07/customui" onLoad="OnRibbonLoad">
  <commands>
    <command idMso="Help" enabled="true"/>
    <command idMso="WindowClose" enabled="false"/>
    <command idMso="WindowRestore" enabled="false"/>
    <command idMso="WindowMinimize" enabled="false"/>
  </commands>
  <ribbon startFromScratch="false">
    <tabs>
      <tab id="Tab0" label="ACT" getVisible="GetVisible" insertBeforeMso="TabHome">
        <!-- 00 Settings -->
        <group id="grp00" autoScale="true" centerVertically="true" getLabel="GetLabel" tag="Settings" getVisible="GetVisible">
          <!-- Sprache -->
          <menu id="mnuEN" size="large" itemSize="large" image="en.png" label="English" tag="language" getVisible="GetVisible" getEnabled="GetEnabled">
            <button id="btnENEN" label="English" image="en.png" tag="language" enabled="false"/>
            <button id="btnENDE" label="Deutsch" image="de.png" tag="language" onAction="OnActionButton" getVisible="GetVisible" getEnabled="GetEnabled"/>
          </menu>
          <menu id="mnuDE" size="large" itemSize="large" image="de.png" label="Deutsch" tag="language" getVisible="GetVisible" getEnabled="GetEnabled">
            <button id="btnDEEN" label="English" image="en.png" tag="language" onAction="OnActionButton" getVisible="GetVisible" getEnabled="GetEnabled"/>
            <button id="btnDEDE" label="Deutsch" image="de.png" tag="language" enabled="false"/>
          </menu>
          <!-- Online/Offline -->
          <menu id="mnuON" size="large" itemSize="normal" getLabel="GetLabel" getScreentip="GetScreentip" getSupertip="GetSupertip" imageMso="WorkOffline" tag="Online/Offline" getVisible="GetVisible" getEnabled="GetEnabled">
            <button id="btnONON" getLabel="GetLabel" getScreentip="GetScreentip" getSupertip="GetSupertip" imageMso="WorkOffline" tag="Online/Offline" enabled="false"/>
            <button id="btnONOF" getLabel="GetLabel" getScreentip="GetScreentip" getSupertip="GetSupertip" imageMso="ToggleOnline" tag="Online/Offline" onAction="OnActionButton" getVisible="GetVisible" getEnabled="GetEnabled"/>
          </menu>
          <menu id="mnuOF" size="large" itemSize="normal" getLabel="GetLabel" getScreentip="GetScreentip" getSupertip="GetSupertip" imageMso="ToggleOnline" tag="Online/Offline" getVisible="GetVisible" getEnabled="GetEnabled">
            <button id="btnOFON" getLabel="GetLabel" getScreentip="GetScreentip" getSupertip="GetSupertip" imageMso="WorkOffline" tag="Online/Offline" onAction="OnActionButton" getVisible="GetVisible" getEnabled="GetEnabled"/>
            <button id="btnOFOF" getLabel="GetLabel" getScreentip="GetScreentip" getSupertip="GetSupertip" imageMso="ToggleOnline" tag="Online/Offline" enabled="false"/>
          </menu>
          <separator id="spr0000" getVisible="GetVisible"/>
          <!-- Projekt -->
          <button id="btn000" size="normal" getLabel="GetLabel" getScreentip="GetScreentip" getSupertip="GetSupertip" imageMso="EnterpriseProjectImport" onAction="OnActionButton" getVisible="GetVisible" getEnabled="GetEnabled"/>
          <!-- Addins -->
          <menu id="mnuAddins" size="normal" itemSize="normal" getLabel="GetLabel" getScreentip="GetScreentip" getSupertip="GetSupertip" imageMso="CreateClassModule" tag="addins" getVisible="GetVisible" getEnabled="GetEnabled">
            <!-- Addins -temporär- -->
            <checkBox id="cbxAddinX" getLabel="GetLabel" getScreentip="GetScreentip" getSupertip="GetSupertip" onAction="OnActionCheckbox" getPressed="GetPressedCheckbox" tag="addins" getVisible="GetVisible" getEnabled="GetEnabled"/>
            <checkBox id="cbxAddinQ" getLabel="GetLabel" getScreentip="GetScreentip" getSupertip="GetSupertip" onAction="OnActionCheckbox" getPressed="GetPressedCheckbox" tag="addins" getVisible="GetVisible" getEnabled="GetEnabled"/>
            <checkBox id="cbxAddinP" getLabel="GetLabel" getScreentip="GetScreentip" getSupertip="GetSupertip" onAction="OnActionCheckbox" getPressed="GetPressedCheckbox" tag="addins" getVisible="GetVisible" getEnabled="GetEnabled"/>
            <!-- Module -dauerhaft- -->
            <menuSeparator id="sepAddins"/>
            <menu id="mnuModules" itemSize="normal" getLabel="GetLabel" getScreentip="GetScreentip" getSupertip="GetSupertip" tag="addins" getVisible="GetVisible" getEnabled="GetEnabled">
              <menu id="mnuQModules" itemSize="normal" getLabel="GetLabel" getScreentip="GetScreentip" getSupertip="GetSupertip" tag="addins" getVisible="GetVisible" getEnabled="GetEnabled">
                <checkBox id="cbxModuleTooling" getLabel="GetLabel" getScreentip="GetScreentip" getSupertip="GetSupertip" onAction="OnActionCheckbox" getPressed="GetPressedCheckbox" tag="addins" getVisible="GetVisible" getEnabled="GetEnabled"/>
                <checkBox id="cbxModuleEDnT" getLabel="GetLabel" getScreentip="GetScreentip" getSupertip="GetSupertip" onAction="OnActionCheckbox" getPressed="GetPressedCheckbox" tag="addins" getVisible="GetVisible" getEnabled="GetEnabled"/>
              </menu>
              <menuSeparator id="sepModules"/>
              <checkBox id="cbxModuleCO2" getLabel="GetLabel" getScreentip="GetScreentip" getSupertip="GetSupertip" onAction="OnActionCheckbox" getPressed="GetPressedCheckbox" tag="addins" getVisible="GetVisible" getEnabled="GetEnabled"/>
              <checkBox id="cbxModuleLog" getLabel="GetLabel" getScreentip="GetScreentip" getSupertip="GetSupertip" onAction="OnActionCheckbox" getPressed="GetPressedCheckbox" tag="addins" getVisible="GetVisible" getEnabled="GetEnabled"/>
            </menu>
          </menu>
          <!-- Sheets Visibility -->
          <button id="btnSheetsVisibility" size="normal" getLabel="GetLabel" getScreentip="GetScreentip" getSupertip="GetSupertip" imageMso="VisibilityVisible" onAction="OnActionButton" getVisible="GetVisible" getEnabled="GetEnabled"/>
        </group>
        <!-- 01 BOM -->
        <group id="grp01" autoScale="true" centerVertically="true" getLabel="GetLabel" getVisible="GetVisible" tag="BOM">
          <!-- Sync -->
          <splitButton id="sbtSyc" getVisible="GetVisible" getEnabled="GetEnabled" size="large">
            <button id="btnSyc" imageMso="SmartArtRightToLeft" getLabel="GetLabel" getScreentip="GetScreentip" getSupertip="GetSupertip" tag="Advanced" onAction="OnActionButton"/>
            <menu id="mnuSyc" itemSize="normal" tag="Advanced">
              <button id="btnSycAlt" getLabel="GetLabel" getScreentip="GetScreentip" getSupertip="GetSupertip" imageMso="SmartArtRightToLeft" tag="Advanced" onAction="OnActionButton" getVisible="GetVisible" getEnabled="GetEnabled"/>
              <menuSeparator id="sepSyc"/>
              <toggleButton id="tgbSycAutoSyc" getLabel="GetLabel" getScreentip="GetScreentip" getSupertip="GetSupertip" tag="Advanced" onAction="OnActionTglButton" getPressed="GetPressedTglButton" getVisible="GetVisible" getEnabled="GetEnabled"/>
              <toggleButton id="tgbSycAutoBcp" getLabel="GetLabel" getScreentip="GetScreentip" getSupertip="GetSupertip" tag="Advanced" onAction="OnActionTglButton" getPressed="GetPressedTglButton" getVisible="GetVisible" getEnabled="GetEnabled"/>
            </menu>
          </splitButton>
          <separator id="sprSyc" getVisible="GetVisible"/>
          <!-- Num -->
          <splitButton id="sbtNum" getVisible="GetVisible" getEnabled="GetEnabled" size="large">
            <button id="btnNum" imageMso="OrganizationChartLayoutRightHanging" getLabel="GetLabel" getScreentip="GetScreentip" getSupertip="GetSupertip" tag="Num" onAction="OnActionButton"/>
            <menu id="mnuNum" itemSize="normal" tag="Num">
              <button id="btnNumAlt" getLabel="GetLabel" getScreentip="GetScreentip" getSupertip="GetSupertip" imageMso="OrganizationChartLayoutRightHanging" tag="Num" onAction="OnActionButton" getVisible="GetVisible" getEnabled="GetEnabled"/>
              <button id="btnRepaint" getLabel="GetLabel" getScreentip="GetScreentip" getSupertip="GetSupertip" imageMso="ControlLineColorPicker" tag="Num" onAction="OnActionButton" getVisible="GetVisible" getEnabled="GetEnabled"/>
            </menu>
          </splitButton>
          <!-- Pic -->
          <splitButton id="sbtPic" size="large" getVisible="GetVisible" getEnabled="GetEnabled">
            <button id="btnPic" imageMso="PhotoAlbumInsert" getLabel="GetLabel" getScreentip="GetScreentip" getSupertip="GetSupertip" tag="Num" onAction="OnActionButton"/>
            <menu id="mnuPic" itemSize="normal" tag="Pic">
              <toggleButton id="tgbPic" getLabel="GetLabel" getScreentip="GetScreentip" getSupertip="GetSupertip" imageMso="XDInsertPictureControl" tag="Help" onAction="OnActionTglButton" getPressed="GetPressedTglButton" getVisible="GetVisible" getEnabled="GetEnabled"/>
              <menuSeparator id="sepPic1"/>
              <button id="btnPic1" getLabel="GetLabel" getScreentip="GetScreentip" getSupertip="GetSupertip" imageMso="PhotoAlbumInsert" tag="Pic" onAction="OnActionButton" getVisible="GetVisible" getEnabled="GetEnabled"/>
              <button id="btnPic2" getLabel="GetLabel" getScreentip="GetScreentip" getSupertip="GetSupertip" imageMso="ArrangeByFolder" tag="Pic" onAction="OnActionButton" getVisible="GetVisible" getEnabled="GetEnabled"/>
              <button id="btnPicMoveToSubfolder" getLabel="GetLabel" getScreentip="GetScreentip" getSupertip="GetSupertip" imageMso="CopyToFolder" tag="Pic" onAction="OnActionButton" getVisible="GetVisible" getEnabled="GetEnabled"/>
              <menuSeparator id="sepPic2"/>
              <button id="btnPic3" getLabel="GetLabel" getScreentip="GetScreentip" getSupertip="GetSupertip" imageMso="ChangeFolderDownloadSettings" tag="Pic" onAction="OnActionButton" getVisible="GetVisible" getEnabled="GetEnabled"/>
              <button id="btnPic4" getLabel="GetLabel" getScreentip="GetScreentip" getSupertip="GetSupertip" imageMso="AdpDiagramDeleteTable" tag="Pic" onAction="OnActionButton" getVisible="GetVisible" getEnabled="GetEnabled"/>
            </menu>
          </splitButton>
        </group>
        <!-- 98 P-Sheets -->
        <group id="grp98" autoScale="true" centerVertically="true" getLabel="GetLabel" getVisible="GetVisible" tag="pSheet">
          <!-- Pic -->
          <splitButton id="sbtPicP" size="large" getVisible="GetVisible" getEnabled="GetEnabled">
            <button id="btnPicP" imageMso="PhotoAlbumInsert" getLabel="GetLabel" getScreentip="GetScreentip" getSupertip="GetSupertip" tag="Num" onAction="OnActionButton"/>
            <menu id="mnuPicP" itemSize="normal" tag="Pic">
              <toggleButton id="tgbPicP" getLabel="GetLabel" getScreentip="GetScreentip" getSupertip="GetSupertip" imageMso="XDInsertPictureControl" tag="Help" onAction="OnActionTglButton" getPressed="GetPressedTglButton" getVisible="GetVisible" getEnabled="GetEnabled"/>
              <menuSeparator id="sepPicP"/>
              <button id="btnPic1P" getLabel="GetLabel" getScreentip="GetScreentip" getSupertip="GetSupertip" imageMso="PhotoAlbumInsert" tag="Pic" onAction="OnActionButton" getVisible="GetVisible" getEnabled="GetEnabled"/>
              <button id="btnPic2P" getLabel="GetLabel" getScreentip="GetScreentip" getSupertip="GetSupertip" imageMso="ArrangeByFolder" tag="Pic" onAction="OnActionButton" getVisible="GetVisible" getEnabled="GetEnabled"/>
              <button id="btnPic3P" getLabel="GetLabel" getScreentip="GetScreentip" getSupertip="GetSupertip" imageMso="ChangeFolderDownloadSettings" tag="Pic" onAction="OnActionButton" getVisible="GetVisible" getEnabled="GetEnabled"/>
            </menu>
          </splitButton>
        </group>
        <!-- 02 Calculation -->
        <group id="grp02" autoScale="true" centerVertically="true" getLabel="GetLabel" getVisible="GetVisible" tag="Calc">
          <!-- Update if needed by performance module -->
          <button id="btnCalcUpdate" size="large" getLabel="GetLabel" getScreentip="GetScreentip" getSupertip="GetSupertip" imageMso="UpdateInteractiveIndex" tag="Performance" onAction="OnActionButton" getVisible="GetVisible" getEnabled="GetEnabled"/>
          <separator id="sprCalcUpdate" getVisible="GetVisible"/>
          <!-- Sync -->
          <splitButton id="sbtSycCalc" getVisible="GetVisible" getEnabled="GetEnabled" size="large">
            <button id="btnSycCalc" imageMso="SmartArtRightToLeft" getLabel="GetLabel" getScreentip="GetScreentip" getSupertip="GetSupertip" tag="Advanced" onAction="OnActionButton"/>
            <menu id="mnuSycCalc" itemSize="normal" tag="Advanced">
              <button id="btnSycAltCalc" getLabel="GetLabel" getScreentip="GetScreentip" getSupertip="GetSupertip" imageMso="SmartArtRightToLeft" tag="Advanced" onAction="OnActionButton" getVisible="GetVisible" getEnabled="GetEnabled"/>
              <menuSeparator id="sepSycCalc"/>
              <toggleButton id="tgbSycAutoSycCalc" getLabel="GetLabel" getScreentip="GetScreentip" getSupertip="GetSupertip" tag="Advanced" onAction="OnActionTglButton" getPressed="GetPressedTglButton" getVisible="GetVisible" getEnabled="GetEnabled"/>
              <toggleButton id="tgbSycAutoBcpCalc" getLabel="GetLabel" getScreentip="GetScreentip" getSupertip="GetSupertip" tag="Advanced" onAction="OnActionTglButton" getPressed="GetPressedTglButton" getVisible="GetVisible" getEnabled="GetEnabled"/>
            </menu>
          </splitButton>
          <separator id="sprSycCalc" getVisible="GetVisible"/>
          <!-- Analysis -->
          <splitButton id="sbtAna" size="large" getVisible="GetVisible" getEnabled="GetEnabled">
            <button id="btnAna" getLabel="GetLabel" getScreentip="GetScreentip" getSupertip="GetSupertip" imageMso="ChartTypeWaterfallInsertChartGallery" tag="Calc" onAction="OnActionButton"/>
            <menu id="mnuAna" itemSize="normal" tag="Calc">
              <button id="btnAnaAlt" getLabel="GetLabel" getScreentip="GetScreentip" getSupertip="GetSupertip" imageMso="ChartTypeWaterfallInsertChartGallery" tag="Calc" onAction="OnActionButton"/>
              <menuSeparator id="sepAna"/>
              <toggleButton id="tgbInf" getLabel="GetLabel" getScreentip="GetScreentip" getSupertip="GetSupertip" imageMso="MenuToDoBar" tag="Info" onAction="OnActionTglButton" getPressed="GetPressedTglButton" getVisible="GetVisible" getEnabled="GetEnabled"/>
            </menu>
          </splitButton>
          <!-- 			<separator id="spr0203" /> -->
          <!-- Pic -->
          <splitButton id="sbtPicC" size="large" getVisible="GetVisible" getEnabled="GetEnabled">
            <button id="btnPicC" imageMso="PhotoAlbumInsert" getLabel="GetLabel" getScreentip="GetScreentip" getSupertip="GetSupertip" tag="Num" onAction="OnActionButton"/>
            <menu id="mnuPicC" itemSize="normal" tag="Pic">
              <toggleButton id="tgbPicC" getLabel="GetLabel" getScreentip="GetScreentip" getSupertip="GetSupertip" imageMso="XDInsertPictureControl" tag="Help" onAction="OnActionTglButton" getPressed="GetPressedTglButton" getVisible="GetVisible" getEnabled="GetEnabled"/>
              <menuSeparator id="sepPicC"/>
              <button id="btnPicCOpenFolder" getLabel="GetLabel" getScreentip="GetScreentip" getSupertip="GetSupertip" imageMso="PhotoAlbumInsert" tag="Pic" onAction="OnActionButton" getVisible="GetVisible" getEnabled="GetEnabled"/>
            </menu>
          </splitButton>
          <separator id="spr0201"/>
          <!-- Add Row and Add Block -->
          <buttonGroup id="gbt1" getVisible="GetVisible">
            <button id="btn10" getScreentip="GetScreentip" getSupertip="GetSupertip" imageMso="SmartArtAddShapeAbove" tag="Calculation" onAction="OnActionButton" getVisible="GetVisible" getEnabled="GetEnabled"/>
            <button id="btn11" getScreentip="GetScreentip" getSupertip="GetSupertip" imageMso="SmartArtAddAssistant" tag="Calculation" onAction="OnActionButton" getVisible="GetVisible" getEnabled="GetEnabled"/>
          </buttonGroup>
          <!-- Ansichten -->
          <splitButton id="sbt00" size="normal">
            <button id="btn_sbt00" imageMso="ControlMarginsNarrow" getLabel="GetLabel" getScreentip="GetScreentip" getSupertip="GetSupertip" tag="Calculation" onAction="OnActionButton"/>
            <menu id="mnu_sbt00" itemSize="normal" tag="Calculation" getVisible="GetVisible" getEnabled="GetEnabled">
              <button id="btnViewA" getLabel="GetLabel" getScreentip="GetScreentip" getSupertip="GetSupertip" tag="Calculation" onAction="OnActionButton" getVisible="GetVisible" getEnabled="GetEnabled"/>
              <button id="btnViewB" getLabel="GetLabel" getScreentip="GetScreentip" getSupertip="GetSupertip" tag="Calculation" onAction="OnActionButton" getVisible="GetVisible" getEnabled="GetEnabled"/>
              <button id="btnViewC" getLabel="GetLabel" getScreentip="GetScreentip" getSupertip="GetSupertip" tag="Calculation" onAction="OnActionButton" getVisible="GetVisible" getEnabled="GetEnabled"/>
              <button id="btnViewD" getLabel="GetLabel" getScreentip="GetScreentip" getSupertip="GetSupertip" tag="Calculation" onAction="OnActionButton" getVisible="GetVisible" getEnabled="GetEnabled"/>
              <menuSeparator id="sep00"/>
              <button id="btnViewEdit" getLabel="GetLabel" getScreentip="GetScreentip" getSupertip="GetSupertip" imageMso="CurrentViewSettings" tag="Calculation" onAction="OnActionButton" getVisible="GetVisible" getEnabled="GetEnabled"/>
            </menu>
          </splitButton>
          <!-- Spalten -->
          <menu id="mnuCol" size="normal" itemSize="normal" getLabel="GetLabel" getScreentip="GetScreentip" getSupertip="GetSupertip" imageMso="ColumnActionsColumnSettings" tag="Calculation" getVisible="GetVisible" getEnabled="GetEnabled">
            <toggleButton id="tgbcbCol1" getLabel="GetLabel" getScreentip="GetScreentip" getSupertip="GetSupertip" tag="Calculation" onAction="OnActionTglButton" getPressed="GetPressedTglButton" getVisible="GetVisible" getEnabled="GetEnabled"/>
            <toggleButton id="tgbcbCol2" getLabel="GetLabel" getScreentip="GetScreentip" getSupertip="GetSupertip" tag="Calculation" onAction="OnActionTglButton" getPressed="GetPressedTglButton" getVisible="GetVisible" getEnabled="GetEnabled"/>
            <toggleButton id="tgbcbCol3" getLabel="GetLabel" getScreentip="GetScreentip" getSupertip="GetSupertip" tag="Calculation" onAction="OnActionTglButton" getPressed="GetPressedTglButton" getVisible="GetVisible" getEnabled="GetEnabled"/>
            <toggleButton id="tgbcbCol4" getLabel="GetLabel" getScreentip="GetScreentip" getSupertip="GetSupertip" tag="Calculation" onAction="OnActionTglButton" getPressed="GetPressedTglButton" getVisible="GetVisible" getEnabled="GetEnabled"/>
            <toggleButton id="tgbcbCol5" getLabel="GetLabel" getScreentip="GetScreentip" getSupertip="GetSupertip" tag="Calculation" onAction="OnActionTglButton" getPressed="GetPressedTglButton" getVisible="GetVisible" getEnabled="GetEnabled"/>
            <toggleButton id="tgbcbCol6" getLabel="GetLabel" getScreentip="GetScreentip" getSupertip="GetSupertip" tag="Calculation" onAction="OnActionTglButton" getPressed="GetPressedTglButton" getVisible="GetVisible" getEnabled="GetEnabled"/>
            <menuSeparator id="sepCol1"/>
            <toggleButton id="tgbcbCol7" getLabel="GetLabel" getScreentip="GetScreentip" getSupertip="GetSupertip" tag="Calculation" onAction="OnActionTglButton" getPressed="GetPressedTglButton" getVisible="GetVisible" getEnabled="GetEnabled"/>
            <menuSeparator id="sepCol2"/>
            <toggleButton id="tgbcbCol8" getLabel="GetLabel" getScreentip="GetScreentip" getSupertip="GetSupertip" tag="Calculation" onAction="OnActionTglButton" getPressed="GetPressedTglButton" getVisible="GetVisible" getEnabled="GetEnabled"/>
            <toggleButton id="tgbcbCol9" getLabel="GetLabel" getScreentip="GetScreentip" getSupertip="GetSupertip" tag="Calculation" onAction="OnActionTglButton" getPressed="GetPressedTglButton" getVisible="GetVisible" getEnabled="GetEnabled"/>
            <menuSeparator id="sepCol3"/>
            <toggleButton id="tgbcbCol10" getLabel="GetLabel" getScreentip="GetScreentip" getSupertip="GetSupertip" tag="Calculation" onAction="OnActionTglButton" getPressed="GetPressedTglButton" getVisible="GetVisible" getEnabled="GetEnabled"/>
          </menu>
        </group>
        <!-- 03 Premisses -->
        <group id="grp03" autoScale="true" centerVertically="true" getLabel="GetLabel" getVisible="GetVisible" tag="Premisses">
          <menu id="mnu010" size="large" itemSize="normal" getLabel="GetLabel" imageMso="AddOrRemoveAttendees" tag="Premisses" getVisible="GetVisible" getEnabled="GetEnabled">
            <button id="btn010" getLabel="GetLabel" getScreentip="GetScreentip" getSupertip="GetSupertip" imageMso="GroupGroupMembers" tag="Premisses" onAction="OnActionButton" getVisible="GetVisible" getEnabled="GetEnabled"/>
            <dynamicMenu id="dym010" invalidateContentOnDrop="true" getLabel="GetLabel" getScreentip="GetScreentip" getSupertip="GetSupertip" imageMso="AddDepartment" tag="Premisses" getVisible="GetVisible" getEnabled="GetEnabled" getContent="GetContent"/>
            <menuSeparator id="sep010"/>
            <dynamicMenu id="dym011" invalidateContentOnDrop="true" getLabel="GetLabel" getScreentip="GetScreentip" getSupertip="GetSupertip" imageMso="GroupRibbonLeave" tag="Premisses" getVisible="GetVisible" getEnabled="GetEnabled" getContent="GetContent"/>
          </menu>
          <separator id="spr0300"/>
          <menu id="mnuIndirectCosts" size="large" itemSize="normal" getLabel="GetLabel" getScreentip="GetScreentip" getSupertip="GetSupertip" image="overhead.png" tag="Premisses" getVisible="GetVisible" getEnabled="GetEnabled">
            <menu id="mnuIndirectCosts1" itemSize="normal" getLabel="GetLabel" getScreentip="GetScreentip" getSupertip="GetSupertip" tag="Premisses">
              <checkBox id="cbxIndirectCosts1A" getLabel="GetLabel" getScreentip="GetScreentip" getSupertip="GetSupertip" onAction="OnActionCheckbox" getPressed="GetPressedCheckbox" tag="Premisses" getVisible="GetVisible" getEnabled="GetEnabled"/>
              <checkBox id="cbxIndirectCosts1B" getLabel="GetLabel" getScreentip="GetScreentip" getSupertip="GetSupertip" onAction="OnActionCheckbox" getPressed="GetPressedCheckbox" tag="Premisses" getVisible="GetVisible" getEnabled="GetEnabled"/>
              <menuSeparator id="sepIndirectCosts1"/>
              <checkBox id="cbxIndirectCosts1C" getLabel="GetLabel" getScreentip="GetScreentip" getSupertip="GetSupertip" onAction="OnActionCheckbox" getPressed="GetPressedCheckbox" tag="Premisses" getVisible="GetVisible" getEnabled="GetEnabled"/>
            </menu>
            <menu id="mnuIndirectCosts2" itemSize="normal" getLabel="GetLabel" getScreentip="GetScreentip" getSupertip="GetSupertip" tag="Premisses">
              <checkBox id="cbxIndirectCosts2A" getLabel="GetLabel" getScreentip="GetScreentip" getSupertip="GetSupertip" onAction="OnActionCheckbox" getPressed="GetPressedCheckbox" tag="Premisses" getVisible="GetVisible" getEnabled="GetEnabled"/>
              <checkBox id="cbxIndirectCosts2B" getLabel="GetLabel" getScreentip="GetScreentip" getSupertip="GetSupertip" onAction="OnActionCheckbox" getPressed="GetPressedCheckbox" tag="Premisses" getVisible="GetVisible" getEnabled="GetEnabled"/>
              <menuSeparator id="sepIndirectCosts2"/>
              <checkBox id="cbxIndirectCosts2C" getLabel="GetLabel" getScreentip="GetScreentip" getSupertip="GetSupertip" onAction="OnActionCheckbox" getPressed="GetPressedCheckbox" tag="Premisses" getVisible="GetVisible" getEnabled="GetEnabled"/>
            </menu>
            <menuSeparator id="sepIndirectCosts"/>
            <menu id="mnuIndirectCosts3" itemSize="normal" getLabel="GetLabel" getScreentip="GetScreentip" getSupertip="GetSupertip" tag="Premisses">
              <checkBox id="cbxIndirectCosts3A" getLabel="GetLabel" getScreentip="GetScreentip" getSupertip="GetSupertip" onAction="OnActionCheckbox" getPressed="GetPressedCheckbox" tag="Premisses" getVisible="GetVisible" getEnabled="GetEnabled"/>
              <checkBox id="cbxIndirectCosts3B" getLabel="GetLabel" getScreentip="GetScreentip" getSupertip="GetSupertip" onAction="OnActionCheckbox" getPressed="GetPressedCheckbox" tag="Premisses" getVisible="GetVisible" getEnabled="GetEnabled"/>
            </menu>
            <menu id="mnuIndirectCosts4" itemSize="normal" getLabel="GetLabel" getScreentip="GetScreentip" getSupertip="GetSupertip" tag="Premisses">
              <checkBox id="cbxIndirectCosts4A" getLabel="GetLabel" getScreentip="GetScreentip" getSupertip="GetSupertip" onAction="OnActionCheckbox" getPressed="GetPressedCheckbox" tag="Premisses" getVisible="GetVisible" getEnabled="GetEnabled"/>
              <checkBox id="cbxIndirectCosts4B" getLabel="GetLabel" getScreentip="GetScreentip" getSupertip="GetSupertip" onAction="OnActionCheckbox" getPressed="GetPressedCheckbox" tag="Premisses" getVisible="GetVisible" getEnabled="GetEnabled"/>
            </menu>
          </menu>
          <button id="btnRefreshOverhead" size="large" getLabel="GetLabel" getScreentip="GetScreentip" getSupertip="GetSupertip" image="overheadRefresh.png" tag="Premises" onAction="OnActionButton" getVisible="GetVisible" getEnabled="GetEnabled"/>
        </group>
        <!-- 04 MHR, MAT, LOC, Tooling, EDnT -->
        <group id="grpMHR" autoScale="true" centerVertically="true" getLabel="GetLabel" getVisible="GetVisible" tag="MHR">
          <menu id="mnuMHR" size="large" itemSize="normal" getLabel="GetLabel" getScreentip="GetScreentip" getSupertip="GetSupertip" image="mhr.png" tag="MHR" getVisible="GetVisible" getEnabled="GetEnabled">
            <dynamicMenu id="dymMHR" invalidateContentOnDrop="true" getLabel="GetLabel" getScreentip="GetScreentip" getSupertip="GetSupertip" tag="MHR" getVisible="GetVisible" getEnabled="GetEnabled" getContent="GetContent"/>
            <button id="btnMHRDB" getLabel="GetLabel" getScreentip="GetScreentip" getSupertip="GetSupertip" tag="MHR" onAction="OnActionButton" getVisible="GetVisible" getEnabled="GetEnabled"/>
            <button id="btnMHRCB" getLabel="GetLabel" getScreentip="GetScreentip" getSupertip="GetSupertip" tag="MHR" onAction="OnActionButton" getVisible="GetVisible" getEnabled="GetEnabled"/>
            <menuSeparator id="sepMHR"/>
            <button id="btnMHRRfs" getLabel="GetLabel" getScreentip="GetScreentip" getSupertip="GetSupertip" imageMso="TableSharePointListsRefreshList" tag="MHR" onAction="OnActionButton" getVisible="GetVisible" getEnabled="GetEnabled"/>
          </menu>
        </group>
        <group id="grpMAT" autoScale="true" centerVertically="true" getLabel="GetLabel" getVisible="GetVisible" tag="MAT">
          <menu id="mnuMAT" size="large" itemSize="normal" getLabel="GetLabel" getScreentip="GetScreentip" getSupertip="GetSupertip" image="mat.png" tag="MAT" getVisible="GetVisible" getEnabled="GetEnabled">
            <dynamicMenu id="dymMAT" invalidateContentOnDrop="true" getLabel="GetLabel" getScreentip="GetScreentip" getSupertip="GetSupertip" tag="MAT" getVisible="GetVisible" getEnabled="GetEnabled" getContent="GetContent"/>
            <button id="btnMATDB" getLabel="GetLabel" getScreentip="GetScreentip" getSupertip="GetSupertip" tag="MAT" onAction="OnActionButton" getVisible="GetVisible" getEnabled="GetEnabled"/>
            <button id="btnMATCB" getLabel="GetLabel" getScreentip="GetScreentip" getSupertip="GetSupertip" tag="MAT" onAction="OnActionButton" getVisible="GetVisible" getEnabled="GetEnabled"/>
            <menuSeparator id="sepMAT"/>
            <button id="btnMATRfs" getLabel="GetLabel" getScreentip="GetScreentip" getSupertip="GetSupertip" imageMso="TableSharePointListsRefreshList" tag="MHR" onAction="OnActionButton" getVisible="GetVisible" getEnabled="GetEnabled"/>
          </menu>
        </group>
        <group id="grpLOC" autoScale="true" centerVertically="true" getLabel="GetLabel" getVisible="GetVisible" tag="LOC">
          <menu id="mnuLOC" size="large" itemSize="normal" getLabel="GetLabel" getScreentip="GetScreentip" getSupertip="GetSupertip" image="loc.png" tag="LOC" getVisible="GetVisible" getEnabled="GetEnabled">
            <button id="btnLOCDB" getLabel="GetLabel" getScreentip="GetScreentip" getSupertip="GetSupertip" tag="LOC" onAction="OnActionButton" getVisible="GetVisible" getEnabled="GetEnabled"/>
            <button id="btnLOCCB" getLabel="GetLabel" getScreentip="GetScreentip" getSupertip="GetSupertip" tag="LOC" onAction="OnActionButton" getVisible="GetVisible" getEnabled="GetEnabled"/>
            <menuSeparator id="sepLOC"/>
            <button id="btnLOCRfs" getLabel="GetLabel" getScreentip="GetScreentip" getSupertip="GetSupertip" imageMso="TableSharePointListsRefreshList" tag="LOC" onAction="OnActionButton" getVisible="GetVisible" getEnabled="GetEnabled"/>
          </menu>
        </group>
        <group id="grpTooling" autoScale="true" centerVertically="true" getLabel="GetLabel" getVisible="GetVisible" tag="tooling">
          <menu id="mnuTooling" size="large" itemSize="normal" getLabel="GetLabel" getScreentip="GetScreentip" getSupertip="GetSupertip" image="tooling.png" tag="tooling" getVisible="GetVisible" getEnabled="GetEnabled">
            <button id="btnTooling1" getLabel="GetLabel" getScreentip="GetScreentip" getSupertip="GetSupertip" tag="tooling" onAction="OnActionButton" getVisible="GetVisible" getEnabled="GetEnabled"/>
            <menuSeparator id="sepTooling"/>
            <button id="btnTooling2" getLabel="GetLabel" getScreentip="GetScreentip" getSupertip="GetSupertip" tag="tooling" onAction="OnActionButton" getVisible="GetVisible" getEnabled="GetEnabled"/>
            <!-- Spalten -->
            <menu id="mnuToolingCol" itemSize="normal" getLabel="GetLabel" getScreentip="GetScreentip" getSupertip="GetSupertip" imageMso="ColumnActionsColumnSettings" tag="tooling" getVisible="GetVisible" getEnabled="GetEnabled">
              <toggleButton id="tgbcbToolingCol1" getLabel="GetLabel" getScreentip="GetScreentip" getSupertip="GetSupertip" tag="tooling" onAction="OnActionTglButton" getPressed="GetPressedTglButton" getVisible="GetVisible" getEnabled="GetEnabled"/>
              <toggleButton id="tgbcbToolingCol2" getLabel="GetLabel" getScreentip="GetScreentip" getSupertip="GetSupertip" tag="tooling" onAction="OnActionTglButton" getPressed="GetPressedTglButton" getVisible="GetVisible" getEnabled="GetEnabled"/>
              <toggleButton id="tgbcbToolingCol3" getLabel="GetLabel" getScreentip="GetScreentip" getSupertip="GetSupertip" tag="tooling" onAction="OnActionTglButton" getPressed="GetPressedTglButton" getVisible="GetVisible" getEnabled="GetEnabled"/>
              <toggleButton id="tgbcbToolingCol4" getLabel="GetLabel" getScreentip="GetScreentip" getSupertip="GetSupertip" tag="tooling" onAction="OnActionTglButton" getPressed="GetPressedTglButton" getVisible="GetVisible" getEnabled="GetEnabled"/>
              <toggleButton id="tgbcbToolingCol5" getLabel="GetLabel" getScreentip="GetScreentip" getSupertip="GetSupertip" tag="tooling" onAction="OnActionTglButton" getPressed="GetPressedTglButton" getVisible="GetVisible" getEnabled="GetEnabled"/>
            </menu>
          </menu>
        </group>
        <group id="grpEDnT" autoScale="true" centerVertically="true" getLabel="GetLabel" getVisible="GetVisible" tag="ednt">
          <menu id="mnuEDnT" size="large" itemSize="normal" getLabel="GetLabel" getScreentip="GetScreentip" getSupertip="GetSupertip" image="ednt.png" tag="ednt" getVisible="GetVisible" getEnabled="GetEnabled">
            <button id="btnEDnT1" getLabel="GetLabel" getScreentip="GetScreentip" getSupertip="GetSupertip" tag="ednt" onAction="OnActionButton" getVisible="GetVisible" getEnabled="GetEnabled"/>
            <!-- 				<button id="btnEDnT2" getLabel="GetLabel" getScreentip="GetScreentip" getSupertip="GetSupertip" tag="ednt" onAction="OnActionButton" getVisible="GetVisible" getEnabled="GetEnabled" />
				<menuSeparator id="sepEDnT" />
				<button id="btnEDnT3" getLabel="GetLabel" getScreentip="GetScreentip" getSupertip="GetSupertip"  imageMso="TableSharePointListsRefreshList" tag="ednt" onAction="OnActionButton" getVisible="GetVisible" getEnabled="GetEnabled" /> -->
          </menu>
        </group>
        <!-- 08 ACT-X (Know-How) -->
        <group id="grp08" autoScale="true" centerVertically="true" getLabel="GetLabel" getVisible="GetVisible" tag="Know-How">
          <splitButton id="sbtTEC" getVisible="GetVisible" getEnabled="GetEnabled" size="large">
            <button id="btnTEC" getLabel="GetLabel" getScreentip="GetScreentip" getSupertip="GetSupertip" image="tec.png" tag="Know-How" onAction="OnActionButton"/>
            <menu id="mnu_sbtTEC" itemSize="normal" tag="PCB">
              <button id="btnTECMHR" getLabel="GetLabel" getScreentip="GetScreentip" getSupertip="GetSupertip" tag="Know-How" onAction="OnActionButton" getVisible="GetVisible" getEnabled="GetEnabled"/>
              <button id="btnTECMAT" getLabel="GetLabel" getScreentip="GetScreentip" getSupertip="GetSupertip" tag="Know-How" onAction="OnActionButton" getVisible="GetVisible" getEnabled="GetEnabled"/>
              <menuSeparator id="sepKH"/>
              <menu id="mnu_sbtPCB" itemSize="normal" getLabel="GetLabel" getScreentip="GetScreentip" getSupertip="GetSupertip" image="pcb.png" tag="PCB">
                <button id="btnNewPCB" getLabel="GetLabel" getScreentip="GetScreentip" getSupertip="GetSupertip" tag="PCB" onAction="OnActionButton" getVisible="GetVisible" getEnabled="GetEnabled"/>
                <button id="btnPCB" getLabel="GetLabel" getScreentip="GetScreentip" getSupertip="GetSupertip" tag="PCB" onAction="OnActionButton" getVisible="GetVisible" getEnabled="GetEnabled"/>
              </menu>
              <!--End menu (mnu_sbtPCB) NOT delete this remark-->
            </menu>
            <!--End menu (mnu_sbtTEC) NOT delete this remark-->
          </splitButton>
          <!--End splitButton (sbtTEC) NOT delete this remark-->
          <separator id="sprWD02" getVisible="GetVisible"/>
          <button id="btnMHR" image="mhr.png" size="normal" getLabel="GetLabel" getScreentip="GetScreentip" getSupertip="GetSupertip" tag="WD" onAction="OnActionButton" getVisible="GetVisible" getEnabled="GetEnabled"/>
          <button id="btnMAT" image="mat.png" size="normal" getLabel="GetLabel" getScreentip="GetScreentip" getSupertip="GetSupertip" tag="WD" onAction="OnActionButton" getVisible="GetVisible" getEnabled="GetEnabled"/>
          <button id="btnLOC" image="loc.png" size="normal" getLabel="GetLabel" getScreentip="GetScreentip" getSupertip="GetSupertip" tag="WD" onAction="OnActionButton" getVisible="GetVisible" getEnabled="GetEnabled"/>
        </group>
        <!-- 09 Advanced -->
        <group id="grp09" autoScale="true" centerVertically="true" getLabel="GetLabel" getVisible="GetVisible" tag="Advanced">
          <!-- Check -->
          <splitButton id="sbt15" getVisible="GetVisible" getEnabled="GetEnabled" size="large">
            <button id="btn_sbt15" imageMso="PivotTableWhatIfAnalysisMenu" getLabel="GetLabel" getScreentip="GetScreentip" getSupertip="GetSupertip" tag="Advanced" onAction="OnActionButton"/>
            <menu id="mnu_sbt15" itemSize="normal" tag="Advanced">
              <button id="btnCheckMe" getLabel="GetLabel" getScreentip="GetScreentip" getSupertip="GetSupertip" imageMso="SlidesPerPage1Slide" tag="Advanced" onAction="OnActionButton" getVisible="GetVisible" getEnabled="GetEnabled"/>
              <button id="btnCheckAll" getLabel="GetLabel" getScreentip="GetScreentip" getSupertip="GetSupertip" imageMso="SlidesPerPage4Slides" tag="Advanced" onAction="OnActionButton" getVisible="GetVisible" getEnabled="GetEnabled"/>
              <menuSeparator id="sep0111"/>
              <button id="btnCheckReset" getLabel="GetLabel" getScreentip="GetScreentip" getSupertip="GetSupertip" imageMso="ResetLayout" tag="Advanced" onAction="OnActionButton" getVisible="GetVisible" getEnabled="GetEnabled"/>
            </menu>
          </splitButton>
          <separator id="spr0900"/>
          <!-- Layout -->
          <menu id="mnuLayout" size="normal" itemSize="normal" getLabel="GetLabel" getScreentip="GetScreentip" getSupertip="GetSupertip" imageMso="CreateQueryInDesignView" tag="Layout" getVisible="GetVisible" getEnabled="GetEnabled">
            <button id="btnLayout1" getLabel="GetLabel" getScreentip="GetScreentip" getSupertip="GetSupertip" tag="Layout" onAction="OnActionButton" getVisible="GetVisible" getEnabled="GetEnabled"/>
          </menu>
          <!-- Export -->
          <menu id="mnuExport" size="normal" itemSize="normal" getLabel="GetLabel" imageMso="ExportTextFile" tag="Export" getVisible="GetVisible" getEnabled="GetEnabled">
            <button id="btnExportToPowerPoint" getLabel="GetLabel" getScreentip="GetScreentip" getSupertip="GetSupertip" imageMso="FileSaveAsPowerPointPptx" tag="Export" onAction="OnActionButton" getVisible="GetVisible" getEnabled="GetEnabled"/>
            <button id="btnExportToCbd" getLabel="GetLabel" getScreentip="GetScreentip" getSupertip="GetSupertip" imageMso="FileSaveAsExcelXlsx" tag="Export" onAction="OnActionButton" getVisible="GetVisible" getEnabled="GetEnabled"/>
            <button id="btnExportToQaf" getLabel="GetLabel" getScreentip="GetScreentip" getSupertip="GetSupertip" imageMso="FileSaveAsExcelXlsx" tag="Export" onAction="OnActionButton" getVisible="GetVisible" getEnabled="GetEnabled"/>
            <menuSeparator id="sepExport"/>
            <button id="btnOpenLabelmaker" getLabel="GetLabel" getScreentip="GetScreentip" getSupertip="GetSupertip" imageMso="GanttTaskLink" tag="Export" onAction="OnActionButton" getVisible="GetVisible" getEnabled="GetEnabled"/>
          </menu>
          <!-- Other Settings (lower righthand corner menu) -->
          <dialogBoxLauncher>
            <button id="dlBSettings" onAction="OnActionButton" getScreentip="GetScreentip" getSupertip="GetSupertip"/>
          </dialogBoxLauncher>
        </group>
        <!-- 10 Performance -->
        <group id="grpPerformance" autoScale="true" centerVertically="true" getLabel="GetLabel" getVisible="GetVisible" tag="Performance">
          <splitButton id="sbtCalculate" getVisible="GetVisible" getEnabled="GetEnabled" size="large">
            <button id="btn_sbtCalculate" imageMso="CalculateFull" getLabel="GetLabel" getScreentip="GetScreentip" getSupertip="GetSupertip" tag="Performance" onAction="OnActionButton" getEnabled="GetEnabled"/>
            <menu id="mnu_sbtCalculate" itemSize="normal" tag="Performance">
              <button id="btnCalculateAlt" getLabel="GetLabel" getScreentip="GetScreentip" getSupertip="GetSupertip" imageMso="CalculateFull" tag="Performance" onAction="OnActionButton" getVisible="GetVisible" getEnabled="GetEnabled"/>
              <button id="btnCalculateAll" getLabel="GetLabel" getScreentip="GetScreentip" getSupertip="GetSupertip" imageMso="CalculateNow" tag="Performance" onAction="OnActionButton" getVisible="GetVisible" getEnabled="GetEnabled"/>
              <menuSeparator id="sepCalculate"/>
              <toggleButton id="tgbCalculate1" getLabel="GetLabel" getScreentip="GetScreentip" getSupertip="GetSupertip" tag="Performance" onAction="OnActionTglButton" getPressed="GetPressedTglButton" getVisible="GetVisible" getEnabled="GetEnabled"/>
              <toggleButton id="tgbCalculate2" getLabel="GetLabel" getScreentip="GetScreentip" getSupertip="GetSupertip" tag="Performance" onAction="OnActionTglButton" getPressed="GetPressedTglButton" getVisible="GetVisible" getEnabled="GetEnabled"/>
              <toggleButton id="tgbCalculate3" getLabel="GetLabel" getScreentip="GetScreentip" getSupertip="GetSupertip" tag="Performance" onAction="OnActionTglButton" getPressed="GetPressedTglButton" getVisible="GetVisible" getEnabled="GetEnabled"/>
            </menu>
          </splitButton>
          <menu id="mnuPerformance" size="large" itemSize="normal" imageMso="TableStyleClear" getLabel="GetLabel" getVisible="GetVisible" getEnabled="GetEnabled" tag="Performance">
            <button id="btnPerformanceUpdate" getLabel="GetLabel" getScreentip="GetScreentip" getSupertip="GetSupertip" imageMso="UpdateInteractiveIndex" tag="Performance" onAction="OnActionButton" getVisible="GetVisible" getEnabled="GetEnabled"/>
            <menuSeparator id="sepPerformance1"/>
            <toggleButton id="tgbPerformance1" getLabel="GetLabel" getScreentip="GetScreentip" getSupertip="GetSupertip" tag="Performance" onAction="OnActionTglButton" getPressed="GetPressedTglButton" getVisible="GetVisible" getEnabled="GetEnabled"/>
            <toggleButton id="tgbPerformance2" getLabel="GetLabel" getScreentip="GetScreentip" getSupertip="GetSupertip" tag="Performance" onAction="OnActionTglButton" getPressed="GetPressedTglButton" getVisible="GetVisible" getEnabled="GetEnabled"/>
            <toggleButton id="tgbPerformance3" getLabel="GetLabel" getScreentip="GetScreentip" getSupertip="GetSupertip" tag="Performance" onAction="OnActionTglButton" getPressed="GetPressedTglButton" getVisible="GetVisible" getEnabled="GetEnabled"/>
            <menuSeparator id="sepPerformance2"/>
            <menu id="mnuPerformance2" itemSize="normal" getLabel="GetLabel" getScreentip="GetScreentip" getSupertip="GetSupertip" tag="Performance" getVisible="GetVisible" getEnabled="GetEnabled">
              <toggleButton id="tgbPerformance21" getLabel="GetLabel" getScreentip="GetScreentip" getSupertip="GetSupertip" tag="Performance" onAction="OnActionTglButton" getPressed="GetPressedTglButton" getVisible="GetVisible" getEnabled="GetEnabled"/>
              <toggleButton id="tgbPerformance22" getLabel="GetLabel" getScreentip="GetScreentip" getSupertip="GetSupertip" tag="Performance" onAction="OnActionTglButton" getPressed="GetPressedTglButton" getVisible="GetVisible" getEnabled="GetEnabled"/>
            </menu>
          </menu>
        </group>
        <!-- CO2 -->
        <group id="grpCO2" autoScale="true" centerVertically="true" getLabel="GetLabel" getVisible="GetVisible" tag="CO2">
          <menu id="mnuCO2" size="large" itemSize="normal" getLabel="GetLabel" image="co2.png" tag="CO2" getVisible="GetVisible" getEnabled="GetEnabled">
            <checkBox id="cbxCO21" getLabel="GetLabel" getScreentip="GetScreentip" getSupertip="GetSupertip" onAction="OnActionCheckbox" getPressed="GetPressedCheckbox" tag="CO2" getVisible="GetVisible" getEnabled="GetEnabled"/>
            <menuSeparator id="sepCO21"/>
            <checkBox id="cbxCO22" getLabel="GetLabel" getScreentip="GetScreentip" getSupertip="GetSupertip" onAction="OnActionCheckbox" getPressed="GetPressedCheckbox" tag="CO2" getVisible="GetVisible" getEnabled="GetEnabled"/>
            <menuSeparator id="sepCO22"/>
            <button id="btnValuesCO2ClusterAnalysis" getLabel="GetLabel" getScreentip="GetScreentip" getSupertip="GetSupertip" tag="CO2" onAction="OnActionButton" getVisible="GetVisible" getEnabled="GetEnabled"/>
            <button id="btnRefreshCO2SourceClusterAnalysis" getLabel="GetLabel" getScreentip="GetScreentip" getSupertip="GetSupertip" tag="CO2" onAction="OnActionButton" getVisible="GetVisible" getEnabled="GetEnabled"/>
          </menu>
        </group>
        <!-- Logistics -->
        <group id="grpLog" autoScale="true" centerVertically="true" getLabel="GetLabel" getVisible="GetVisible" tag="Log">
          <menu id="mnuLog" size="large" itemSize="normal" getLabel="GetLabel" image="log.png" tag="Log" getVisible="GetVisible" getEnabled="GetEnabled">
            <button id="btnLogSync" getLabel="GetLabel" getScreentip="GetScreentip" getSupertip="GetSupertip" imageMso="SmartArtRightToLeft" tag="Log" onAction="OnActionButton" getVisible="GetVisible" getEnabled="GetEnabled"/>
          </menu>
        </group>
        <!-- ACT-P: Potentials -->
        <group id="grpPot" autoScale="true" centerVertically="true" getLabel="GetLabel" getVisible="GetVisible" tag="Pot">
          <menu id="mnuPot" size="large" itemSize="normal" getLabel="GetLabel" image="pot.png" tag="Pot" getVisible="GetVisible" getEnabled="GetEnabled">
            <button id="btnPotAnalysis" getLabel="GetLabel" getScreentip="GetScreentip" getSupertip="GetSupertip" imageMso="SmartArtRightToLeft" tag="Pot" onAction="OnActionButton" getVisible="GetVisible" getEnabled="GetEnabled"/>
            <menuSeparator id="sepPot1"/>
            <button id="btnOpenPotDb" getLabel="GetLabel" getScreentip="GetScreentip" getSupertip="GetSupertip" tag="Pot" onAction="OnActionButton" getVisible="GetVisible" getEnabled="GetEnabled"/>
            <checkBox id="cbxPotLearning" getLabel="GetLabel" getScreentip="GetScreentip" getSupertip="GetSupertip" onAction="OnActionCheckbox" getPressed="GetPressedCheckbox" tag="Pot" getVisible="GetVisible" getEnabled="GetEnabled"/>
          </menu>
        </group>
        <!-- Help, Imprint -->
        <group id="grpFinal" autoScale="true" centerVertically="true" getVisible="GetVisible" tag="Imprint">
          <!-- Help -->
          <menu id="mnuHlp" size="large" itemSize="normal" getLabel="GetLabel" getScreentip="GetScreentip" getSupertip="GetSupertip" imageMso="LevelingHelpTopics" tag="Help" getVisible="GetVisible" getEnabled="GetEnabled">
            <!-- Hilfeleiste -->
            <toggleButton id="tgbHlpHelpBar" getLabel="GetLabel" getScreentip="GetScreentip" getSupertip="GetSupertip" imageMso="MenuToDoBar" tag="Help" onAction="OnActionTglButton" getPressed="GetPressedTglButton" getVisible="GetVisible" getEnabled="GetEnabled"/>
            <!-- Dokumentation öffnen -->
            <button id="btnHlpDoc" getLabel="GetLabel" getScreentip="GetScreentip" getSupertip="GetSupertip" imageMso="CLViewDialogHelpID" tag="Help" onAction="OnActionButton" getVisible="GetVisible" getEnabled="GetEnabled"/>
            <!-- Tutorial -->
            <toggleButton id="tgbHlpTutorial" getLabel="GetLabel" getScreentip="GetScreentip" getSupertip="GetSupertip" imageMso="SlideShowFromBeginning" tag="Help" onAction="OnActionTglButton" getPressed="GetPressedTglButton" getVisible="GetVisible" getEnabled="GetEnabled"/>
            <!-- E-Mail -->
            <button id="btnHlpMail" getLabel="GetLabel" getScreentip="GetScreentip" getSupertip="GetSupertip" imageMso="NewItem" tag="Help" onAction="OnActionButton" getVisible="GetVisible" getEnabled="GetEnabled"/>
            <!-- Kundenansicht -->
            <toggleButton id="tgbHlpCustomerView" getLabel="GetLabel" getScreentip="GetScreentip" getSupertip="GetSupertip" imageMso="GroupPivotDiagramFormat" tag="Help" onAction="OnActionTglButton" getPressed="GetPressedTglButton" getVisible="GetVisible" getEnabled="GetEnabled"/>
            <!-- Reset -->
            <button id="btnHlpReset" getLabel="GetLabel" getScreentip="GetScreentip" getSupertip="GetSupertip" imageMso="ResetToSiteDefinition" tag="Help" onAction="OnActionButton" getVisible="GetVisible" getEnabled="GetEnabled"/>
            <menuSeparator id="sepHlp"/>
            <!-- Info -->
            <button id="btnHlpInfo" getLabel="GetLabel" getScreentip="GetScreentip" getSupertip="GetSupertip" imageMso="Info" tag="Help" onAction="OnActionButton" getVisible="GetVisible" getEnabled="GetEnabled"/>
          </menu>
          <!-- Imprint -->
          <button id="btnACT" size="large" getLabel="GetLabel" image="act.png" tag="Imprint" onAction="OnActionButton" visible="true" getScreentip="GetScreentip" getEnabled="GetEnabled"/>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17CE68A54106F646B4D05788A8F0AB99" ma:contentTypeVersion="13" ma:contentTypeDescription="Create a new document." ma:contentTypeScope="" ma:versionID="b03353c2ee8c7b0ebd367f6a6aaa8568">
  <xsd:schema xmlns:xsd="http://www.w3.org/2001/XMLSchema" xmlns:xs="http://www.w3.org/2001/XMLSchema" xmlns:p="http://schemas.microsoft.com/office/2006/metadata/properties" xmlns:ns2="e7eb68fc-9da3-4492-a8be-b9f85eda5f72" xmlns:ns3="a8e107fd-659c-4efa-8a57-6aba7b817710" targetNamespace="http://schemas.microsoft.com/office/2006/metadata/properties" ma:root="true" ma:fieldsID="8e172f5af983425749182244156452b3" ns2:_="" ns3:_="">
    <xsd:import namespace="e7eb68fc-9da3-4492-a8be-b9f85eda5f72"/>
    <xsd:import namespace="a8e107fd-659c-4efa-8a57-6aba7b81771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7eb68fc-9da3-4492-a8be-b9f85eda5f7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1edaf98-933d-48b7-9af8-6bdbb703d06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8e107fd-659c-4efa-8a57-6aba7b81771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7750010-8896-432d-9441-f516b008a4e6}" ma:internalName="TaxCatchAll" ma:showField="CatchAllData" ma:web="a8e107fd-659c-4efa-8a57-6aba7b8177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a8e107fd-659c-4efa-8a57-6aba7b817710" xsi:nil="true"/>
    <lcf76f155ced4ddcb4097134ff3c332f xmlns="e7eb68fc-9da3-4492-a8be-b9f85eda5f7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9BB9C1E-6F09-4BBD-9827-F458F137ED5E}">
  <ds:schemaRefs>
    <ds:schemaRef ds:uri="http://schemas.microsoft.com/DataMashup"/>
  </ds:schemaRefs>
</ds:datastoreItem>
</file>

<file path=customXml/itemProps2.xml><?xml version="1.0" encoding="utf-8"?>
<ds:datastoreItem xmlns:ds="http://schemas.openxmlformats.org/officeDocument/2006/customXml" ds:itemID="{CE433245-EAE1-43DE-BA1D-6F985378D9EC}"/>
</file>

<file path=customXml/itemProps3.xml><?xml version="1.0" encoding="utf-8"?>
<ds:datastoreItem xmlns:ds="http://schemas.openxmlformats.org/officeDocument/2006/customXml" ds:itemID="{97BF7080-1B22-41CD-84B4-75FAF91920BE}"/>
</file>

<file path=customXml/itemProps4.xml><?xml version="1.0" encoding="utf-8"?>
<ds:datastoreItem xmlns:ds="http://schemas.openxmlformats.org/officeDocument/2006/customXml" ds:itemID="{ABDC66BA-A8FD-4B7A-9BE3-7EFB8EDC483D}"/>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55</vt:i4>
      </vt:variant>
    </vt:vector>
  </HeadingPairs>
  <TitlesOfParts>
    <vt:vector size="72" baseType="lpstr">
      <vt:lpstr>BOM</vt:lpstr>
      <vt:lpstr>Calculation</vt:lpstr>
      <vt:lpstr>Info</vt:lpstr>
      <vt:lpstr>Premises</vt:lpstr>
      <vt:lpstr>Analysis</vt:lpstr>
      <vt:lpstr>Cluster</vt:lpstr>
      <vt:lpstr>MHR</vt:lpstr>
      <vt:lpstr>MAT</vt:lpstr>
      <vt:lpstr>LOC</vt:lpstr>
      <vt:lpstr>Nutzenberechnung Big PCB</vt:lpstr>
      <vt:lpstr>E-BOM Big PCB</vt:lpstr>
      <vt:lpstr>Nutzenberechnung Small PCB</vt:lpstr>
      <vt:lpstr>E-BOM Small PCB</vt:lpstr>
      <vt:lpstr>Nutzenberechnung Flex PCB</vt:lpstr>
      <vt:lpstr>E-BOM Flex PCB</vt:lpstr>
      <vt:lpstr>IndirectCosts</vt:lpstr>
      <vt:lpstr>Handling</vt:lpstr>
      <vt:lpstr>ASY_Operations_DE</vt:lpstr>
      <vt:lpstr>ASY_Operations_EN</vt:lpstr>
      <vt:lpstr>Translation!Auto</vt:lpstr>
      <vt:lpstr>AutoManual_Dropdown</vt:lpstr>
      <vt:lpstr>CALC</vt:lpstr>
      <vt:lpstr>Cluster1_Dropdown</vt:lpstr>
      <vt:lpstr>Cluster2_Dropdown</vt:lpstr>
      <vt:lpstr>Cluster3_Dropdown</vt:lpstr>
      <vt:lpstr>Currency</vt:lpstr>
      <vt:lpstr>CycleTime</vt:lpstr>
      <vt:lpstr>ExchangeRate</vt:lpstr>
      <vt:lpstr>HandlingPrecise</vt:lpstr>
      <vt:lpstr>HandlingUnprecise</vt:lpstr>
      <vt:lpstr>InputCurrency</vt:lpstr>
      <vt:lpstr>'E-BOM Big PCB'!Language</vt:lpstr>
      <vt:lpstr>'E-BOM Flex PCB'!Language</vt:lpstr>
      <vt:lpstr>'E-BOM Small PCB'!Language</vt:lpstr>
      <vt:lpstr>Language</vt:lpstr>
      <vt:lpstr>LOC_Dropdown</vt:lpstr>
      <vt:lpstr>Translation!Luft</vt:lpstr>
      <vt:lpstr>Translation!M</vt:lpstr>
      <vt:lpstr>Machine</vt:lpstr>
      <vt:lpstr>Translation!Manuell</vt:lpstr>
      <vt:lpstr>MAT_Dropdown</vt:lpstr>
      <vt:lpstr>MAT_Price</vt:lpstr>
      <vt:lpstr>MAT_Type</vt:lpstr>
      <vt:lpstr>MAT_Unit</vt:lpstr>
      <vt:lpstr>MAT_Used</vt:lpstr>
      <vt:lpstr>MaxNumberOfRowsPerBlock</vt:lpstr>
      <vt:lpstr>MGK_Dropdown</vt:lpstr>
      <vt:lpstr>MHR_Dropdown</vt:lpstr>
      <vt:lpstr>MHR_Used</vt:lpstr>
      <vt:lpstr>ModeOfTransportation_Dropdown</vt:lpstr>
      <vt:lpstr>ModeOfTransportationAtDestination_Dropdown</vt:lpstr>
      <vt:lpstr>ModeOfTransportationAtStart_Dropdown</vt:lpstr>
      <vt:lpstr>Translation!No</vt:lpstr>
      <vt:lpstr>Translation!None</vt:lpstr>
      <vt:lpstr>Translation!Palette</vt:lpstr>
      <vt:lpstr>PartsPerCycle</vt:lpstr>
      <vt:lpstr>Translation!Pcs</vt:lpstr>
      <vt:lpstr>AssemblyData!Premises</vt:lpstr>
      <vt:lpstr>Premises</vt:lpstr>
      <vt:lpstr>PremisesToExport</vt:lpstr>
      <vt:lpstr>'E-BOM Big PCB'!Project_Factor</vt:lpstr>
      <vt:lpstr>'E-BOM Flex PCB'!Project_Factor</vt:lpstr>
      <vt:lpstr>'E-BOM Small PCB'!Project_Factor</vt:lpstr>
      <vt:lpstr>Revision</vt:lpstr>
      <vt:lpstr>Translation!Schiene</vt:lpstr>
      <vt:lpstr>Translation!SchienePlusStraße</vt:lpstr>
      <vt:lpstr>Translation!See</vt:lpstr>
      <vt:lpstr>Translation!Straße</vt:lpstr>
      <vt:lpstr>Translation!StraßePlusSchiene</vt:lpstr>
      <vt:lpstr>Version</vt:lpstr>
      <vt:lpstr>Translation!Yes</vt:lpstr>
      <vt:lpstr>YesNo_Dropdown</vt:lpstr>
    </vt:vector>
  </TitlesOfParts>
  <Company>AWS Systemtechnik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AWS-ACT</dc:title>
  <dc:creator>AWS Systemtechnik GmbH</dc:creator>
  <cp:lastModifiedBy>Obermayr, Andreas</cp:lastModifiedBy>
  <cp:revision>2</cp:revision>
  <cp:lastPrinted>2021-09-06T09:13:22Z</cp:lastPrinted>
  <dcterms:created xsi:type="dcterms:W3CDTF">2002-01-30T06:25:21Z</dcterms:created>
  <dcterms:modified xsi:type="dcterms:W3CDTF">2024-06-17T13:22:03Z</dcterms:modified>
  <cp:version>6</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ibbonID">
    <vt:lpwstr>3096117627296</vt:lpwstr>
  </property>
  <property fmtid="{D5CDD505-2E9C-101B-9397-08002B2CF9AE}" pid="3" name="ContentTypeId">
    <vt:lpwstr>0x01010017CE68A54106F646B4D05788A8F0AB99</vt:lpwstr>
  </property>
  <property fmtid="{D5CDD505-2E9C-101B-9397-08002B2CF9AE}" pid="4" name="MediaServiceImageTags">
    <vt:lpwstr/>
  </property>
</Properties>
</file>